
<file path=[Content_Types].xml><?xml version="1.0" encoding="utf-8"?>
<Types xmlns="http://schemas.openxmlformats.org/package/2006/content-types">
  <Default Extension="tmp" ContentType="image/x-emf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255" windowHeight="3090"/>
  </bookViews>
  <sheets>
    <sheet name="Tab S1. Fragment additives data" sheetId="18" r:id="rId1"/>
    <sheet name="Tab S2. Whole molecule  data" sheetId="19" r:id="rId2"/>
    <sheet name="Tab S3. Whole molecule binary " sheetId="20" r:id="rId3"/>
    <sheet name="Tab S4. Scale-up Experiments" sheetId="22" r:id="rId4"/>
    <sheet name="Tab S5. Cross-over Experiments" sheetId="16" r:id="rId5"/>
  </sheets>
  <definedNames>
    <definedName name="ixlNextC" localSheetId="1" hidden="1">384</definedName>
  </definedNames>
  <calcPr calcId="145621"/>
</workbook>
</file>

<file path=xl/calcChain.xml><?xml version="1.0" encoding="utf-8"?>
<calcChain xmlns="http://schemas.openxmlformats.org/spreadsheetml/2006/main">
  <c r="B16" i="22" l="1"/>
  <c r="B15" i="22"/>
  <c r="DI385" i="19" l="1"/>
  <c r="DA385" i="19"/>
  <c r="CS385" i="19"/>
  <c r="CK385" i="19"/>
  <c r="D385" i="19"/>
  <c r="DI384" i="19"/>
  <c r="DA384" i="19"/>
  <c r="CS384" i="19"/>
  <c r="CK384" i="19"/>
  <c r="D384" i="19"/>
  <c r="DI383" i="19"/>
  <c r="DA383" i="19"/>
  <c r="CS383" i="19"/>
  <c r="CK383" i="19"/>
  <c r="D383" i="19"/>
  <c r="DI382" i="19"/>
  <c r="DA382" i="19"/>
  <c r="CS382" i="19"/>
  <c r="CK382" i="19"/>
  <c r="D382" i="19"/>
  <c r="DI381" i="19"/>
  <c r="DA381" i="19"/>
  <c r="CS381" i="19"/>
  <c r="CK381" i="19"/>
  <c r="D381" i="19"/>
  <c r="DI380" i="19"/>
  <c r="DA380" i="19"/>
  <c r="CS380" i="19"/>
  <c r="CK380" i="19"/>
  <c r="D380" i="19"/>
  <c r="DI379" i="19"/>
  <c r="DA379" i="19"/>
  <c r="CS379" i="19"/>
  <c r="CK379" i="19"/>
  <c r="D379" i="19"/>
  <c r="DI378" i="19"/>
  <c r="DA378" i="19"/>
  <c r="CS378" i="19"/>
  <c r="CK378" i="19"/>
  <c r="D378" i="19"/>
  <c r="DI377" i="19"/>
  <c r="DA377" i="19"/>
  <c r="CS377" i="19"/>
  <c r="CK377" i="19"/>
  <c r="D377" i="19"/>
  <c r="DI376" i="19"/>
  <c r="DA376" i="19"/>
  <c r="CS376" i="19"/>
  <c r="CK376" i="19"/>
  <c r="D376" i="19"/>
  <c r="DI375" i="19"/>
  <c r="DA375" i="19"/>
  <c r="CS375" i="19"/>
  <c r="CK375" i="19"/>
  <c r="D375" i="19"/>
  <c r="DI374" i="19"/>
  <c r="DA374" i="19"/>
  <c r="CS374" i="19"/>
  <c r="CK374" i="19"/>
  <c r="D374" i="19"/>
  <c r="DI373" i="19"/>
  <c r="DA373" i="19"/>
  <c r="CS373" i="19"/>
  <c r="CK373" i="19"/>
  <c r="D373" i="19"/>
  <c r="DI372" i="19"/>
  <c r="DA372" i="19"/>
  <c r="CS372" i="19"/>
  <c r="CK372" i="19"/>
  <c r="D372" i="19"/>
  <c r="DI371" i="19"/>
  <c r="DA371" i="19"/>
  <c r="CS371" i="19"/>
  <c r="CK371" i="19"/>
  <c r="D371" i="19"/>
  <c r="DI370" i="19"/>
  <c r="DA370" i="19"/>
  <c r="CS370" i="19"/>
  <c r="CK370" i="19"/>
  <c r="D370" i="19"/>
  <c r="DI369" i="19"/>
  <c r="DA369" i="19"/>
  <c r="CS369" i="19"/>
  <c r="CK369" i="19"/>
  <c r="D369" i="19"/>
  <c r="DI368" i="19"/>
  <c r="DA368" i="19"/>
  <c r="CS368" i="19"/>
  <c r="CK368" i="19"/>
  <c r="D368" i="19"/>
  <c r="DI367" i="19"/>
  <c r="DA367" i="19"/>
  <c r="CS367" i="19"/>
  <c r="CK367" i="19"/>
  <c r="D367" i="19"/>
  <c r="DI366" i="19"/>
  <c r="DA366" i="19"/>
  <c r="CS366" i="19"/>
  <c r="CK366" i="19"/>
  <c r="D366" i="19"/>
  <c r="DI365" i="19"/>
  <c r="DA365" i="19"/>
  <c r="CS365" i="19"/>
  <c r="CK365" i="19"/>
  <c r="D365" i="19"/>
  <c r="DI364" i="19"/>
  <c r="DA364" i="19"/>
  <c r="CS364" i="19"/>
  <c r="CK364" i="19"/>
  <c r="D364" i="19"/>
  <c r="DI363" i="19"/>
  <c r="DA363" i="19"/>
  <c r="CS363" i="19"/>
  <c r="CK363" i="19"/>
  <c r="D363" i="19"/>
  <c r="DI362" i="19"/>
  <c r="DA362" i="19"/>
  <c r="CS362" i="19"/>
  <c r="CK362" i="19"/>
  <c r="D362" i="19"/>
  <c r="DI361" i="19"/>
  <c r="DA361" i="19"/>
  <c r="CS361" i="19"/>
  <c r="CK361" i="19"/>
  <c r="D361" i="19"/>
  <c r="DI360" i="19"/>
  <c r="DA360" i="19"/>
  <c r="CS360" i="19"/>
  <c r="CK360" i="19"/>
  <c r="AJ360" i="19"/>
  <c r="AI360" i="19"/>
  <c r="AH360" i="19"/>
  <c r="AG360" i="19"/>
  <c r="AF360" i="19"/>
  <c r="AE360" i="19"/>
  <c r="AD360" i="19"/>
  <c r="AC360" i="19"/>
  <c r="AB360" i="19"/>
  <c r="AA360" i="19"/>
  <c r="Z360" i="19"/>
  <c r="Y360" i="19"/>
  <c r="X360" i="19"/>
  <c r="W360" i="19"/>
  <c r="V360" i="19"/>
  <c r="J360" i="19"/>
  <c r="D360" i="19"/>
  <c r="DI359" i="19"/>
  <c r="DA359" i="19"/>
  <c r="CS359" i="19"/>
  <c r="CK359" i="19"/>
  <c r="D359" i="19"/>
  <c r="DI358" i="19"/>
  <c r="DA358" i="19"/>
  <c r="CS358" i="19"/>
  <c r="CK358" i="19"/>
  <c r="D358" i="19"/>
  <c r="DI357" i="19"/>
  <c r="DA357" i="19"/>
  <c r="CS357" i="19"/>
  <c r="CK357" i="19"/>
  <c r="D357" i="19"/>
  <c r="DI356" i="19"/>
  <c r="DA356" i="19"/>
  <c r="CS356" i="19"/>
  <c r="CK356" i="19"/>
  <c r="D356" i="19"/>
  <c r="DI355" i="19"/>
  <c r="DA355" i="19"/>
  <c r="CS355" i="19"/>
  <c r="CK355" i="19"/>
  <c r="D355" i="19"/>
  <c r="DI354" i="19"/>
  <c r="DA354" i="19"/>
  <c r="CS354" i="19"/>
  <c r="CK354" i="19"/>
  <c r="D354" i="19"/>
  <c r="DI353" i="19"/>
  <c r="DA353" i="19"/>
  <c r="CS353" i="19"/>
  <c r="CK353" i="19"/>
  <c r="D353" i="19"/>
  <c r="DI352" i="19"/>
  <c r="DA352" i="19"/>
  <c r="CS352" i="19"/>
  <c r="CK352" i="19"/>
  <c r="D352" i="19"/>
  <c r="DI351" i="19"/>
  <c r="DA351" i="19"/>
  <c r="CS351" i="19"/>
  <c r="CK351" i="19"/>
  <c r="D351" i="19"/>
  <c r="DI350" i="19"/>
  <c r="DA350" i="19"/>
  <c r="CS350" i="19"/>
  <c r="CK350" i="19"/>
  <c r="D350" i="19"/>
  <c r="DI349" i="19"/>
  <c r="DA349" i="19"/>
  <c r="CS349" i="19"/>
  <c r="CK349" i="19"/>
  <c r="D349" i="19"/>
  <c r="DI348" i="19"/>
  <c r="DA348" i="19"/>
  <c r="CS348" i="19"/>
  <c r="CK348" i="19"/>
  <c r="D348" i="19"/>
  <c r="DI347" i="19"/>
  <c r="DA347" i="19"/>
  <c r="CS347" i="19"/>
  <c r="CK347" i="19"/>
  <c r="D347" i="19"/>
  <c r="DI346" i="19"/>
  <c r="DA346" i="19"/>
  <c r="CS346" i="19"/>
  <c r="CK346" i="19"/>
  <c r="D346" i="19"/>
  <c r="DI345" i="19"/>
  <c r="DA345" i="19"/>
  <c r="CS345" i="19"/>
  <c r="CK345" i="19"/>
  <c r="D345" i="19"/>
  <c r="DI344" i="19"/>
  <c r="DA344" i="19"/>
  <c r="CS344" i="19"/>
  <c r="CK344" i="19"/>
  <c r="D344" i="19"/>
  <c r="DI343" i="19"/>
  <c r="DA343" i="19"/>
  <c r="CS343" i="19"/>
  <c r="CK343" i="19"/>
  <c r="D343" i="19"/>
  <c r="DI342" i="19"/>
  <c r="DA342" i="19"/>
  <c r="CS342" i="19"/>
  <c r="CK342" i="19"/>
  <c r="D342" i="19"/>
  <c r="DI341" i="19"/>
  <c r="DA341" i="19"/>
  <c r="CS341" i="19"/>
  <c r="CK341" i="19"/>
  <c r="D341" i="19"/>
  <c r="DI340" i="19"/>
  <c r="DA340" i="19"/>
  <c r="CS340" i="19"/>
  <c r="CK340" i="19"/>
  <c r="D340" i="19"/>
  <c r="DI339" i="19"/>
  <c r="DA339" i="19"/>
  <c r="CS339" i="19"/>
  <c r="CK339" i="19"/>
  <c r="D339" i="19"/>
  <c r="DI338" i="19"/>
  <c r="DA338" i="19"/>
  <c r="CS338" i="19"/>
  <c r="CK338" i="19"/>
  <c r="D338" i="19"/>
  <c r="DI337" i="19"/>
  <c r="DA337" i="19"/>
  <c r="CS337" i="19"/>
  <c r="CK337" i="19"/>
  <c r="D337" i="19"/>
  <c r="DI336" i="19"/>
  <c r="DA336" i="19"/>
  <c r="CS336" i="19"/>
  <c r="CK336" i="19"/>
  <c r="D336" i="19"/>
  <c r="DI335" i="19"/>
  <c r="DA335" i="19"/>
  <c r="CS335" i="19"/>
  <c r="CK335" i="19"/>
  <c r="D335" i="19"/>
  <c r="DI334" i="19"/>
  <c r="DA334" i="19"/>
  <c r="CS334" i="19"/>
  <c r="CK334" i="19"/>
  <c r="D334" i="19"/>
  <c r="DI333" i="19"/>
  <c r="DA333" i="19"/>
  <c r="CS333" i="19"/>
  <c r="CK333" i="19"/>
  <c r="D333" i="19"/>
  <c r="DI332" i="19"/>
  <c r="DA332" i="19"/>
  <c r="CS332" i="19"/>
  <c r="CK332" i="19"/>
  <c r="D332" i="19"/>
  <c r="DI331" i="19"/>
  <c r="DA331" i="19"/>
  <c r="CS331" i="19"/>
  <c r="CK331" i="19"/>
  <c r="D331" i="19"/>
  <c r="DI330" i="19"/>
  <c r="DA330" i="19"/>
  <c r="CS330" i="19"/>
  <c r="CK330" i="19"/>
  <c r="D330" i="19"/>
  <c r="DI329" i="19"/>
  <c r="DA329" i="19"/>
  <c r="CS329" i="19"/>
  <c r="CK329" i="19"/>
  <c r="D329" i="19"/>
  <c r="DI328" i="19"/>
  <c r="DA328" i="19"/>
  <c r="CS328" i="19"/>
  <c r="CK328" i="19"/>
  <c r="D328" i="19"/>
  <c r="DI327" i="19"/>
  <c r="DA327" i="19"/>
  <c r="CS327" i="19"/>
  <c r="CK327" i="19"/>
  <c r="D327" i="19"/>
  <c r="DI326" i="19"/>
  <c r="DA326" i="19"/>
  <c r="CS326" i="19"/>
  <c r="CK326" i="19"/>
  <c r="D326" i="19"/>
  <c r="DI325" i="19"/>
  <c r="DA325" i="19"/>
  <c r="CS325" i="19"/>
  <c r="CK325" i="19"/>
  <c r="D325" i="19"/>
  <c r="DI324" i="19"/>
  <c r="DA324" i="19"/>
  <c r="CS324" i="19"/>
  <c r="CK324" i="19"/>
  <c r="D324" i="19"/>
  <c r="DI323" i="19"/>
  <c r="DA323" i="19"/>
  <c r="CS323" i="19"/>
  <c r="CK323" i="19"/>
  <c r="D323" i="19"/>
  <c r="DI322" i="19"/>
  <c r="DA322" i="19"/>
  <c r="CS322" i="19"/>
  <c r="CK322" i="19"/>
  <c r="D322" i="19"/>
  <c r="DI321" i="19"/>
  <c r="DA321" i="19"/>
  <c r="CS321" i="19"/>
  <c r="CK321" i="19"/>
  <c r="D321" i="19"/>
  <c r="DI320" i="19"/>
  <c r="DA320" i="19"/>
  <c r="CS320" i="19"/>
  <c r="CK320" i="19"/>
  <c r="D320" i="19"/>
  <c r="DI319" i="19"/>
  <c r="DA319" i="19"/>
  <c r="CS319" i="19"/>
  <c r="CK319" i="19"/>
  <c r="D319" i="19"/>
  <c r="DI318" i="19"/>
  <c r="DA318" i="19"/>
  <c r="CS318" i="19"/>
  <c r="CK318" i="19"/>
  <c r="D318" i="19"/>
  <c r="DI317" i="19"/>
  <c r="DA317" i="19"/>
  <c r="CS317" i="19"/>
  <c r="CK317" i="19"/>
  <c r="D317" i="19"/>
  <c r="DI316" i="19"/>
  <c r="DA316" i="19"/>
  <c r="CS316" i="19"/>
  <c r="CK316" i="19"/>
  <c r="D316" i="19"/>
  <c r="DI315" i="19"/>
  <c r="DA315" i="19"/>
  <c r="CS315" i="19"/>
  <c r="CK315" i="19"/>
  <c r="D315" i="19"/>
  <c r="DI314" i="19"/>
  <c r="DA314" i="19"/>
  <c r="CS314" i="19"/>
  <c r="CK314" i="19"/>
  <c r="D314" i="19"/>
  <c r="DI313" i="19"/>
  <c r="DA313" i="19"/>
  <c r="CS313" i="19"/>
  <c r="CK313" i="19"/>
  <c r="D313" i="19"/>
  <c r="DI312" i="19"/>
  <c r="DA312" i="19"/>
  <c r="CS312" i="19"/>
  <c r="CK312" i="19"/>
  <c r="D312" i="19"/>
  <c r="DI311" i="19"/>
  <c r="DA311" i="19"/>
  <c r="CS311" i="19"/>
  <c r="CK311" i="19"/>
  <c r="D311" i="19"/>
  <c r="DI310" i="19"/>
  <c r="DA310" i="19"/>
  <c r="CS310" i="19"/>
  <c r="CK310" i="19"/>
  <c r="D310" i="19"/>
  <c r="DI309" i="19"/>
  <c r="DA309" i="19"/>
  <c r="CS309" i="19"/>
  <c r="CK309" i="19"/>
  <c r="D309" i="19"/>
  <c r="DI308" i="19"/>
  <c r="DA308" i="19"/>
  <c r="CS308" i="19"/>
  <c r="CK308" i="19"/>
  <c r="D308" i="19"/>
  <c r="DI307" i="19"/>
  <c r="DA307" i="19"/>
  <c r="CS307" i="19"/>
  <c r="CK307" i="19"/>
  <c r="D307" i="19"/>
  <c r="DI306" i="19"/>
  <c r="DA306" i="19"/>
  <c r="CS306" i="19"/>
  <c r="CK306" i="19"/>
  <c r="D306" i="19"/>
  <c r="DI305" i="19"/>
  <c r="DA305" i="19"/>
  <c r="CS305" i="19"/>
  <c r="CK305" i="19"/>
  <c r="D305" i="19"/>
  <c r="DI304" i="19"/>
  <c r="DA304" i="19"/>
  <c r="CS304" i="19"/>
  <c r="CK304" i="19"/>
  <c r="D304" i="19"/>
  <c r="DI303" i="19"/>
  <c r="DA303" i="19"/>
  <c r="CS303" i="19"/>
  <c r="CK303" i="19"/>
  <c r="D303" i="19"/>
  <c r="DI302" i="19"/>
  <c r="DA302" i="19"/>
  <c r="CS302" i="19"/>
  <c r="CK302" i="19"/>
  <c r="D302" i="19"/>
  <c r="DI301" i="19"/>
  <c r="DA301" i="19"/>
  <c r="CS301" i="19"/>
  <c r="CK301" i="19"/>
  <c r="D301" i="19"/>
  <c r="DI300" i="19"/>
  <c r="DA300" i="19"/>
  <c r="CS300" i="19"/>
  <c r="CK300" i="19"/>
  <c r="D300" i="19"/>
  <c r="DI299" i="19"/>
  <c r="DA299" i="19"/>
  <c r="CS299" i="19"/>
  <c r="CK299" i="19"/>
  <c r="D299" i="19"/>
  <c r="DI298" i="19"/>
  <c r="DA298" i="19"/>
  <c r="CS298" i="19"/>
  <c r="CK298" i="19"/>
  <c r="D298" i="19"/>
  <c r="DI297" i="19"/>
  <c r="DA297" i="19"/>
  <c r="CS297" i="19"/>
  <c r="CK297" i="19"/>
  <c r="D297" i="19"/>
  <c r="DI296" i="19"/>
  <c r="DA296" i="19"/>
  <c r="CS296" i="19"/>
  <c r="CK296" i="19"/>
  <c r="D296" i="19"/>
  <c r="DI295" i="19"/>
  <c r="DA295" i="19"/>
  <c r="CS295" i="19"/>
  <c r="CK295" i="19"/>
  <c r="D295" i="19"/>
  <c r="DI294" i="19"/>
  <c r="DA294" i="19"/>
  <c r="CS294" i="19"/>
  <c r="CK294" i="19"/>
  <c r="D294" i="19"/>
  <c r="DI293" i="19"/>
  <c r="DA293" i="19"/>
  <c r="CS293" i="19"/>
  <c r="CK293" i="19"/>
  <c r="D293" i="19"/>
  <c r="DI292" i="19"/>
  <c r="DA292" i="19"/>
  <c r="CS292" i="19"/>
  <c r="CK292" i="19"/>
  <c r="D292" i="19"/>
  <c r="DI291" i="19"/>
  <c r="DA291" i="19"/>
  <c r="CS291" i="19"/>
  <c r="CK291" i="19"/>
  <c r="D291" i="19"/>
  <c r="DI290" i="19"/>
  <c r="DA290" i="19"/>
  <c r="CS290" i="19"/>
  <c r="CK290" i="19"/>
  <c r="D290" i="19"/>
  <c r="DI289" i="19"/>
  <c r="DA289" i="19"/>
  <c r="CS289" i="19"/>
  <c r="CK289" i="19"/>
  <c r="D289" i="19"/>
  <c r="DI288" i="19"/>
  <c r="DA288" i="19"/>
  <c r="CS288" i="19"/>
  <c r="CK288" i="19"/>
  <c r="D288" i="19"/>
  <c r="DI287" i="19"/>
  <c r="DA287" i="19"/>
  <c r="CS287" i="19"/>
  <c r="CK287" i="19"/>
  <c r="D287" i="19"/>
  <c r="DI286" i="19"/>
  <c r="DA286" i="19"/>
  <c r="CS286" i="19"/>
  <c r="CK286" i="19"/>
  <c r="D286" i="19"/>
  <c r="DI285" i="19"/>
  <c r="DA285" i="19"/>
  <c r="CS285" i="19"/>
  <c r="CK285" i="19"/>
  <c r="D285" i="19"/>
  <c r="DI284" i="19"/>
  <c r="DA284" i="19"/>
  <c r="CS284" i="19"/>
  <c r="CK284" i="19"/>
  <c r="D284" i="19"/>
  <c r="DI283" i="19"/>
  <c r="DA283" i="19"/>
  <c r="CS283" i="19"/>
  <c r="CK283" i="19"/>
  <c r="D283" i="19"/>
  <c r="DI282" i="19"/>
  <c r="DA282" i="19"/>
  <c r="CS282" i="19"/>
  <c r="CK282" i="19"/>
  <c r="D282" i="19"/>
  <c r="DI281" i="19"/>
  <c r="DA281" i="19"/>
  <c r="CS281" i="19"/>
  <c r="CK281" i="19"/>
  <c r="D281" i="19"/>
  <c r="DI280" i="19"/>
  <c r="DA280" i="19"/>
  <c r="CS280" i="19"/>
  <c r="CK280" i="19"/>
  <c r="D280" i="19"/>
  <c r="DI279" i="19"/>
  <c r="DA279" i="19"/>
  <c r="CS279" i="19"/>
  <c r="CK279" i="19"/>
  <c r="D279" i="19"/>
  <c r="DI278" i="19"/>
  <c r="DA278" i="19"/>
  <c r="CS278" i="19"/>
  <c r="CK278" i="19"/>
  <c r="D278" i="19"/>
  <c r="DI277" i="19"/>
  <c r="DA277" i="19"/>
  <c r="CS277" i="19"/>
  <c r="CK277" i="19"/>
  <c r="D277" i="19"/>
  <c r="DI276" i="19"/>
  <c r="DA276" i="19"/>
  <c r="CS276" i="19"/>
  <c r="CK276" i="19"/>
  <c r="D276" i="19"/>
  <c r="DI275" i="19"/>
  <c r="DA275" i="19"/>
  <c r="CS275" i="19"/>
  <c r="CK275" i="19"/>
  <c r="D275" i="19"/>
  <c r="DI274" i="19"/>
  <c r="DA274" i="19"/>
  <c r="CS274" i="19"/>
  <c r="CK274" i="19"/>
  <c r="D274" i="19"/>
  <c r="DI273" i="19"/>
  <c r="DA273" i="19"/>
  <c r="CS273" i="19"/>
  <c r="CK273" i="19"/>
  <c r="D273" i="19"/>
  <c r="DI272" i="19"/>
  <c r="DA272" i="19"/>
  <c r="CS272" i="19"/>
  <c r="CK272" i="19"/>
  <c r="D272" i="19"/>
  <c r="DI271" i="19"/>
  <c r="DA271" i="19"/>
  <c r="CS271" i="19"/>
  <c r="CK271" i="19"/>
  <c r="D271" i="19"/>
  <c r="DI270" i="19"/>
  <c r="DA270" i="19"/>
  <c r="CS270" i="19"/>
  <c r="CK270" i="19"/>
  <c r="D270" i="19"/>
  <c r="DI269" i="19"/>
  <c r="DA269" i="19"/>
  <c r="CS269" i="19"/>
  <c r="CK269" i="19"/>
  <c r="D269" i="19"/>
  <c r="DI268" i="19"/>
  <c r="DA268" i="19"/>
  <c r="CS268" i="19"/>
  <c r="CK268" i="19"/>
  <c r="D268" i="19"/>
  <c r="DI267" i="19"/>
  <c r="DA267" i="19"/>
  <c r="CS267" i="19"/>
  <c r="CK267" i="19"/>
  <c r="D267" i="19"/>
  <c r="DI266" i="19"/>
  <c r="DA266" i="19"/>
  <c r="CS266" i="19"/>
  <c r="CK266" i="19"/>
  <c r="D266" i="19"/>
  <c r="DI265" i="19"/>
  <c r="DA265" i="19"/>
  <c r="CS265" i="19"/>
  <c r="CK265" i="19"/>
  <c r="D265" i="19"/>
  <c r="DI264" i="19"/>
  <c r="DA264" i="19"/>
  <c r="CS264" i="19"/>
  <c r="CK264" i="19"/>
  <c r="D264" i="19"/>
  <c r="DI263" i="19"/>
  <c r="DA263" i="19"/>
  <c r="CS263" i="19"/>
  <c r="CK263" i="19"/>
  <c r="D263" i="19"/>
  <c r="DI262" i="19"/>
  <c r="DA262" i="19"/>
  <c r="CS262" i="19"/>
  <c r="CK262" i="19"/>
  <c r="D262" i="19"/>
  <c r="DI261" i="19"/>
  <c r="DA261" i="19"/>
  <c r="CS261" i="19"/>
  <c r="CK261" i="19"/>
  <c r="D261" i="19"/>
  <c r="DI260" i="19"/>
  <c r="DA260" i="19"/>
  <c r="CS260" i="19"/>
  <c r="CK260" i="19"/>
  <c r="D260" i="19"/>
  <c r="DI259" i="19"/>
  <c r="DA259" i="19"/>
  <c r="CS259" i="19"/>
  <c r="CK259" i="19"/>
  <c r="D259" i="19"/>
  <c r="DI258" i="19"/>
  <c r="DA258" i="19"/>
  <c r="CS258" i="19"/>
  <c r="CK258" i="19"/>
  <c r="D258" i="19"/>
  <c r="DI257" i="19"/>
  <c r="DA257" i="19"/>
  <c r="CS257" i="19"/>
  <c r="CK257" i="19"/>
  <c r="D257" i="19"/>
  <c r="DI256" i="19"/>
  <c r="DA256" i="19"/>
  <c r="CS256" i="19"/>
  <c r="CK256" i="19"/>
  <c r="D256" i="19"/>
  <c r="DI255" i="19"/>
  <c r="DA255" i="19"/>
  <c r="CS255" i="19"/>
  <c r="CK255" i="19"/>
  <c r="D255" i="19"/>
  <c r="DI254" i="19"/>
  <c r="DA254" i="19"/>
  <c r="CS254" i="19"/>
  <c r="CK254" i="19"/>
  <c r="D254" i="19"/>
  <c r="DI253" i="19"/>
  <c r="DA253" i="19"/>
  <c r="CS253" i="19"/>
  <c r="CK253" i="19"/>
  <c r="D253" i="19"/>
  <c r="DI252" i="19"/>
  <c r="DA252" i="19"/>
  <c r="CS252" i="19"/>
  <c r="CK252" i="19"/>
  <c r="D252" i="19"/>
  <c r="DI251" i="19"/>
  <c r="DA251" i="19"/>
  <c r="CS251" i="19"/>
  <c r="CK251" i="19"/>
  <c r="D251" i="19"/>
  <c r="DI250" i="19"/>
  <c r="DA250" i="19"/>
  <c r="CS250" i="19"/>
  <c r="CK250" i="19"/>
  <c r="D250" i="19"/>
  <c r="DI249" i="19"/>
  <c r="DA249" i="19"/>
  <c r="CS249" i="19"/>
  <c r="CK249" i="19"/>
  <c r="D249" i="19"/>
  <c r="DI248" i="19"/>
  <c r="DA248" i="19"/>
  <c r="CS248" i="19"/>
  <c r="CK248" i="19"/>
  <c r="D248" i="19"/>
  <c r="DI247" i="19"/>
  <c r="DA247" i="19"/>
  <c r="CS247" i="19"/>
  <c r="CK247" i="19"/>
  <c r="D247" i="19"/>
  <c r="DI246" i="19"/>
  <c r="DA246" i="19"/>
  <c r="CS246" i="19"/>
  <c r="CK246" i="19"/>
  <c r="D246" i="19"/>
  <c r="DI245" i="19"/>
  <c r="DA245" i="19"/>
  <c r="CS245" i="19"/>
  <c r="CK245" i="19"/>
  <c r="D245" i="19"/>
  <c r="DI244" i="19"/>
  <c r="DA244" i="19"/>
  <c r="CS244" i="19"/>
  <c r="CK244" i="19"/>
  <c r="D244" i="19"/>
  <c r="DI243" i="19"/>
  <c r="DA243" i="19"/>
  <c r="CS243" i="19"/>
  <c r="CK243" i="19"/>
  <c r="D243" i="19"/>
  <c r="DI242" i="19"/>
  <c r="DA242" i="19"/>
  <c r="CS242" i="19"/>
  <c r="CK242" i="19"/>
  <c r="D242" i="19"/>
  <c r="DI241" i="19"/>
  <c r="DA241" i="19"/>
  <c r="CS241" i="19"/>
  <c r="CK241" i="19"/>
  <c r="D241" i="19"/>
  <c r="DI240" i="19"/>
  <c r="DA240" i="19"/>
  <c r="CS240" i="19"/>
  <c r="CK240" i="19"/>
  <c r="D240" i="19"/>
  <c r="DI239" i="19"/>
  <c r="DA239" i="19"/>
  <c r="CS239" i="19"/>
  <c r="CK239" i="19"/>
  <c r="D239" i="19"/>
  <c r="DI238" i="19"/>
  <c r="DA238" i="19"/>
  <c r="CS238" i="19"/>
  <c r="CK238" i="19"/>
  <c r="D238" i="19"/>
  <c r="DI237" i="19"/>
  <c r="DA237" i="19"/>
  <c r="CS237" i="19"/>
  <c r="CK237" i="19"/>
  <c r="D237" i="19"/>
  <c r="DI236" i="19"/>
  <c r="DA236" i="19"/>
  <c r="CS236" i="19"/>
  <c r="CK236" i="19"/>
  <c r="D236" i="19"/>
  <c r="DI235" i="19"/>
  <c r="DA235" i="19"/>
  <c r="CS235" i="19"/>
  <c r="CK235" i="19"/>
  <c r="D235" i="19"/>
  <c r="DI234" i="19"/>
  <c r="DA234" i="19"/>
  <c r="CS234" i="19"/>
  <c r="CK234" i="19"/>
  <c r="D234" i="19"/>
  <c r="DI233" i="19"/>
  <c r="DA233" i="19"/>
  <c r="CS233" i="19"/>
  <c r="CK233" i="19"/>
  <c r="D233" i="19"/>
  <c r="DI232" i="19"/>
  <c r="DA232" i="19"/>
  <c r="CS232" i="19"/>
  <c r="CK232" i="19"/>
  <c r="D232" i="19"/>
  <c r="DI231" i="19"/>
  <c r="DA231" i="19"/>
  <c r="CS231" i="19"/>
  <c r="CK231" i="19"/>
  <c r="D231" i="19"/>
  <c r="DI230" i="19"/>
  <c r="DA230" i="19"/>
  <c r="CS230" i="19"/>
  <c r="CK230" i="19"/>
  <c r="D230" i="19"/>
  <c r="DI229" i="19"/>
  <c r="DA229" i="19"/>
  <c r="CS229" i="19"/>
  <c r="CK229" i="19"/>
  <c r="D229" i="19"/>
  <c r="DI228" i="19"/>
  <c r="DA228" i="19"/>
  <c r="CS228" i="19"/>
  <c r="CK228" i="19"/>
  <c r="D228" i="19"/>
  <c r="DI227" i="19"/>
  <c r="DA227" i="19"/>
  <c r="CS227" i="19"/>
  <c r="CK227" i="19"/>
  <c r="D227" i="19"/>
  <c r="DI226" i="19"/>
  <c r="DA226" i="19"/>
  <c r="CS226" i="19"/>
  <c r="CK226" i="19"/>
  <c r="D226" i="19"/>
  <c r="DI225" i="19"/>
  <c r="DA225" i="19"/>
  <c r="CS225" i="19"/>
  <c r="CK225" i="19"/>
  <c r="D225" i="19"/>
  <c r="DI224" i="19"/>
  <c r="DA224" i="19"/>
  <c r="CS224" i="19"/>
  <c r="CK224" i="19"/>
  <c r="D224" i="19"/>
  <c r="DI223" i="19"/>
  <c r="DA223" i="19"/>
  <c r="CS223" i="19"/>
  <c r="CK223" i="19"/>
  <c r="D223" i="19"/>
  <c r="DI222" i="19"/>
  <c r="DA222" i="19"/>
  <c r="CS222" i="19"/>
  <c r="CK222" i="19"/>
  <c r="D222" i="19"/>
  <c r="DI221" i="19"/>
  <c r="DA221" i="19"/>
  <c r="CS221" i="19"/>
  <c r="CK221" i="19"/>
  <c r="D221" i="19"/>
  <c r="DI220" i="19"/>
  <c r="DA220" i="19"/>
  <c r="CS220" i="19"/>
  <c r="CK220" i="19"/>
  <c r="D220" i="19"/>
  <c r="DI219" i="19"/>
  <c r="DA219" i="19"/>
  <c r="CS219" i="19"/>
  <c r="CK219" i="19"/>
  <c r="D219" i="19"/>
  <c r="DI218" i="19"/>
  <c r="DA218" i="19"/>
  <c r="CS218" i="19"/>
  <c r="CK218" i="19"/>
  <c r="D218" i="19"/>
  <c r="DI217" i="19"/>
  <c r="DA217" i="19"/>
  <c r="CS217" i="19"/>
  <c r="CK217" i="19"/>
  <c r="D217" i="19"/>
  <c r="DI216" i="19"/>
  <c r="DA216" i="19"/>
  <c r="CS216" i="19"/>
  <c r="CK216" i="19"/>
  <c r="D216" i="19"/>
  <c r="DI215" i="19"/>
  <c r="DA215" i="19"/>
  <c r="CS215" i="19"/>
  <c r="CK215" i="19"/>
  <c r="D215" i="19"/>
  <c r="DI214" i="19"/>
  <c r="DA214" i="19"/>
  <c r="CS214" i="19"/>
  <c r="CK214" i="19"/>
  <c r="D214" i="19"/>
  <c r="DI213" i="19"/>
  <c r="DA213" i="19"/>
  <c r="CS213" i="19"/>
  <c r="CK213" i="19"/>
  <c r="D213" i="19"/>
  <c r="DI212" i="19"/>
  <c r="DA212" i="19"/>
  <c r="CS212" i="19"/>
  <c r="CK212" i="19"/>
  <c r="D212" i="19"/>
  <c r="DI211" i="19"/>
  <c r="DA211" i="19"/>
  <c r="CS211" i="19"/>
  <c r="CK211" i="19"/>
  <c r="D211" i="19"/>
  <c r="DI210" i="19"/>
  <c r="DA210" i="19"/>
  <c r="CS210" i="19"/>
  <c r="CK210" i="19"/>
  <c r="D210" i="19"/>
  <c r="DI209" i="19"/>
  <c r="DA209" i="19"/>
  <c r="CS209" i="19"/>
  <c r="CK209" i="19"/>
  <c r="D209" i="19"/>
  <c r="DI208" i="19"/>
  <c r="DA208" i="19"/>
  <c r="CS208" i="19"/>
  <c r="CK208" i="19"/>
  <c r="D208" i="19"/>
  <c r="DI207" i="19"/>
  <c r="DA207" i="19"/>
  <c r="CS207" i="19"/>
  <c r="CK207" i="19"/>
  <c r="D207" i="19"/>
  <c r="DI206" i="19"/>
  <c r="DA206" i="19"/>
  <c r="CS206" i="19"/>
  <c r="CK206" i="19"/>
  <c r="D206" i="19"/>
  <c r="DI205" i="19"/>
  <c r="DA205" i="19"/>
  <c r="CS205" i="19"/>
  <c r="CK205" i="19"/>
  <c r="D205" i="19"/>
  <c r="DI204" i="19"/>
  <c r="DA204" i="19"/>
  <c r="CS204" i="19"/>
  <c r="CK204" i="19"/>
  <c r="D204" i="19"/>
  <c r="DI203" i="19"/>
  <c r="DA203" i="19"/>
  <c r="CS203" i="19"/>
  <c r="CK203" i="19"/>
  <c r="D203" i="19"/>
  <c r="DI202" i="19"/>
  <c r="DA202" i="19"/>
  <c r="CS202" i="19"/>
  <c r="CK202" i="19"/>
  <c r="D202" i="19"/>
  <c r="DI201" i="19"/>
  <c r="DA201" i="19"/>
  <c r="CS201" i="19"/>
  <c r="CK201" i="19"/>
  <c r="D201" i="19"/>
  <c r="DI200" i="19"/>
  <c r="DA200" i="19"/>
  <c r="CS200" i="19"/>
  <c r="CK200" i="19"/>
  <c r="D200" i="19"/>
  <c r="DI199" i="19"/>
  <c r="DA199" i="19"/>
  <c r="CS199" i="19"/>
  <c r="CK199" i="19"/>
  <c r="D199" i="19"/>
  <c r="DI198" i="19"/>
  <c r="DA198" i="19"/>
  <c r="CS198" i="19"/>
  <c r="CK198" i="19"/>
  <c r="D198" i="19"/>
  <c r="DI197" i="19"/>
  <c r="DA197" i="19"/>
  <c r="CS197" i="19"/>
  <c r="CK197" i="19"/>
  <c r="D197" i="19"/>
  <c r="DI196" i="19"/>
  <c r="DA196" i="19"/>
  <c r="CS196" i="19"/>
  <c r="CK196" i="19"/>
  <c r="D196" i="19"/>
  <c r="DI195" i="19"/>
  <c r="DA195" i="19"/>
  <c r="CS195" i="19"/>
  <c r="CK195" i="19"/>
  <c r="D195" i="19"/>
  <c r="DI194" i="19"/>
  <c r="DA194" i="19"/>
  <c r="CS194" i="19"/>
  <c r="CK194" i="19"/>
  <c r="D194" i="19"/>
  <c r="DI193" i="19"/>
  <c r="DA193" i="19"/>
  <c r="CS193" i="19"/>
  <c r="CK193" i="19"/>
  <c r="D193" i="19"/>
  <c r="DI192" i="19"/>
  <c r="DA192" i="19"/>
  <c r="CS192" i="19"/>
  <c r="CK192" i="19"/>
  <c r="D192" i="19"/>
  <c r="DI191" i="19"/>
  <c r="DA191" i="19"/>
  <c r="CS191" i="19"/>
  <c r="CK191" i="19"/>
  <c r="D191" i="19"/>
  <c r="DI190" i="19"/>
  <c r="DA190" i="19"/>
  <c r="CS190" i="19"/>
  <c r="CK190" i="19"/>
  <c r="D190" i="19"/>
  <c r="DI189" i="19"/>
  <c r="DA189" i="19"/>
  <c r="CS189" i="19"/>
  <c r="CK189" i="19"/>
  <c r="D189" i="19"/>
  <c r="DI188" i="19"/>
  <c r="DA188" i="19"/>
  <c r="CS188" i="19"/>
  <c r="CK188" i="19"/>
  <c r="D188" i="19"/>
  <c r="DI187" i="19"/>
  <c r="DA187" i="19"/>
  <c r="CS187" i="19"/>
  <c r="CK187" i="19"/>
  <c r="D187" i="19"/>
  <c r="DI186" i="19"/>
  <c r="DA186" i="19"/>
  <c r="CS186" i="19"/>
  <c r="CK186" i="19"/>
  <c r="D186" i="19"/>
  <c r="DI185" i="19"/>
  <c r="DA185" i="19"/>
  <c r="CS185" i="19"/>
  <c r="CK185" i="19"/>
  <c r="D185" i="19"/>
  <c r="DI184" i="19"/>
  <c r="DA184" i="19"/>
  <c r="CS184" i="19"/>
  <c r="CK184" i="19"/>
  <c r="D184" i="19"/>
  <c r="DI183" i="19"/>
  <c r="DA183" i="19"/>
  <c r="CS183" i="19"/>
  <c r="CK183" i="19"/>
  <c r="D183" i="19"/>
  <c r="DI182" i="19"/>
  <c r="DA182" i="19"/>
  <c r="CS182" i="19"/>
  <c r="CK182" i="19"/>
  <c r="D182" i="19"/>
  <c r="DI181" i="19"/>
  <c r="DA181" i="19"/>
  <c r="CS181" i="19"/>
  <c r="CK181" i="19"/>
  <c r="D181" i="19"/>
  <c r="DI180" i="19"/>
  <c r="DA180" i="19"/>
  <c r="CS180" i="19"/>
  <c r="CK180" i="19"/>
  <c r="D180" i="19"/>
  <c r="DI179" i="19"/>
  <c r="DA179" i="19"/>
  <c r="CS179" i="19"/>
  <c r="CK179" i="19"/>
  <c r="D179" i="19"/>
  <c r="DI178" i="19"/>
  <c r="DA178" i="19"/>
  <c r="CS178" i="19"/>
  <c r="CK178" i="19"/>
  <c r="D178" i="19"/>
  <c r="DI177" i="19"/>
  <c r="DA177" i="19"/>
  <c r="CS177" i="19"/>
  <c r="CK177" i="19"/>
  <c r="D177" i="19"/>
  <c r="DI176" i="19"/>
  <c r="DA176" i="19"/>
  <c r="CS176" i="19"/>
  <c r="CK176" i="19"/>
  <c r="D176" i="19"/>
  <c r="DI175" i="19"/>
  <c r="DA175" i="19"/>
  <c r="CS175" i="19"/>
  <c r="CK175" i="19"/>
  <c r="D175" i="19"/>
  <c r="DI174" i="19"/>
  <c r="DA174" i="19"/>
  <c r="CS174" i="19"/>
  <c r="CK174" i="19"/>
  <c r="D174" i="19"/>
  <c r="DI173" i="19"/>
  <c r="DA173" i="19"/>
  <c r="CS173" i="19"/>
  <c r="CK173" i="19"/>
  <c r="D173" i="19"/>
  <c r="DI172" i="19"/>
  <c r="DA172" i="19"/>
  <c r="CS172" i="19"/>
  <c r="CK172" i="19"/>
  <c r="D172" i="19"/>
  <c r="DI171" i="19"/>
  <c r="DA171" i="19"/>
  <c r="CS171" i="19"/>
  <c r="CK171" i="19"/>
  <c r="D171" i="19"/>
  <c r="DI170" i="19"/>
  <c r="DA170" i="19"/>
  <c r="CS170" i="19"/>
  <c r="CK170" i="19"/>
  <c r="D170" i="19"/>
  <c r="DI169" i="19"/>
  <c r="DA169" i="19"/>
  <c r="CS169" i="19"/>
  <c r="CK169" i="19"/>
  <c r="D169" i="19"/>
  <c r="DI168" i="19"/>
  <c r="DA168" i="19"/>
  <c r="CS168" i="19"/>
  <c r="CK168" i="19"/>
  <c r="D168" i="19"/>
  <c r="DI167" i="19"/>
  <c r="DA167" i="19"/>
  <c r="CS167" i="19"/>
  <c r="CK167" i="19"/>
  <c r="D167" i="19"/>
  <c r="DI166" i="19"/>
  <c r="DA166" i="19"/>
  <c r="CS166" i="19"/>
  <c r="CK166" i="19"/>
  <c r="D166" i="19"/>
  <c r="DI165" i="19"/>
  <c r="DA165" i="19"/>
  <c r="CS165" i="19"/>
  <c r="CK165" i="19"/>
  <c r="D165" i="19"/>
  <c r="DI164" i="19"/>
  <c r="DA164" i="19"/>
  <c r="CS164" i="19"/>
  <c r="CK164" i="19"/>
  <c r="D164" i="19"/>
  <c r="DI163" i="19"/>
  <c r="DA163" i="19"/>
  <c r="CS163" i="19"/>
  <c r="CK163" i="19"/>
  <c r="D163" i="19"/>
  <c r="DI162" i="19"/>
  <c r="DA162" i="19"/>
  <c r="CS162" i="19"/>
  <c r="CK162" i="19"/>
  <c r="D162" i="19"/>
  <c r="DI161" i="19"/>
  <c r="DA161" i="19"/>
  <c r="CS161" i="19"/>
  <c r="CK161" i="19"/>
  <c r="D161" i="19"/>
  <c r="DI160" i="19"/>
  <c r="DA160" i="19"/>
  <c r="CS160" i="19"/>
  <c r="CK160" i="19"/>
  <c r="D160" i="19"/>
  <c r="DI159" i="19"/>
  <c r="DA159" i="19"/>
  <c r="CS159" i="19"/>
  <c r="CK159" i="19"/>
  <c r="D159" i="19"/>
  <c r="DI158" i="19"/>
  <c r="DA158" i="19"/>
  <c r="CS158" i="19"/>
  <c r="CK158" i="19"/>
  <c r="D158" i="19"/>
  <c r="DI157" i="19"/>
  <c r="DA157" i="19"/>
  <c r="CS157" i="19"/>
  <c r="CK157" i="19"/>
  <c r="D157" i="19"/>
  <c r="DI156" i="19"/>
  <c r="DA156" i="19"/>
  <c r="CS156" i="19"/>
  <c r="CK156" i="19"/>
  <c r="D156" i="19"/>
  <c r="DI155" i="19"/>
  <c r="DA155" i="19"/>
  <c r="CS155" i="19"/>
  <c r="CK155" i="19"/>
  <c r="D155" i="19"/>
  <c r="DI154" i="19"/>
  <c r="DA154" i="19"/>
  <c r="CS154" i="19"/>
  <c r="CK154" i="19"/>
  <c r="D154" i="19"/>
  <c r="DI153" i="19"/>
  <c r="DA153" i="19"/>
  <c r="CS153" i="19"/>
  <c r="CK153" i="19"/>
  <c r="D153" i="19"/>
  <c r="DI152" i="19"/>
  <c r="DA152" i="19"/>
  <c r="CS152" i="19"/>
  <c r="CK152" i="19"/>
  <c r="D152" i="19"/>
  <c r="DI151" i="19"/>
  <c r="DA151" i="19"/>
  <c r="CS151" i="19"/>
  <c r="CK151" i="19"/>
  <c r="D151" i="19"/>
  <c r="DI150" i="19"/>
  <c r="DA150" i="19"/>
  <c r="CS150" i="19"/>
  <c r="CK150" i="19"/>
  <c r="D150" i="19"/>
  <c r="DI149" i="19"/>
  <c r="DA149" i="19"/>
  <c r="CS149" i="19"/>
  <c r="CK149" i="19"/>
  <c r="D149" i="19"/>
  <c r="DI148" i="19"/>
  <c r="DA148" i="19"/>
  <c r="CS148" i="19"/>
  <c r="CK148" i="19"/>
  <c r="D148" i="19"/>
  <c r="DI147" i="19"/>
  <c r="DA147" i="19"/>
  <c r="CS147" i="19"/>
  <c r="CK147" i="19"/>
  <c r="D147" i="19"/>
  <c r="DI146" i="19"/>
  <c r="DA146" i="19"/>
  <c r="CS146" i="19"/>
  <c r="CK146" i="19"/>
  <c r="D146" i="19"/>
  <c r="DI145" i="19"/>
  <c r="DA145" i="19"/>
  <c r="CS145" i="19"/>
  <c r="CK145" i="19"/>
  <c r="D145" i="19"/>
  <c r="DI144" i="19"/>
  <c r="DA144" i="19"/>
  <c r="CS144" i="19"/>
  <c r="CK144" i="19"/>
  <c r="D144" i="19"/>
  <c r="DI143" i="19"/>
  <c r="DA143" i="19"/>
  <c r="CS143" i="19"/>
  <c r="CK143" i="19"/>
  <c r="D143" i="19"/>
  <c r="DI142" i="19"/>
  <c r="DA142" i="19"/>
  <c r="CS142" i="19"/>
  <c r="CK142" i="19"/>
  <c r="D142" i="19"/>
  <c r="DI141" i="19"/>
  <c r="DA141" i="19"/>
  <c r="CS141" i="19"/>
  <c r="CK141" i="19"/>
  <c r="D141" i="19"/>
  <c r="DI140" i="19"/>
  <c r="DA140" i="19"/>
  <c r="CS140" i="19"/>
  <c r="CK140" i="19"/>
  <c r="D140" i="19"/>
  <c r="DI139" i="19"/>
  <c r="DA139" i="19"/>
  <c r="CS139" i="19"/>
  <c r="CK139" i="19"/>
  <c r="D139" i="19"/>
  <c r="DI138" i="19"/>
  <c r="DA138" i="19"/>
  <c r="CS138" i="19"/>
  <c r="CK138" i="19"/>
  <c r="D138" i="19"/>
  <c r="DI137" i="19"/>
  <c r="DA137" i="19"/>
  <c r="CS137" i="19"/>
  <c r="CK137" i="19"/>
  <c r="D137" i="19"/>
  <c r="DI136" i="19"/>
  <c r="DA136" i="19"/>
  <c r="CS136" i="19"/>
  <c r="CK136" i="19"/>
  <c r="D136" i="19"/>
  <c r="DI135" i="19"/>
  <c r="DA135" i="19"/>
  <c r="CS135" i="19"/>
  <c r="CK135" i="19"/>
  <c r="D135" i="19"/>
  <c r="DI134" i="19"/>
  <c r="DA134" i="19"/>
  <c r="CS134" i="19"/>
  <c r="CK134" i="19"/>
  <c r="D134" i="19"/>
  <c r="DI133" i="19"/>
  <c r="DA133" i="19"/>
  <c r="CS133" i="19"/>
  <c r="CK133" i="19"/>
  <c r="D133" i="19"/>
  <c r="DI132" i="19"/>
  <c r="DA132" i="19"/>
  <c r="CS132" i="19"/>
  <c r="CK132" i="19"/>
  <c r="D132" i="19"/>
  <c r="DI131" i="19"/>
  <c r="DA131" i="19"/>
  <c r="CS131" i="19"/>
  <c r="CK131" i="19"/>
  <c r="D131" i="19"/>
  <c r="DI130" i="19"/>
  <c r="DA130" i="19"/>
  <c r="CS130" i="19"/>
  <c r="CK130" i="19"/>
  <c r="D130" i="19"/>
  <c r="DI129" i="19"/>
  <c r="DA129" i="19"/>
  <c r="CS129" i="19"/>
  <c r="CK129" i="19"/>
  <c r="D129" i="19"/>
  <c r="DI128" i="19"/>
  <c r="DA128" i="19"/>
  <c r="CS128" i="19"/>
  <c r="CK128" i="19"/>
  <c r="D128" i="19"/>
  <c r="DI127" i="19"/>
  <c r="DA127" i="19"/>
  <c r="CS127" i="19"/>
  <c r="CK127" i="19"/>
  <c r="D127" i="19"/>
  <c r="DI126" i="19"/>
  <c r="DA126" i="19"/>
  <c r="CS126" i="19"/>
  <c r="CK126" i="19"/>
  <c r="D126" i="19"/>
  <c r="DI125" i="19"/>
  <c r="DA125" i="19"/>
  <c r="CS125" i="19"/>
  <c r="CK125" i="19"/>
  <c r="D125" i="19"/>
  <c r="DI124" i="19"/>
  <c r="DA124" i="19"/>
  <c r="CS124" i="19"/>
  <c r="CK124" i="19"/>
  <c r="D124" i="19"/>
  <c r="DI123" i="19"/>
  <c r="DA123" i="19"/>
  <c r="CS123" i="19"/>
  <c r="CK123" i="19"/>
  <c r="D123" i="19"/>
  <c r="DI122" i="19"/>
  <c r="DA122" i="19"/>
  <c r="CS122" i="19"/>
  <c r="CK122" i="19"/>
  <c r="D122" i="19"/>
  <c r="DI121" i="19"/>
  <c r="DA121" i="19"/>
  <c r="CS121" i="19"/>
  <c r="CK121" i="19"/>
  <c r="D121" i="19"/>
  <c r="DI120" i="19"/>
  <c r="DA120" i="19"/>
  <c r="CS120" i="19"/>
  <c r="CK120" i="19"/>
  <c r="D120" i="19"/>
  <c r="DI119" i="19"/>
  <c r="DA119" i="19"/>
  <c r="CS119" i="19"/>
  <c r="CK119" i="19"/>
  <c r="D119" i="19"/>
  <c r="DI118" i="19"/>
  <c r="DA118" i="19"/>
  <c r="CS118" i="19"/>
  <c r="CK118" i="19"/>
  <c r="D118" i="19"/>
  <c r="DI117" i="19"/>
  <c r="DA117" i="19"/>
  <c r="CS117" i="19"/>
  <c r="CK117" i="19"/>
  <c r="D117" i="19"/>
  <c r="DI116" i="19"/>
  <c r="DA116" i="19"/>
  <c r="CS116" i="19"/>
  <c r="CK116" i="19"/>
  <c r="D116" i="19"/>
  <c r="DI115" i="19"/>
  <c r="DA115" i="19"/>
  <c r="CS115" i="19"/>
  <c r="CK115" i="19"/>
  <c r="D115" i="19"/>
  <c r="DI114" i="19"/>
  <c r="DA114" i="19"/>
  <c r="CS114" i="19"/>
  <c r="CK114" i="19"/>
  <c r="D114" i="19"/>
  <c r="DI113" i="19"/>
  <c r="DA113" i="19"/>
  <c r="CS113" i="19"/>
  <c r="CK113" i="19"/>
  <c r="D113" i="19"/>
  <c r="DI112" i="19"/>
  <c r="DA112" i="19"/>
  <c r="CS112" i="19"/>
  <c r="CK112" i="19"/>
  <c r="D112" i="19"/>
  <c r="DI111" i="19"/>
  <c r="DA111" i="19"/>
  <c r="CS111" i="19"/>
  <c r="CK111" i="19"/>
  <c r="D111" i="19"/>
  <c r="DI110" i="19"/>
  <c r="DA110" i="19"/>
  <c r="CS110" i="19"/>
  <c r="CK110" i="19"/>
  <c r="D110" i="19"/>
  <c r="DI109" i="19"/>
  <c r="DA109" i="19"/>
  <c r="CS109" i="19"/>
  <c r="CK109" i="19"/>
  <c r="D109" i="19"/>
  <c r="DI108" i="19"/>
  <c r="DA108" i="19"/>
  <c r="CS108" i="19"/>
  <c r="CK108" i="19"/>
  <c r="D108" i="19"/>
  <c r="DI107" i="19"/>
  <c r="DA107" i="19"/>
  <c r="CS107" i="19"/>
  <c r="CK107" i="19"/>
  <c r="D107" i="19"/>
  <c r="DI106" i="19"/>
  <c r="DA106" i="19"/>
  <c r="CS106" i="19"/>
  <c r="CK106" i="19"/>
  <c r="D106" i="19"/>
  <c r="DI105" i="19"/>
  <c r="DA105" i="19"/>
  <c r="CS105" i="19"/>
  <c r="CK105" i="19"/>
  <c r="D105" i="19"/>
  <c r="DI104" i="19"/>
  <c r="DA104" i="19"/>
  <c r="CS104" i="19"/>
  <c r="CK104" i="19"/>
  <c r="D104" i="19"/>
  <c r="DI103" i="19"/>
  <c r="DA103" i="19"/>
  <c r="CS103" i="19"/>
  <c r="CK103" i="19"/>
  <c r="D103" i="19"/>
  <c r="DI102" i="19"/>
  <c r="DA102" i="19"/>
  <c r="CS102" i="19"/>
  <c r="CK102" i="19"/>
  <c r="D102" i="19"/>
  <c r="DI101" i="19"/>
  <c r="DA101" i="19"/>
  <c r="CS101" i="19"/>
  <c r="CK101" i="19"/>
  <c r="D101" i="19"/>
  <c r="DI100" i="19"/>
  <c r="DA100" i="19"/>
  <c r="CS100" i="19"/>
  <c r="CK100" i="19"/>
  <c r="D100" i="19"/>
  <c r="DI99" i="19"/>
  <c r="DA99" i="19"/>
  <c r="CS99" i="19"/>
  <c r="CK99" i="19"/>
  <c r="D99" i="19"/>
  <c r="DI98" i="19"/>
  <c r="DA98" i="19"/>
  <c r="CS98" i="19"/>
  <c r="CK98" i="19"/>
  <c r="D98" i="19"/>
  <c r="DI97" i="19"/>
  <c r="DA97" i="19"/>
  <c r="CS97" i="19"/>
  <c r="CK97" i="19"/>
  <c r="D97" i="19"/>
  <c r="DI96" i="19"/>
  <c r="DA96" i="19"/>
  <c r="CS96" i="19"/>
  <c r="CK96" i="19"/>
  <c r="D96" i="19"/>
  <c r="DI95" i="19"/>
  <c r="DA95" i="19"/>
  <c r="CS95" i="19"/>
  <c r="CK95" i="19"/>
  <c r="D95" i="19"/>
  <c r="DI94" i="19"/>
  <c r="DA94" i="19"/>
  <c r="CS94" i="19"/>
  <c r="CK94" i="19"/>
  <c r="D94" i="19"/>
  <c r="DI93" i="19"/>
  <c r="DA93" i="19"/>
  <c r="CS93" i="19"/>
  <c r="CK93" i="19"/>
  <c r="D93" i="19"/>
  <c r="DI92" i="19"/>
  <c r="DA92" i="19"/>
  <c r="CS92" i="19"/>
  <c r="CK92" i="19"/>
  <c r="D92" i="19"/>
  <c r="DI91" i="19"/>
  <c r="DA91" i="19"/>
  <c r="CS91" i="19"/>
  <c r="CK91" i="19"/>
  <c r="D91" i="19"/>
  <c r="DI90" i="19"/>
  <c r="DA90" i="19"/>
  <c r="CS90" i="19"/>
  <c r="CK90" i="19"/>
  <c r="D90" i="19"/>
  <c r="DI89" i="19"/>
  <c r="DA89" i="19"/>
  <c r="CS89" i="19"/>
  <c r="CK89" i="19"/>
  <c r="D89" i="19"/>
  <c r="DI88" i="19"/>
  <c r="DA88" i="19"/>
  <c r="CS88" i="19"/>
  <c r="CK88" i="19"/>
  <c r="D88" i="19"/>
  <c r="DI87" i="19"/>
  <c r="DA87" i="19"/>
  <c r="CS87" i="19"/>
  <c r="CK87" i="19"/>
  <c r="D87" i="19"/>
  <c r="DI86" i="19"/>
  <c r="DA86" i="19"/>
  <c r="CS86" i="19"/>
  <c r="CK86" i="19"/>
  <c r="D86" i="19"/>
  <c r="DI85" i="19"/>
  <c r="DA85" i="19"/>
  <c r="CS85" i="19"/>
  <c r="CK85" i="19"/>
  <c r="D85" i="19"/>
  <c r="DI84" i="19"/>
  <c r="DA84" i="19"/>
  <c r="CS84" i="19"/>
  <c r="CK84" i="19"/>
  <c r="D84" i="19"/>
  <c r="DI83" i="19"/>
  <c r="DA83" i="19"/>
  <c r="CS83" i="19"/>
  <c r="CK83" i="19"/>
  <c r="D83" i="19"/>
  <c r="DI82" i="19"/>
  <c r="DA82" i="19"/>
  <c r="CS82" i="19"/>
  <c r="CK82" i="19"/>
  <c r="D82" i="19"/>
  <c r="DI81" i="19"/>
  <c r="DA81" i="19"/>
  <c r="CS81" i="19"/>
  <c r="CK81" i="19"/>
  <c r="D81" i="19"/>
  <c r="DI80" i="19"/>
  <c r="DA80" i="19"/>
  <c r="CS80" i="19"/>
  <c r="CK80" i="19"/>
  <c r="D80" i="19"/>
  <c r="DI79" i="19"/>
  <c r="DA79" i="19"/>
  <c r="CS79" i="19"/>
  <c r="CK79" i="19"/>
  <c r="D79" i="19"/>
  <c r="DI78" i="19"/>
  <c r="DA78" i="19"/>
  <c r="CS78" i="19"/>
  <c r="CK78" i="19"/>
  <c r="D78" i="19"/>
  <c r="DI77" i="19"/>
  <c r="DA77" i="19"/>
  <c r="CS77" i="19"/>
  <c r="CK77" i="19"/>
  <c r="D77" i="19"/>
  <c r="DI76" i="19"/>
  <c r="DA76" i="19"/>
  <c r="CS76" i="19"/>
  <c r="CK76" i="19"/>
  <c r="D76" i="19"/>
  <c r="DI75" i="19"/>
  <c r="DA75" i="19"/>
  <c r="CS75" i="19"/>
  <c r="CK75" i="19"/>
  <c r="D75" i="19"/>
  <c r="DI74" i="19"/>
  <c r="DA74" i="19"/>
  <c r="CS74" i="19"/>
  <c r="CK74" i="19"/>
  <c r="D74" i="19"/>
  <c r="DI73" i="19"/>
  <c r="DA73" i="19"/>
  <c r="CS73" i="19"/>
  <c r="CK73" i="19"/>
  <c r="D73" i="19"/>
  <c r="DI72" i="19"/>
  <c r="DA72" i="19"/>
  <c r="CS72" i="19"/>
  <c r="CK72" i="19"/>
  <c r="D72" i="19"/>
  <c r="DI71" i="19"/>
  <c r="DA71" i="19"/>
  <c r="CS71" i="19"/>
  <c r="CK71" i="19"/>
  <c r="D71" i="19"/>
  <c r="DI70" i="19"/>
  <c r="DA70" i="19"/>
  <c r="CS70" i="19"/>
  <c r="CK70" i="19"/>
  <c r="D70" i="19"/>
  <c r="DI69" i="19"/>
  <c r="DA69" i="19"/>
  <c r="CS69" i="19"/>
  <c r="CK69" i="19"/>
  <c r="D69" i="19"/>
  <c r="DI68" i="19"/>
  <c r="DA68" i="19"/>
  <c r="CS68" i="19"/>
  <c r="CK68" i="19"/>
  <c r="D68" i="19"/>
  <c r="DI67" i="19"/>
  <c r="DA67" i="19"/>
  <c r="CS67" i="19"/>
  <c r="CK67" i="19"/>
  <c r="D67" i="19"/>
  <c r="DI66" i="19"/>
  <c r="DA66" i="19"/>
  <c r="CS66" i="19"/>
  <c r="CK66" i="19"/>
  <c r="D66" i="19"/>
  <c r="DI65" i="19"/>
  <c r="DA65" i="19"/>
  <c r="CS65" i="19"/>
  <c r="CK65" i="19"/>
  <c r="D65" i="19"/>
  <c r="DI64" i="19"/>
  <c r="DA64" i="19"/>
  <c r="CS64" i="19"/>
  <c r="CK64" i="19"/>
  <c r="D64" i="19"/>
  <c r="DI63" i="19"/>
  <c r="DA63" i="19"/>
  <c r="CS63" i="19"/>
  <c r="CK63" i="19"/>
  <c r="D63" i="19"/>
  <c r="DI62" i="19"/>
  <c r="DA62" i="19"/>
  <c r="CS62" i="19"/>
  <c r="CK62" i="19"/>
  <c r="D62" i="19"/>
  <c r="DI61" i="19"/>
  <c r="DA61" i="19"/>
  <c r="CS61" i="19"/>
  <c r="CK61" i="19"/>
  <c r="D61" i="19"/>
  <c r="DI60" i="19"/>
  <c r="DA60" i="19"/>
  <c r="CS60" i="19"/>
  <c r="CK60" i="19"/>
  <c r="D60" i="19"/>
  <c r="DI59" i="19"/>
  <c r="DA59" i="19"/>
  <c r="CS59" i="19"/>
  <c r="CK59" i="19"/>
  <c r="D59" i="19"/>
  <c r="DI58" i="19"/>
  <c r="DA58" i="19"/>
  <c r="CS58" i="19"/>
  <c r="CK58" i="19"/>
  <c r="D58" i="19"/>
  <c r="DI57" i="19"/>
  <c r="DA57" i="19"/>
  <c r="CS57" i="19"/>
  <c r="CK57" i="19"/>
  <c r="D57" i="19"/>
  <c r="DI56" i="19"/>
  <c r="DA56" i="19"/>
  <c r="CS56" i="19"/>
  <c r="CK56" i="19"/>
  <c r="D56" i="19"/>
  <c r="DI55" i="19"/>
  <c r="DA55" i="19"/>
  <c r="CS55" i="19"/>
  <c r="CK55" i="19"/>
  <c r="D55" i="19"/>
  <c r="DI54" i="19"/>
  <c r="DA54" i="19"/>
  <c r="CS54" i="19"/>
  <c r="CK54" i="19"/>
  <c r="D54" i="19"/>
  <c r="DI53" i="19"/>
  <c r="DA53" i="19"/>
  <c r="CS53" i="19"/>
  <c r="CK53" i="19"/>
  <c r="D53" i="19"/>
  <c r="DI52" i="19"/>
  <c r="DA52" i="19"/>
  <c r="CS52" i="19"/>
  <c r="CK52" i="19"/>
  <c r="D52" i="19"/>
  <c r="DI51" i="19"/>
  <c r="DA51" i="19"/>
  <c r="CS51" i="19"/>
  <c r="CK51" i="19"/>
  <c r="D51" i="19"/>
  <c r="DI50" i="19"/>
  <c r="DA50" i="19"/>
  <c r="CS50" i="19"/>
  <c r="CK50" i="19"/>
  <c r="D50" i="19"/>
  <c r="DI49" i="19"/>
  <c r="DA49" i="19"/>
  <c r="CS49" i="19"/>
  <c r="CK49" i="19"/>
  <c r="D49" i="19"/>
  <c r="DI48" i="19"/>
  <c r="DA48" i="19"/>
  <c r="CS48" i="19"/>
  <c r="CK48" i="19"/>
  <c r="D48" i="19"/>
  <c r="DI47" i="19"/>
  <c r="DA47" i="19"/>
  <c r="CS47" i="19"/>
  <c r="CK47" i="19"/>
  <c r="D47" i="19"/>
  <c r="DI46" i="19"/>
  <c r="DA46" i="19"/>
  <c r="CS46" i="19"/>
  <c r="CK46" i="19"/>
  <c r="D46" i="19"/>
  <c r="DI45" i="19"/>
  <c r="DA45" i="19"/>
  <c r="CS45" i="19"/>
  <c r="CK45" i="19"/>
  <c r="D45" i="19"/>
  <c r="DI44" i="19"/>
  <c r="DA44" i="19"/>
  <c r="CS44" i="19"/>
  <c r="CK44" i="19"/>
  <c r="D44" i="19"/>
  <c r="DI43" i="19"/>
  <c r="DA43" i="19"/>
  <c r="CS43" i="19"/>
  <c r="CK43" i="19"/>
  <c r="D43" i="19"/>
  <c r="DI42" i="19"/>
  <c r="DA42" i="19"/>
  <c r="CS42" i="19"/>
  <c r="CK42" i="19"/>
  <c r="D42" i="19"/>
  <c r="DI41" i="19"/>
  <c r="DA41" i="19"/>
  <c r="CS41" i="19"/>
  <c r="CK41" i="19"/>
  <c r="D41" i="19"/>
  <c r="DI40" i="19"/>
  <c r="DA40" i="19"/>
  <c r="CS40" i="19"/>
  <c r="CK40" i="19"/>
  <c r="D40" i="19"/>
  <c r="DI39" i="19"/>
  <c r="DA39" i="19"/>
  <c r="CS39" i="19"/>
  <c r="CK39" i="19"/>
  <c r="D39" i="19"/>
  <c r="DI38" i="19"/>
  <c r="DA38" i="19"/>
  <c r="CS38" i="19"/>
  <c r="CK38" i="19"/>
  <c r="D38" i="19"/>
  <c r="DI37" i="19"/>
  <c r="DA37" i="19"/>
  <c r="CS37" i="19"/>
  <c r="CK37" i="19"/>
  <c r="D37" i="19"/>
  <c r="DI36" i="19"/>
  <c r="DA36" i="19"/>
  <c r="CS36" i="19"/>
  <c r="CK36" i="19"/>
  <c r="D36" i="19"/>
  <c r="DI35" i="19"/>
  <c r="DA35" i="19"/>
  <c r="CS35" i="19"/>
  <c r="CK35" i="19"/>
  <c r="D35" i="19"/>
  <c r="DI34" i="19"/>
  <c r="DA34" i="19"/>
  <c r="CS34" i="19"/>
  <c r="CK34" i="19"/>
  <c r="D34" i="19"/>
  <c r="DI33" i="19"/>
  <c r="DA33" i="19"/>
  <c r="CS33" i="19"/>
  <c r="CK33" i="19"/>
  <c r="D33" i="19"/>
  <c r="DI32" i="19"/>
  <c r="DA32" i="19"/>
  <c r="CS32" i="19"/>
  <c r="CK32" i="19"/>
  <c r="D32" i="19"/>
  <c r="DI31" i="19"/>
  <c r="DA31" i="19"/>
  <c r="CS31" i="19"/>
  <c r="CK31" i="19"/>
  <c r="D31" i="19"/>
  <c r="DI30" i="19"/>
  <c r="DA30" i="19"/>
  <c r="CS30" i="19"/>
  <c r="CK30" i="19"/>
  <c r="D30" i="19"/>
  <c r="DI29" i="19"/>
  <c r="DA29" i="19"/>
  <c r="CS29" i="19"/>
  <c r="CK29" i="19"/>
  <c r="D29" i="19"/>
  <c r="DI28" i="19"/>
  <c r="DA28" i="19"/>
  <c r="CS28" i="19"/>
  <c r="CK28" i="19"/>
  <c r="D28" i="19"/>
  <c r="DI27" i="19"/>
  <c r="DA27" i="19"/>
  <c r="CS27" i="19"/>
  <c r="CK27" i="19"/>
  <c r="D27" i="19"/>
  <c r="DI26" i="19"/>
  <c r="DA26" i="19"/>
  <c r="CS26" i="19"/>
  <c r="CK26" i="19"/>
  <c r="D26" i="19"/>
  <c r="DI25" i="19"/>
  <c r="DA25" i="19"/>
  <c r="CS25" i="19"/>
  <c r="CK25" i="19"/>
  <c r="D25" i="19"/>
  <c r="DI24" i="19"/>
  <c r="DA24" i="19"/>
  <c r="CS24" i="19"/>
  <c r="CK24" i="19"/>
  <c r="D24" i="19"/>
  <c r="DI23" i="19"/>
  <c r="DA23" i="19"/>
  <c r="CS23" i="19"/>
  <c r="CK23" i="19"/>
  <c r="D23" i="19"/>
  <c r="DI22" i="19"/>
  <c r="DA22" i="19"/>
  <c r="CS22" i="19"/>
  <c r="CK22" i="19"/>
  <c r="D22" i="19"/>
  <c r="DI21" i="19"/>
  <c r="DA21" i="19"/>
  <c r="CS21" i="19"/>
  <c r="CK21" i="19"/>
  <c r="D21" i="19"/>
  <c r="DI20" i="19"/>
  <c r="DA20" i="19"/>
  <c r="CS20" i="19"/>
  <c r="CK20" i="19"/>
  <c r="D20" i="19"/>
  <c r="DI19" i="19"/>
  <c r="DA19" i="19"/>
  <c r="CS19" i="19"/>
  <c r="CK19" i="19"/>
  <c r="D19" i="19"/>
  <c r="DI18" i="19"/>
  <c r="DA18" i="19"/>
  <c r="CS18" i="19"/>
  <c r="CK18" i="19"/>
  <c r="D18" i="19"/>
  <c r="DI17" i="19"/>
  <c r="DA17" i="19"/>
  <c r="CS17" i="19"/>
  <c r="CK17" i="19"/>
  <c r="D17" i="19"/>
  <c r="DI16" i="19"/>
  <c r="DA16" i="19"/>
  <c r="CS16" i="19"/>
  <c r="CK16" i="19"/>
  <c r="D16" i="19"/>
  <c r="DI15" i="19"/>
  <c r="DA15" i="19"/>
  <c r="CS15" i="19"/>
  <c r="CK15" i="19"/>
  <c r="D15" i="19"/>
  <c r="DI14" i="19"/>
  <c r="DA14" i="19"/>
  <c r="CS14" i="19"/>
  <c r="CK14" i="19"/>
  <c r="D14" i="19"/>
  <c r="DI13" i="19"/>
  <c r="DA13" i="19"/>
  <c r="CS13" i="19"/>
  <c r="CK13" i="19"/>
  <c r="D13" i="19"/>
  <c r="DI12" i="19"/>
  <c r="DA12" i="19"/>
  <c r="CS12" i="19"/>
  <c r="CK12" i="19"/>
  <c r="D12" i="19"/>
  <c r="DI11" i="19"/>
  <c r="DA11" i="19"/>
  <c r="CS11" i="19"/>
  <c r="CK11" i="19"/>
  <c r="D11" i="19"/>
  <c r="DI10" i="19"/>
  <c r="DA10" i="19"/>
  <c r="CS10" i="19"/>
  <c r="CK10" i="19"/>
  <c r="D10" i="19"/>
  <c r="DI9" i="19"/>
  <c r="DA9" i="19"/>
  <c r="CS9" i="19"/>
  <c r="CK9" i="19"/>
  <c r="D9" i="19"/>
  <c r="DI8" i="19"/>
  <c r="DA8" i="19"/>
  <c r="CS8" i="19"/>
  <c r="CK8" i="19"/>
  <c r="D8" i="19"/>
  <c r="DI7" i="19"/>
  <c r="DA7" i="19"/>
  <c r="CS7" i="19"/>
  <c r="CK7" i="19"/>
  <c r="D7" i="19"/>
  <c r="DI6" i="19"/>
  <c r="DA6" i="19"/>
  <c r="CS6" i="19"/>
  <c r="CK6" i="19"/>
  <c r="D6" i="19"/>
  <c r="DI5" i="19"/>
  <c r="DA5" i="19"/>
  <c r="CS5" i="19"/>
  <c r="CK5" i="19"/>
  <c r="D5" i="19"/>
  <c r="DI4" i="19"/>
  <c r="DA4" i="19"/>
  <c r="CS4" i="19"/>
  <c r="CK4" i="19"/>
  <c r="D4" i="19"/>
  <c r="DI3" i="19"/>
  <c r="DA3" i="19"/>
  <c r="CS3" i="19"/>
  <c r="CK3" i="19"/>
  <c r="D3" i="19"/>
  <c r="DI2" i="19"/>
  <c r="DA2" i="19"/>
  <c r="CS2" i="19"/>
  <c r="CK2" i="19"/>
  <c r="D2" i="19"/>
  <c r="O117" i="16" l="1"/>
  <c r="O71" i="16" l="1"/>
  <c r="F26" i="16"/>
  <c r="O85" i="16"/>
  <c r="F113" i="16"/>
  <c r="O63" i="16"/>
  <c r="F71" i="16"/>
  <c r="O41" i="16"/>
  <c r="F33" i="16"/>
  <c r="O33" i="16"/>
  <c r="F74" i="16"/>
  <c r="O37" i="16"/>
  <c r="F54" i="16"/>
  <c r="O31" i="16"/>
  <c r="F29" i="16"/>
  <c r="O26" i="16"/>
  <c r="F15" i="16"/>
  <c r="O42" i="16"/>
  <c r="F86" i="16"/>
  <c r="O142" i="16"/>
  <c r="F91" i="16"/>
  <c r="O14" i="16"/>
  <c r="F14" i="16"/>
  <c r="O34" i="16"/>
  <c r="F133" i="16"/>
  <c r="O69" i="16"/>
  <c r="F13" i="16"/>
  <c r="O84" i="16"/>
  <c r="F12" i="16"/>
  <c r="O100" i="16"/>
  <c r="F67" i="16"/>
  <c r="O13" i="16"/>
  <c r="F62" i="16"/>
  <c r="O103" i="16"/>
  <c r="F55" i="16"/>
  <c r="O12" i="16"/>
  <c r="F11" i="16"/>
  <c r="O11" i="16"/>
  <c r="F124" i="16"/>
  <c r="O111" i="16"/>
  <c r="F76" i="16"/>
  <c r="O39" i="16"/>
  <c r="F19" i="16"/>
  <c r="O10" i="16"/>
  <c r="F22" i="16"/>
  <c r="O28" i="16"/>
  <c r="F48" i="16"/>
  <c r="O21" i="16"/>
  <c r="F25" i="16"/>
  <c r="O62" i="16"/>
  <c r="F129" i="16"/>
  <c r="O9" i="16"/>
  <c r="F73" i="16"/>
  <c r="O57" i="16"/>
  <c r="F10" i="16"/>
  <c r="O36" i="16"/>
  <c r="F41" i="16"/>
  <c r="O8" i="16"/>
  <c r="F18" i="16"/>
  <c r="O27" i="16"/>
  <c r="F9" i="16"/>
  <c r="O108" i="16"/>
  <c r="F142" i="16"/>
  <c r="O29" i="16"/>
  <c r="F45" i="16"/>
  <c r="O126" i="16"/>
  <c r="F134" i="16"/>
  <c r="O54" i="16"/>
  <c r="F60" i="16"/>
  <c r="O141" i="16"/>
  <c r="F149" i="16"/>
  <c r="O7" i="16"/>
  <c r="F38" i="16"/>
  <c r="O125" i="16"/>
  <c r="F44" i="16"/>
  <c r="O30" i="16"/>
  <c r="F37" i="16"/>
  <c r="O140" i="16"/>
  <c r="F103" i="16"/>
  <c r="O98" i="16"/>
  <c r="F108" i="16"/>
  <c r="O75" i="16"/>
  <c r="F24" i="16"/>
  <c r="O110" i="16"/>
  <c r="F52" i="16"/>
  <c r="O23" i="16"/>
  <c r="F77" i="16"/>
  <c r="O145" i="16"/>
  <c r="F135" i="16"/>
  <c r="O119" i="16"/>
  <c r="F46" i="16"/>
  <c r="O83" i="16"/>
  <c r="F83" i="16"/>
  <c r="O78" i="16"/>
  <c r="F32" i="16"/>
  <c r="O45" i="16"/>
  <c r="F101" i="16"/>
  <c r="O73" i="16"/>
  <c r="F57" i="16"/>
  <c r="O127" i="16"/>
  <c r="F34" i="16"/>
  <c r="O143" i="16"/>
  <c r="F68" i="16"/>
  <c r="O107" i="16"/>
  <c r="F17" i="16"/>
  <c r="O53" i="16"/>
  <c r="F82" i="16"/>
  <c r="O17" i="16"/>
  <c r="F42" i="16"/>
  <c r="O102" i="16"/>
  <c r="F116" i="16"/>
  <c r="O122" i="16"/>
  <c r="F130" i="16"/>
  <c r="O105" i="16"/>
  <c r="F59" i="16"/>
  <c r="O55" i="16"/>
  <c r="F85" i="16"/>
  <c r="O35" i="16"/>
  <c r="F109" i="16"/>
  <c r="O91" i="16"/>
  <c r="F28" i="16"/>
  <c r="O109" i="16"/>
  <c r="F137" i="16"/>
  <c r="O58" i="16"/>
  <c r="F115" i="16"/>
  <c r="O20" i="16"/>
  <c r="F8" i="16"/>
  <c r="O106" i="16"/>
  <c r="F80" i="16"/>
  <c r="O16" i="16"/>
  <c r="F27" i="16"/>
  <c r="O82" i="16"/>
  <c r="F118" i="16"/>
  <c r="O44" i="16"/>
  <c r="F123" i="16"/>
  <c r="O15" i="16"/>
  <c r="F30" i="16"/>
  <c r="O18" i="16"/>
  <c r="F66" i="16"/>
  <c r="O61" i="16"/>
  <c r="F114" i="16"/>
  <c r="F100" i="16"/>
  <c r="O6" i="16"/>
  <c r="F7" i="16"/>
  <c r="O151" i="16"/>
  <c r="F145" i="16"/>
  <c r="O130" i="16"/>
  <c r="F61" i="16"/>
  <c r="O149" i="16"/>
  <c r="F141" i="16"/>
  <c r="O90" i="16"/>
  <c r="F31" i="16"/>
  <c r="O148" i="16"/>
  <c r="F150" i="16"/>
  <c r="O40" i="16"/>
  <c r="F121" i="16"/>
  <c r="O24" i="16"/>
  <c r="F16" i="16"/>
  <c r="O144" i="16"/>
  <c r="F131" i="16"/>
  <c r="O22" i="16"/>
  <c r="F50" i="16"/>
  <c r="O65" i="16"/>
  <c r="F95" i="16"/>
  <c r="O123" i="16"/>
  <c r="F128" i="16"/>
  <c r="O25" i="16"/>
  <c r="F6" i="16"/>
  <c r="O32" i="16"/>
  <c r="F56" i="16"/>
  <c r="O68" i="16"/>
  <c r="F78" i="16"/>
  <c r="O113" i="16"/>
  <c r="F23" i="16"/>
  <c r="O60" i="16"/>
  <c r="F90" i="16"/>
  <c r="O129" i="16"/>
  <c r="F119" i="16"/>
  <c r="O135" i="16"/>
  <c r="F148" i="16"/>
  <c r="O64" i="16"/>
  <c r="F21" i="16"/>
  <c r="O56" i="16"/>
  <c r="F72" i="16"/>
  <c r="O5" i="16"/>
  <c r="F5" i="16"/>
  <c r="O47" i="16"/>
  <c r="F79" i="16"/>
  <c r="O77" i="16"/>
  <c r="F40" i="16"/>
  <c r="O87" i="16"/>
  <c r="F53" i="16"/>
  <c r="O92" i="16"/>
  <c r="F49" i="16"/>
  <c r="O19" i="16"/>
  <c r="F104" i="16"/>
  <c r="O137" i="16"/>
  <c r="F111" i="16"/>
  <c r="O81" i="16"/>
  <c r="F47" i="16"/>
  <c r="O133" i="16"/>
  <c r="F127" i="16"/>
  <c r="O59" i="16"/>
  <c r="F93" i="16"/>
  <c r="O38" i="16"/>
  <c r="F87" i="16"/>
  <c r="O79" i="16"/>
  <c r="F4" i="16"/>
  <c r="O49" i="16"/>
  <c r="F69" i="16"/>
  <c r="O80" i="16"/>
  <c r="F58" i="16"/>
  <c r="O43" i="16"/>
  <c r="F102" i="16"/>
  <c r="O115" i="16"/>
  <c r="F51" i="16"/>
  <c r="O48" i="16"/>
  <c r="F20" i="16"/>
  <c r="O70" i="16"/>
  <c r="F136" i="16"/>
  <c r="O136" i="16"/>
  <c r="F147" i="16"/>
  <c r="O50" i="16"/>
  <c r="F43" i="16"/>
  <c r="O116" i="16"/>
  <c r="F105" i="16"/>
  <c r="O86" i="16"/>
  <c r="F64" i="16"/>
  <c r="O94" i="16"/>
  <c r="F88" i="16"/>
  <c r="O76" i="16"/>
  <c r="F99" i="16"/>
  <c r="O93" i="16"/>
  <c r="F139" i="16"/>
  <c r="O101" i="16"/>
  <c r="F89" i="16"/>
  <c r="O150" i="16"/>
  <c r="F132" i="16"/>
  <c r="O4" i="16"/>
  <c r="F98" i="16"/>
  <c r="O139" i="16"/>
  <c r="F122" i="16"/>
  <c r="O146" i="16"/>
  <c r="F94" i="16"/>
  <c r="O132" i="16"/>
  <c r="F70" i="16"/>
  <c r="O138" i="16"/>
  <c r="F107" i="16"/>
  <c r="O147" i="16"/>
  <c r="F39" i="16"/>
  <c r="O46" i="16"/>
  <c r="F138" i="16"/>
  <c r="O114" i="16"/>
  <c r="F126" i="16"/>
  <c r="O89" i="16"/>
  <c r="F106" i="16"/>
  <c r="O67" i="16"/>
  <c r="F75" i="16"/>
  <c r="O74" i="16"/>
  <c r="F117" i="16"/>
  <c r="O128" i="16"/>
  <c r="F112" i="16"/>
  <c r="O134" i="16"/>
  <c r="F146" i="16"/>
  <c r="O66" i="16"/>
  <c r="F81" i="16"/>
  <c r="O99" i="16"/>
  <c r="F151" i="16"/>
  <c r="O95" i="16"/>
  <c r="F35" i="16"/>
  <c r="O88" i="16"/>
  <c r="F36" i="16"/>
  <c r="O72" i="16"/>
  <c r="F120" i="16"/>
  <c r="O96" i="16"/>
  <c r="F84" i="16"/>
  <c r="O118" i="16"/>
  <c r="F110" i="16"/>
  <c r="O131" i="16"/>
  <c r="F125" i="16"/>
  <c r="O97" i="16"/>
  <c r="F92" i="16"/>
  <c r="O112" i="16"/>
  <c r="F63" i="16"/>
  <c r="O104" i="16"/>
  <c r="F65" i="16"/>
  <c r="O124" i="16"/>
  <c r="F140" i="16"/>
</calcChain>
</file>

<file path=xl/comments1.xml><?xml version="1.0" encoding="utf-8"?>
<comments xmlns="http://schemas.openxmlformats.org/spreadsheetml/2006/main">
  <authors>
    <author>Dreher, Spencer Douglas</author>
  </authors>
  <commentList>
    <comment ref="C2" authorId="0">
      <text>
        <r>
          <rPr>
            <sz val="9"/>
            <color indexed="81"/>
            <rFont val="Tahoma"/>
            <family val="2"/>
          </rPr>
          <t>Insight iXlW00003C0000002R0841462809S00000384P00832LAocjBAQBF1NjaVRlZ2ljLmRhdGEuTW9sZWN1bGUBbQF/ARJTY2lUZWdpYy5Nb2xlY3VsZQAAAQFkAv5qAQAAAAIAAiwYAAAA/AgA/AACAAAAAAAA8L8C9wZfmEwV/D8CL90kBoGV278AAAAAGAAAAPwEAPwAAgAAAAAAAPC/Amu8dJMYBN4/AuviNhrAW+y/AAAAABgAAAD8CAD8AAIAAAAAAADwvwIqqRPQRFgGQAIrGJXUCWj1vwAAAAAYAAAA/AgA/AACAAAAAAAA8L8CeXqlLEMcAEAC6+I2GsBb7D8AAAAAGAAAAPwEAPwAAgAAAAAAAPC/ApayDHGsi+G/AAAAAAAYAAAA/AgA/AACAAAAAAAA8L8CCM4ZUdpbEEAC6+I2GsBb7L8AAAAAGAAAAPwIAPwAAgAAAAAAAPC/AiWX/5B+ewpAAisYldQJaPU/AAAAABgAAAD8BAD8AAIAAAAAAADwvwKjkjoBTYT9vwLG/rJ78rDcvwAAAAAYAAAA/AgA/AACAAAAAAAA8L8CqaROQBNhEUACL90kBoGV2z8AAAAAGAAAAPwEAPwAAgAAAAAAAPC/Av2H9NvXAQfAAk7zjlN0JNs/AAAAACAAAAD8BAD8AAIAAAAAAADwvwKUGARWDq0QwAJteHqlLEN8vwAAAAAsAAQEAAAAAAAAAAgIDAQEAAAAAAwEAAQEAAAABBAEAAAAAAAACBQEAAQEAAAADBgICAQEAAAAEBwEAAAAAAAAFCAICAQEAAAAHCQEAAAAAAAAJCgEAAAAAAAAGCAEAAQEAAAAAAABAAAAAAAAAAAAAAAAAAAAAAAAAAAA</t>
        </r>
      </text>
    </comment>
    <comment ref="C3" authorId="0">
      <text>
        <r>
          <rPr>
            <sz val="9"/>
            <color indexed="81"/>
            <rFont val="Tahoma"/>
            <family val="2"/>
          </rPr>
          <t>Insight iXlW00003C0000003R0841462809S00000385P00768LAocjBAQBF1NjaVRlZ2ljLmRhdGEuTW9sZWN1bGUBbQF/ARJTY2lUZWdpYy5Nb2xlY3VsZQAAAQFkAv5qAQAAAAIAAigYAAAA/AQA/AACAAAAAAAA8L8C9dvXgXNG8L8CescpOpLLrz8AAAAAGAAAAPwEAPwAAgAAAAAAAPC/AkSLbOf7qbE/Ah3r4jYawOM/AAAAABgAAAD8BAD8AAIAAAAAAADwvwKmLEMc62IAwAIT8kHPZtXnPwAAAAAYAAAA/AQA/AACAAAAAAAA8L8CnoAmwoan8T8C1QloImx4qr8AAAAAGAAAAPwEAPwAAgAAAAAAAPC/Aq+2Yn/ZPQnAArmNBvAWSMg/AAAAABgAAAD8BAD8AAIAAAAAAADwvwKamZmZmZkBQAI9LNSa5h3fPwAAAAAYAAAA/AQA/AACAAAAAAAA8L8Ci47k8h/SCcACbVZ9rrZi8L8AAAAAIAAAAPwEAPwAAgAAAAAAAPC/ApEPejarvhDAAvvt68A5I+w/AAAAABgAAAD8BAD8AAIAAAAAAADwvwLHSzeJQeAJQAIy5q4l5IPGvwAAAAAYAAAA/AQA/AACAAAAAAAA8L8CqaROQBNhEUACUB4Wak3z1j8AAAAAJAAEBAAAAAAAAAAIBAAAAAAAAAQMBAAAAAAAAAgQBAAAAAAAAAwUBAAAAAAAABAYBAAAAAAAABAcBAAAAAAAABQgBAAAAAAAACAkBAAAAAAAAAAAAQAAAAAAAAAAAAAAAAAAAAAAAAAAAA==</t>
        </r>
      </text>
    </comment>
    <comment ref="C4" authorId="0">
      <text>
        <r>
          <rPr>
            <sz val="9"/>
            <color indexed="81"/>
            <rFont val="Tahoma"/>
            <family val="2"/>
          </rPr>
          <t>Insight iXlW00003C0000004R0841462809S00000386P00768LAocjBAQBF1NjaVRlZ2ljLmRhdGEuTW9sZWN1bGUBbQF/ARJTY2lUZWdpYy5Nb2xlY3VsZQAAAQFkAv5qAQAAAAIAAigYAAAA/AQA/AACAAAAAAAA8L8CgnNGlPYGBEACBFYOLbKd178AAAAAGAAAAPwEAPwAAgAAAAAAAPC/AgYSFD/G3PM/Ak9AE2HD0/C/AAAAABgAAAD8BAD8AAIAAAAAAADwvwLZ8PRKWYb8PwIoDwu1pnnrPwAAAAAYAAAA/AQA/AACAAAAAAAA8L8Cx0s3iUHgDUACmpmZmZmZ8b8AAAAAIAAAAPwEAPwAAgAAAAAAAPC/Av32deCcEQpAAkYldQKaCOs/AAAAABgAAAD8BAD8AAIAAAAAAADwvwJteHqlLEN8PwIkufyH9NvTvwAAAAAYAAAA/AQA/AACAAAAAAAA8L8CBhIUP8bc878C4umVsgxx8L8AAAAAGAAAAPwEAPwAAgAAAAAAAPC/AkLPZtXn6gPAAgajkjoBTdS/AAAAABgAAAD8BAD8AAIAAAAAAADwvwLHSzeJQeANwAJaZDvfT43wvwAAAAAYAAAA/AQA/AACAAAAAAAA8L8CQs9m1efqA8ACmpmZmZmZ8T8AAAAAJAAEBAAAAAAAAAAIBAAAAAAAAAAMBAAAAAAAAAAQBAAAAAAAAAQUBAAAAAAAABQYBAAAAAAAABgcBAAAAAAAABwgBAAAAAAAABwkBAAAAAAAAAAAAQAAAAAAAAAAAAAAAAAAAAAAAAAAAA==</t>
        </r>
      </text>
    </comment>
    <comment ref="C5" authorId="0">
      <text>
        <r>
          <rPr>
            <sz val="9"/>
            <color indexed="81"/>
            <rFont val="Tahoma"/>
            <family val="2"/>
          </rPr>
          <t>Insight iXlW00003C0000005R0841462809S00000387P00604LAocjBAQBF1NjaVRlZ2ljLmRhdGEuTW9sZWN1bGUBbQF/ARJTY2lUZWdpYy5Nb2xlY3VsZQAAAQFkAv5qAQAAAAIAAiAYAAAA/AgA/AACAAAAAAAA8L8Cam/whclU+D8AAAAAABgAAAD8CAD8AAIAAAAAAADwvwKamZmZmZnpPwKRfvs6cM7zPwAAAAAYAAAA/AgA/AACAAAAAAAA8L8CmpmZmZmZ6T8CkX77OnDO878AAAAAGAAAAPwEAPwAAgAAAAAAAPC/AtNNYhBYuQdAAAAAAAAYAAAA/AgA/AACAAAAAAAA8L8CFR3J5T+k478CkX77OnDO8z8AAAAAGAAAAPwIAPwAAgAAAAAAAPC/AhUdyeU/pOO/ApF++zpwzvO/AAAAABgAAAD8CAD8AAIAAAAAAADwvwKgq63YX3b1vwAAAAAAIAAAAPwEAPwAAgAAAAAAAPC/Amx4eqUsQwbAAAAAAAAgAAQEAAQEAAAAAAgICAQEAAAAAAwEAAAAAAAABBAICAQEAAAACBQEAAQEAAAAEBgEAAQEAAAAGBwEAAAAAAAAFBgICAQEAAAAAAABAAAAAAAAAAAAAAAAAAAAAAAAAAAA</t>
        </r>
      </text>
    </comment>
    <comment ref="C6" authorId="0">
      <text>
        <r>
          <rPr>
            <sz val="9"/>
            <color indexed="81"/>
            <rFont val="Tahoma"/>
            <family val="2"/>
          </rPr>
          <t>Insight iXlW00003C0000006R0841462809S00000388P00680LAocjBAQBF1NjaVRlZ2ljLmRhdGEuTW9sZWN1bGUBbQF/ARJTY2lUZWdpYy5Nb2xlY3VsZQAAAQFkAv5qAQAAAAIAAiQYAAAA/AgA/AACAAAAAAAA8L8AAgYSFD/G3OM/AAAAABgAAAD8CAD8AAIAAAAAAADwvwKRfvs6cM7zvwJ/+zpwzoiyvwAAAAAYAAAA/AgA/AACAAAAAAAA8L8CkX77OnDO8z8Cf/s6cM6Isr8AAAAAIAAAAPwEAPwAAgAAAAAAAPC/AAKgGi/dJIYAQAAAAAAYAAAA/AgA/AACAAAAAAAA8L8CkX77OnDO878Cam/whclU+L8AAAAAGAAAAPwEAPwAAgAAAAAAAPC/AoiFWtO84wPAAgYSFD/G3OM/AAAAABgAAAD8CAD8AAIAAAAAAADwvwKRfvs6cM7zPwJqb/CFyVT4vwAAAAAYAAAA/AQA/AACAAAAAAAA8L8CiIVa07zjA0ACBhIUP8bc4z8AAAAAGAAAAPwIAPwAAgAAAAAAAPC/AALHSzeJQeABwAAAAAAkAAQICAQEAAAAAAgEAAQEAAAAAAwEAAAAAAAABBAEAAQEAAAABBQEAAAAAAAACBgICAQEAAAACBwEAAAAAAAAECAICAQEAAAAGCAEAAQEAAAAAAABAAAAAAAAAAAAAAAAAAAAAAAAAAAA</t>
        </r>
      </text>
    </comment>
    <comment ref="C7" authorId="0">
      <text>
        <r>
          <rPr>
            <sz val="9"/>
            <color indexed="81"/>
            <rFont val="Tahoma"/>
            <family val="2"/>
          </rPr>
          <t>Insight iXlW00003C0000007R0841462809S00000389P00844LAocjBAQBF1NjaVRlZ2ljLmRhdGEuTW9sZWN1bGUBbQF/ARJTY2lUZWdpYy5Nb2xlY3VsZQAAAQFkAv5qAQAAAAIAAiwYAAAA/AQA/AACAAAAAAAA8L8CmpmZmZmZAUACescpOpLLrz8AAAAAGAAAAPwIAPwAAgAAAAAAAPC/At4CCYofY+g/AtUJaCJseKo/AAAAACQAAAD8BAD8AAIAAAAAAADwvwKgGi/dJIYEQAK1pnnHKTr3PwAAAAAkAAAA/AQA/AACAAAAAAAA8L8CGJXUCWiiAEAClIeFWtO89b8AAAAAJAAAAPwEAPwAAgAAAAAAAPC/AoIExY8x9wxAAgajkjoBTcS/AAAAABgAAAD8CAD8AAIAAAAAAADwvwLVCWgibHiqPwLKw0Ktad7yvwAAAAAYAAAA/AgA/AACAAAAAAAA8L8CRIts5/upoT8CVVInoImw9D8AAAAAGAAAAPwIAPwAAgAAAAAAAPC/AoV80LNZ9fW/ArfRAN4CCfO/AAAAABgAAAD8CAD8AAIAAAAAAADwvwLrBDQRNjz2vwJVUiegibD0PwAAAAAYAAAA/AgA/AACAAAAAAAA8L8CzczMzMzMAMACUdobfGEypT8AAAAAIAAAAPwEAPwAAgAAAAAAAPC/Ampv8IXJVAzAAkSLbOf7qaE/AAAAACwABAQAAAAAAAAACAQAAAAAAAAADAQAAAAAAAAAEAQAAAAAAAAEFAgMBAQAAAAEGAQABAQAAAAUHAQABAQAAAAYIAgIBAQAAAAcJAgMBAQAAAAkKAQAAAAAAAAgJAQABAQAAAAAAAEAAAAAAAAAAAAAAAAAAAAAAAAAAAA=</t>
        </r>
      </text>
    </comment>
    <comment ref="C8" authorId="0">
      <text>
        <r>
          <rPr>
            <sz val="9"/>
            <color indexed="81"/>
            <rFont val="Tahoma"/>
            <family val="2"/>
          </rPr>
          <t>Insight iXlW00003C0000008R0841462809S00000390P00712LAocjBAQBF1NjaVRlZ2ljLmRhdGEuTW9sZWN1bGUBbQF/ARJTY2lUZWdpYy5Nb2xlY3VsZQAAAQFkAv5qAQAAAAIAAiQYAAAA/AgA/AACAAAAAAAA8L8Cx7q4jQbw8D8C18VtNIC3yL8AAAAAGAAAAPwIAPwAAgAAAAAAAPC/AsTTK2UZ4uA/Ao51cRsN4PE/AAAAABgAAAD8CAD8AAIAAAAAAADwvwLJdr6fGi/FPwInMQisHFr1vwAAAAAgAAAA/AQA/AACAAAAAAAA8L8CQs9m1efqA0ACfIMvTKYK2r8AAAAAGAAAAPwIAPwAAgAAAAAAAPC/AvMf0m9fB+y/AicxCKwcWvU/AAAAABgAAAD8CAD8AAIAAAAAAADwvwKRfvs6cM7zvwKOdXEbDeDxvwAAAAAYAAAA/AQA/AACAAAAAAAA8L8COUVHcvkPC0ACWFuxv+ye5j8AAAAAGAAAAPwIAPwAAgAAAAAAAPC/AuviNhrAW/y/AtfFbTSAt8g/AAAAACAAAAD8BAD8AAIAAAAAAADwvwKamZmZmZkJwAJ8gy9MpgraPwAAAAAkAAQEAAQEAAAAAAgICAQEAAAAAAwEAAAAAAAABBAICAQEAAAACBQEAAQEAAAADBgEAAAAAAAAEBwEAAQEAAAAHCAEAAAAAAAAFBwICAQEAAAAAAABAAAAAAAAAAAAAAAAAAAAAAAAAAAA</t>
        </r>
      </text>
    </comment>
    <comment ref="C9" authorId="0">
      <text>
        <r>
          <rPr>
            <sz val="9"/>
            <color indexed="81"/>
            <rFont val="Tahoma"/>
            <family val="2"/>
          </rPr>
          <t>Insight iXlW00003C0000009R0841462809S00000391P00844LAocjBAQBF1NjaVRlZ2ljLmRhdGEuTW9sZWN1bGUBbQF/ARJTY2lUZWdpYy5Nb2xlY3VsZQAAAQFkAv5qAQAAAAIAAiwYAAAA/AQA/AACAAAAAAAA8L8CqTXNO07RAUACLGUZ4liXAUAAAAAAGAAAAPwIAPwAAgAAAAAAAPC/Aqk1zTtO0Q1AAixlGeJYlwFAAAAAACQAAAD8BAD8AAIAAAAAAADwvwIHgZVDi2z9PwIAAAAAAADoPwAAAAAkAAAA/AQA/AACAAAAAAAA8L8CP+jZrPrcAkAClrIMcayLDUAAAAAAJAAAAPwEAPwAAgAAAAAAAPC/AgAAAAAAAOg/AltCPujZrANAAAAAABgAAAD8CAD8AAIAAAAAAADwvwLUmuYdp+gRQAJdbcX+svsLQAAAAAAYAAAA/AgA/AACAAAAAAAA8L8C1JrmHafoEUAC63O1FfvL7D8AAAAAGAAAAPwIAPwAAgAAAAAAAPC/AtSa5h2n6BdAAl1txf6y+wtAAAAAABgAAAD8CAD8AAIAAAAAAADwvwLUmuYdp+gXQALrc7UV+8vsPwAAAAAYAAAA/AgA/AACAAAAAAAA8L8C1ZrmHafoGkACLGUZ4liXAUAAAAAAARAAAAD8BAD8AAIAAAAAAADwvwJqTfOOU3QgQAIsZRniWJcBQAAAAAAsAAQEAAAAAAAAAAgEAAAAAAAAAAwEAAAAAAAAABAEAAAAAAAABBQIDAQEAAAABBgEAAQEAAAAFBwEAAQEAAAAGCAICAQEAAAAHCQIDAQEAAAAJCgEAAAAAAAAICQEAAQEAAAAAAABAAAAAAAAAAAAAAAAAAAAAAAAAAAA</t>
        </r>
      </text>
    </comment>
    <comment ref="C10" authorId="0">
      <text>
        <r>
          <rPr>
            <sz val="9"/>
            <color indexed="81"/>
            <rFont val="Tahoma"/>
            <family val="2"/>
          </rPr>
          <t>Insight iXlW00003C0000010R0841462809S00000392P00736LAocjBAQBF1NjaVRlZ2ljLmRhdGEuTW9sZWN1bGUBbQF/ARJTY2lUZWdpYy5Nb2xlY3VsZQAAAQFkAv5qAQAAAAIAAigYAAAA/AgA/AACAAAAAAAA8L8CTmIQWDm08j8AAAAAABgAAAD8BAD8AAIAAAAAAADwvwJPQBNhw9MEQAAAAAAAGAAAAPwIAPwAAgAAAAAAAPC/Asb+snvysNw/ApF++zpwzvM/AAAAABgAAAD8CAD8AAIAAAAAAADwvwLG/rJ78rDcPwKRfvs6cM7zvwAAAAAYAAAA/AQA/AACAAAAAAAA8L8CnRGlvcGXCkACkX77OnDO878AAAAAGAAAAPwEAPwAAgAAAAAAAPC/Ap0Rpb3BlwpAApF++zpwzvM/AAAAABgAAAD8CAD8AAIAAAAAAADwvwInUwWjkjrvvwKRfvs6cM7zPwAAAAAYAAAA/AgA/AACAAAAAAAA8L8CJ1MFo5I6778CkX77OnDO878AAAAAGAAAAPwIAPwAAgAAAAAAAPC/Aru4jQbwFvu/AAAAAAABEAAAAPwEAPwAAgAAAAAAAPC/AnzysFBrGgnAAAAAAAAoAAQEAAAAAAAAAAgEAAQEAAAAAAwIDAQEAAAABBAEAAAAAAAABBQEAAAAAAAACBgICAQEAAAADBwEAAQEAAAAGCAEAAQEAAAAICQEAAAAAAAAHCAICAQEAAAAAAABAAAAAAAAAAAAAAAAAAAAAAAAAAAA</t>
        </r>
      </text>
    </comment>
    <comment ref="C11" authorId="0">
      <text>
        <r>
          <rPr>
            <sz val="9"/>
            <color indexed="81"/>
            <rFont val="Tahoma"/>
            <family val="2"/>
          </rPr>
          <t>Insight iXlW00003C0000011R0841462809S00000393P00716LAocjBAQBF1NjaVRlZ2ljLmRhdGEuTW9sZWN1bGUBbQF/ARJTY2lUZWdpYy5Nb2xlY3VsZQAAAQFkAv5qAQAAAAIAAiQYAAAA/AgA/AACAAAAAAAA8L8Cx7q4jQbw8D8C18VtNIC3yL8AAAAAGAAAAPwIAPwAAgAAAAAAAPC/Asl2vp8aL8U/AicxCKwcWvW/AAAAABgAAAD8CAD8AAIAAAAAAADwvwLE0ytlGeLgPwKOdXEbDeDxPwAAAAAgAAAA/AQA/AACAAAAAAAA8L8CQs9m1efqA0ACfIMvTKYK2r8AAAAAGAAAAPwIAPwAAgAAAAAAAPC/ApF++zpwzvO/Ao51cRsN4PG/AAAAABgAAAD8CAD8AAIAAAAAAADwvwLzH9JvXwfsvwInMQisHFr1PwAAAAAYAAAA/AQA/AACAAAAAAAA8L8COUVHcvkPC0ACWFuxv+ye5j8AAAAAGAAAAPwIAPwAAgAAAAAAAPC/AuviNhrAW/y/AtfFbTSAt8g/AAAAAAEQAAAA/AQA/AACAAAAAAAA8L8CmpmZmZmZCcACfIMvTKYK2j8AAAAAJAAECAgEBAAAAAAIBAAEBAAAAAAMBAAAAAAAAAQQBAAEBAAAAAgUCAgEBAAAAAwYBAAAAAAAABAcCAwEBAAAABwgBAAAAAAAABQcBAAEBAAAAAAAAQAAAAAAAAAAAAAAAAAAAAAAAAAAAA==</t>
        </r>
      </text>
    </comment>
    <comment ref="C12" authorId="0">
      <text>
        <r>
          <rPr>
            <sz val="9"/>
            <color indexed="81"/>
            <rFont val="Tahoma"/>
            <family val="2"/>
          </rPr>
          <t>Insight iXlW00003C0000012R0841462809S00000394P00768LAocjBAQBF1NjaVRlZ2ljLmRhdGEuTW9sZWN1bGUBbQF/ARJTY2lUZWdpYy5Nb2xlY3VsZQAAAQFkAv5qAQAAAAIAAigYAAAA/AQA/AACAAAAAAAA8L8Cpb3BFyZT4T8C2xt8YTJV0L8AAAAAGAAAAPwEAPwAAgAAAAAAAPC/Aqk1zTtO0dm/Aum3rwPnjNA/AAAAABgAAAD8BAD8AAIAAAAAAADwvwKXkA96Nqv3PwJSSZ2AJsLSPwAAAAAYAAAA/AQA/AACAAAAAAAA8L8Co5I6AU2E9b8CQ61p3nGK0r8AAAAAGAAAAPwEAPwAAgAAAAAAAPC/AuJYF7fRgANAAuQUHcnlP8y/AAAAABgAAAD8BAD8AAIAAAAAAADwvwLo2az6XG0CwAICTYQNT6/MPwAAAAAYAAAA/AQA/AACAAAAAAAA8L8Cf/s6cM4IC0ACutqK/WX31D8AAAAAGAAAAPwIAPwAAgAAAAAAAPC/Akm/fR045wnAArraiv1l99S/AAAAABgAAAD8BAD8AAIAAAAAAADwvwKppE5AE2ERQALXxW00gLfIvwAAAAAgAAAA/AgA/AACAAAAAAAA8L8Cayv2l93TEMACuY0G8BZIyD8AAAAAJAAEBAAAAAAAAAAIBAAAAAAAAAQMBAAAAAAAAAgQBAAAAAAAAAwUBAAAAAAAABAYBAAAAAAAABQcBAAAAAAAABggBAAAAAAAABwkCAAAAAAAAAAAAQAAAAAAAAAAAAAAAAAAAAAAAAAAAA==</t>
        </r>
      </text>
    </comment>
    <comment ref="C13" authorId="0">
      <text>
        <r>
          <rPr>
            <sz val="9"/>
            <color indexed="81"/>
            <rFont val="Tahoma"/>
            <family val="2"/>
          </rPr>
          <t>Insight iXlW00003C0000013R0841462809S00000395P00648LAocjBAQBF1NjaVRlZ2ljLmRhdGEuTW9sZWN1bGUBbQF/ARJTY2lUZWdpYy5Nb2xlY3VsZQAAAQFkAv5qAQAAAAIAAiAYAAAA/AQA/AACAAAAAAAA8L8CIUHxY8xdu78CFR3J5T+k078AAAAAGAAAAPwEAPwAAgAAAAAAAPC/AjcawFsgQes/AoGVQ4ts5/W/AAAAABgAAAD8BAD8AAIAAAAAAADwvwIzMzMzMzPTPwJPQBNhw9PwPwAAAAAYAAAA/AgA/AACAAAAAAAA8L8C9dvXgXNG+L8CBhIUP8bc478AAAAAGAAAAPwEAPwAAgAAAAAAAPC/Aj/G3LWE/AFAAk9AE2HD0/C/AAAAABgAAAD8BAD8AAIAAAAAAADwvwIwTKYKRiX7PwKBlUOLbOf1PwAAAAAgAAAA/AgA/AACAAAAAAAA8L8CxEKtad7xA8ACbAn5oGez2j8AAAAAGAAAAPwEAPwAAgAAAAAAAPC/AmPuWkI+aAVAAhUdyeU/pNM/AAAAACAABAQABAAAAAAACAQABAAAAAAADAQAAAAAAAAEEAQABAAAAAAIFAQABAAAAAAMGAgAAAAAAAAQHAQABAAAAAAUHAQABAAAAAAAAAEAAAAAAAAAAAAAAAAAAAAAAAAAAAA=</t>
        </r>
      </text>
    </comment>
    <comment ref="C14" authorId="0">
      <text>
        <r>
          <rPr>
            <sz val="9"/>
            <color indexed="81"/>
            <rFont val="Tahoma"/>
            <family val="2"/>
          </rPr>
          <t>Insight iXlW00003C0000014R0841462809S00000396P00648LAocjBAQBF1NjaVRlZ2ljLmRhdGEuTW9sZWN1bGUBbQF/ARJTY2lUZWdpYy5Nb2xlY3VsZQAAAQFkAv5qAQAAAAIAAiAYAAAA/AgA/AACAAAAAAAA8L8C9pfdk4cFEEACUyegibDh4z8AAAAAGAAAAPwIAPwAAgAAAAAAAPC/AsNkqmBUEhBAAnBfB84ZUcq/AAAAABgAAAD8CAD8AAIAAAAAAADwvwLAWyBB8WMKQALgvg6cM6LwPwAAAAAYAAAA/AgA/AACAAAAAAAA8L8CRwN4CyToEkACCD2bVZ+r8D8AAAAAGAAAAPwIAPwAAgAAAAAAAPC/As6qz9VWbApAAkku/yH99uO/AAAAABgAAAD8CAD8AAIAAAAAAADwvwKXkA96NqsEQAI3qz5XW7HjPwAAAAAgAAAA/AgA/AACAAAAAAAA8L8C7FG4HoXrEkACXf5D+u3r/T8AAAAAGAAAAPwIAPwAAgAAAAAAAPC/AlHaG3xhsgRAAqH4MeauJcy/AAAAACAABAgIBAQAAAAACAQABAQAAAAADAQAAAAAAAAEEAQABAQAAAAIFAgIBAQAAAAMGAgAAAAAAAAQHAgIBAQAAAAUHAQABAQAAAAAAAEAAAAAAAAAAAAAAAAAAAAAAAAAAAA=</t>
        </r>
      </text>
    </comment>
    <comment ref="C15" authorId="0">
      <text>
        <r>
          <rPr>
            <sz val="9"/>
            <color indexed="81"/>
            <rFont val="Tahoma"/>
            <family val="2"/>
          </rPr>
          <t>Insight iXlW00003C0000015R0841462809S00000397P00552LAocjBAQBF1NjaVRlZ2ljLmRhdGEuTW9sZWN1bGUBbQF/ARJTY2lUZWdpYy5Nb2xlY3VsZQAAAQFkAv5qAQAAAAIAAhwYAAAA/AgA/AACAAAAAAAA8L8CHeviNhrA478AAAAAABgAAAD8BAD8AAIAAAAAAADwvwJR2ht8YTK1PwKRfvs6cM7zPwAAAAAYAAAA/AQA/AACAAAAAAAA8L8CUdobfGEytT8CkX77OnDO878AAAAAIAAAAPwIAPwAAgAAAAAAAPC/AmRd3EYDeADAAAAAAAAYAAAA/AQA/AACAAAAAAAA8L8C9dvXgXNG+D8CkX77OnDO8z8AAAAAGAAAAPwEAPwAAgAAAAAAAPC/AvXb14FzRvg/ApF++zpwzvO/AAAAABgAAAD8BAD8AAIAAAAAAADwvwIDCYofY+4BQAAAAAAAHAAEBAAEAAAAAAAIBAAEAAAAAAAMCAAAAAAAAAQQBAAEAAAAAAgUBAAEAAAAABAYBAAEAAAAABQYBAAEAAAAAAAAAQAAAAAAAAAAAAAAAAAAAAAAAAAAAA==</t>
        </r>
      </text>
    </comment>
    <comment ref="C16" authorId="0">
      <text>
        <r>
          <rPr>
            <sz val="9"/>
            <color indexed="81"/>
            <rFont val="Tahoma"/>
            <family val="2"/>
          </rPr>
          <t>Insight iXlW00003C0000016R0841462809S00000398P00616LAocjBAQBF1NjaVRlZ2ljLmRhdGEuTW9sZWN1bGUBbQF/ARJTY2lUZWdpYy5Nb2xlY3VsZQAAAQFkAv5qAQAAAAIAAiAYAAAA/AgA/AACAAAAAAAA8L8AAi6QoPgx5t4/AAAAABgAAAD8BAD8AAIAAAAAAADwvwIZBFYOLbLzvwIzMzMzMzPzPwAAAAAYAAAA/AQA/AACAAAAAAAA8L8CGQRWDi2y8z8CMzMzMzMz8z8AAAAAIAAAAPwIAPwAAgAAAAAAAPC/AAKJY13cRgPuvwAAAAAYAAAA/AQA/AACAAAAAAAA8L8CiIVa07zjA8ACLpCg+DHm3j8AAAAAGAAAAPwEAPwAAgAAAAAAAPC/AoiFWtO84wNAAi6QoPgx5t4/AAAAABgAAAD8BAD8AAIAAAAAAADwvwKLjuTyH9INwAIzMzMzMzPzPwAAAAAYAAAA/AQA/AACAAAAAAAA8L8Ci47k8h/SDUACMzMzMzMz8z8AAAAAHAAEBAAAAAAAAAAIBAAAAAAAAAAMCAAAAAAAAAQQBAAAAAAAAAgUBAAAAAAAABAYBAAAAAAAABQcBAAAAAAAAAAAAQAAAAAAAAAAAAAAAAAAAAAAAAAAAA==</t>
        </r>
      </text>
    </comment>
    <comment ref="C17" authorId="0">
      <text>
        <r>
          <rPr>
            <sz val="9"/>
            <color indexed="81"/>
            <rFont val="Tahoma"/>
            <family val="2"/>
          </rPr>
          <t>Insight iXlW00003C0000017R0841462809S00000399P00616LAocjBAQBF1NjaVRlZ2ljLmRhdGEuTW9sZWN1bGUBbQF/ARJTY2lUZWdpYy5Nb2xlY3VsZQAAAQFkAv5qAQAAAAIAAiAYAAAA/AgA/AACAAAAAAAA8L8AAp7vp8ZLN9E/AAAAABgAAAD8BAD8AAIAAAAAAADwvwKRfvs6cM7zPwIRx7q4jQbcvwAAAAAYAAAA/AQA/AACAAAAAAAA8L8CkX77OnDO878CEce6uI0G3L8AAAAAIAAAAPwIAPwAAgAAAAAAAPC/AAI3GsBbIEH7PwAAAAAYAAAA/AQA/AACAAAAAAAA8L8CiIVa07zjA0ACnu+nxks30T8AAAAAGAAAAPwEAPwAAgAAAAAAAPC/ApF++zpwzvM/AoV80LNZ9f2/AAAAABgAAAD8BAD8AAIAAAAAAADwvwKIhVrTvOMDwAKe76fGSzfRPwAAAAAYAAAA/AQA/AACAAAAAAAA8L8CkX77OnDO878ChXzQs1n1/b8AAAAAHAAEBAAAAAAAAAAIBAAAAAAAAAAMCAAAAAAAAAQQBAAAAAAAAAQUBAAAAAAAAAgYBAAAAAAAAAgcBAAAAAAAAAAAAQAAAAAAAAAAAAAAAAAAAAAAAAAAAA==</t>
        </r>
      </text>
    </comment>
    <comment ref="C18" authorId="0">
      <text>
        <r>
          <rPr>
            <sz val="9"/>
            <color indexed="81"/>
            <rFont val="Tahoma"/>
            <family val="2"/>
          </rPr>
          <t>Insight iXlW00003C0000018R0841462809S00000400P00856LAocjBAQBF1NjaVRlZ2ljLmRhdGEuTW9sZWN1bGUBbQF/ARJTY2lUZWdpYy5Nb2xlY3VsZQAAAQFkAv5qAQAAAAIAAiwYAAAA/AgA/AACAAAAAAAA8L8CJZf/kH77wj8CMzMzMzMz878AAAAAGAAAAPwIAPwAAgAAAAAAAPC/AiWX/5B++8K/Ava52or9Zcc/AAAAABgAAAD8BAD8AAIAAAAAAADwvwLkFB3J5T/svwLlYaHWNG8BwAAAAAAYAAAA/AgA/AACAAAAAAAA8L8C4umVsgxx+D8CAwmKH2Pu+b8AAAAAGAAAAPwIAPwAAgAAAAAAAPC/AuLplbIMcfi/AjsBTYQNT+M/AAAAABgAAAD8CAD8AAIAAAAAAADwvwLkFB3J5T/sPwLW52or9pfyPwAAAAAYAAAA/AQA/AACAAAAAAAA8L8CuECC4scYAsACf4y5awn5+78AAAAAGAAAAPwIAPwAAgAAAAAAAPC/AhiV1AloogRAAtGzWfW52uS/AAAAABgAAAD8BAD8AAIAAAAAAADwvwIYldQJaKIEwAJuNIC3QILWvwAAAAAgAAAA/AgA/AACAAAAAAAA8L8CoKut2F92/b8CeXqlLEMcAEAAAAAAGAAAAPwIAPwAAgAAAAAAAPC/ArhAguLHGAJAAhsv3SQGgec/AAAAADAABAgIBAQAAAAACAQABAAAAAAADAQABAQAAAAEEAQABAAAAAAEFAQABAQAAAAIGAQABAAAAAAMHAgIBAQAAAAQIAQABAAAAAAQJAgAAAAAAAAUKAgIBAQAAAAYIAQABAAAAAAcKAQABAQAAAAAAAEAAAAAAAAAAAAAAAAAAAAAAAAAAAA=</t>
        </r>
      </text>
    </comment>
    <comment ref="C19" authorId="0">
      <text>
        <r>
          <rPr>
            <sz val="9"/>
            <color indexed="81"/>
            <rFont val="Tahoma"/>
            <family val="2"/>
          </rPr>
          <t>Insight iXlW00003C0000019R0841462809S00000401P01032LAocjBAQBF1NjaVRlZ2ljLmRhdGEuTW9sZWN1bGUBbQF/ARJTY2lUZWdpYy5Nb2xlY3VsZQAAAQFkAv5qAQAAAAIAAjgYAAAA/AgA/AACAAAAAAAA8L8CkX77OnDO878CaQBvgQTFvz8AAAAAGAAAAPwIAPwAAgAAAAAAAPC/AAJwXwfOGVHivwAAAAAYAAAA/AgA/AACAAAAAAAA8L8CFR3J5T+k878Cx7q4jQbw+D8AAAAAGAAAAPwIAPwAAgAAAAAAAPC/AspUwaikzgPAAnBfB84ZUeK/AAAAABgAAAD8CAD8AAIAAAAAAADwvwIVHcnlP6TzPwJpAG+BBMW/PwAAAAAgAAAA/AgA/AACAAAAAAAA8L8AAnl6pSxDHADAAAAAABgAAAD8CAD8AAIAAAAAAADwvwLKVMGopM4DwAIwuycPCzUCQAAAAAAYAAAA/AgA/AACAAAAAAAA8L8C0ETY8PTKDcACaQBvgQTFvz8AAAAAGAAAAPwIAPwAAgAAAAAAAPC/AspUwaikzgNAAnBfB84ZUeK/AAAAABgAAAD8CAD8AAIAAAAAAADwvwIVHcnlP6TzPwLHuriNBvD4PwAAAAAYAAAA/AgA/AACAAAAAAAA8L8C0ETY8PTKDcACx7q4jQbw+D8AAAAAGAAAAPwIAPwAAgAAAAAAAPC/AtBE2PD0yg1AAmkAb4EExb8/AAAAABgAAAD8CAD8AAIAAAAAAADwvwLKVMGopM4DQAIwuycPCzUCQAAAAAAYAAAA/AgA/AACAAAAAAAA8L8C0ETY8PTKDUACx7q4jQbw+D8AAAAAPAAEBAAAAAAAAAAICAwEBAAAAAAMBAAEBAAAAAQQBAAAAAAAAAQUCAAAAAAAAAgYBAAEBAAAAAwcCAgEBAAAABAgCAwEBAAAABAkBAAEBAAAABgoCAgEBAAAACAsBAAEBAAAACQwCAgEBAAAACw0CAgEBAAAABwoBAAEBAAAADA0BAAEBAAAAAAAAQAAAAAAAAAAAAAAAAAAAAAAAAAAAA==</t>
        </r>
      </text>
    </comment>
    <comment ref="C20" authorId="0">
      <text>
        <r>
          <rPr>
            <sz val="9"/>
            <color indexed="81"/>
            <rFont val="Tahoma"/>
            <family val="2"/>
          </rPr>
          <t>Insight iXlW00003C0000020R0841462809S00000402P00712LAocjBAQBF1NjaVRlZ2ljLmRhdGEuTW9sZWN1bGUBbQF/ARJTY2lUZWdpYy5Nb2xlY3VsZQAAAQFkAv5qAQAAAAIAAiQYAAAA/AgA/AACAAAAAAAA8L8C6bevA+eM0L8Cf/s6cM6Isr8AAAAAGAAAAPwIAPwAAgAAAAAAAPC/AvOwUGuad9w/Al1txf6ye/I/AAAAABgAAAD8CAD8AAIAAAAAAADwvwLzsFBrmnfcPwI6I0p7gy/1vwAAAAAYAAAA/AgA/AACAAAAAAAA8L8CMEymCkYl+78Cf/s6cM6Isr8AAAAAGAAAAPwIAPwAAgAAAAAAAPC/AnKKjuTyH/4/Al1txf6ye/I/AAAAABgAAAD8CAD8AAIAAAAAAADwvwJyio7k8h/+PwI6I0p7gy/1vwAAAAAYAAAA/AQA/AACAAAAAAAA8L8CLiEf9GxWA8ACOiNKe4Mv9b8AAAAAIAAAAPwIAPwAAgAAAAAAAPC/Ai4hH/RsVgPAAl1txf6ye/I/AAAAABgAAAD8CAD8AAIAAAAAAADwvwLNzMzMzMwEQAJ/+zpwzoiyvwAAAAAkAAQEAAQEAAAAAAgICAQEAAAAAAwEAAAAAAAABBAICAQEAAAACBQEAAQEAAAADBgEAAAAAAAADBwIAAAAAAAAECAEAAQEAAAAFCAICAQEAAAAAAABAAAAAAAAAAAAAAAAAAAAAAAAAAAA</t>
        </r>
      </text>
    </comment>
    <comment ref="C21" authorId="0">
      <text>
        <r>
          <rPr>
            <sz val="9"/>
            <color indexed="81"/>
            <rFont val="Tahoma"/>
            <family val="2"/>
          </rPr>
          <t>Insight iXlW00003C0000021R0841462809S00000403P00700LAocjBAQBF1NjaVRlZ2ljLmRhdGEuTW9sZWN1bGUBbQF/ARJTY2lUZWdpYy5Nb2xlY3VsZQAAAQFkAv5qAQAAAAIAAiQYAAAA/AQA/AACAAAAAAAA8L8CGy/dJAaB/78CbjSAt0CC1j8AAAAAIAAAAPwEAPwAAgAAAAAAAPC/Al8pyxDHuua/AlpkO99PjfA/AAAAABgAAAD8BAD8AAIAAAAAAADwvwLNzMzMzMwIwALLoUW28/3gvwAAAAAYAAAA/AQA/AACAAAAAAAA8L8Cx9y1hHzQ8r8CZTvfT42X6r8AAAAAGAAAAPwEAPwAAgAAAAAAAPC/Ao6XbhKDwAfAAusENBE2PPY/AAAAABgAAAD8CAD8AAIAAAAAAADwvwIIzhlR2hvgPwJwXwfOGVHSPwAAAAAcAAAA/AgA/AACAAAAAAAA8L8C6+I2GsBb/D8CLiEf9GxW7z8AAAAAIAAAAPwIAPwAAgAAAAAAAPC/AphuEoPAyt0/AnyDL0ymCvK/AAAAACAAAAD8BAD8AAIAAAAAAADwvwJ+jLlrCfkHQALFILByaJHNPwAAAAAgAAQEAAAAAAAAAAgEAAAAAAAAAAwEAAAAAAAAABAEAAAAAAAABBQEAAAAAAAAFBgEAAAAAAAAFBwIAAAAAAAAGCAEAAAAAAAAAAABAAAAAAAAAAAAAAAAAAAAAAAAAAAA</t>
        </r>
      </text>
    </comment>
    <comment ref="C22" authorId="0">
      <text>
        <r>
          <rPr>
            <sz val="9"/>
            <color indexed="81"/>
            <rFont val="Tahoma"/>
            <family val="2"/>
          </rPr>
          <t>Insight iXlW00003C0000022R0841462809S00000404P00648LAocjBAQBF1NjaVRlZ2ljLmRhdGEuTW9sZWN1bGUBbQF/ARJTY2lUZWdpYy5Nb2xlY3VsZQAAAQFkAv5qAQAAAAIAAiAYAAAA/AQA/AACAAAAAAAA8L8CbXh6pSxDrD8CumsJ+aBnoz8AAAAAGAAAAPwIAPwAAgAAAAAAAPC/AoV80LNZ9fW/ArprCfmgZ6M/AAAAABgAAAD8BAD8AAIAAAAAAADwvwLVmuYdp+jsPwKegCbChqfxvwAAAAAYAAAA/AQA/AACAAAAAAAA8L8C1ZrmHafo7D8CrK3YX3ZP8z8AAAAAIAAAAPwEAPwAAgAAAAAAAPC/Ag+cM6K0twDAAkM+6Nms+vK/AAAAACAAAAD8CAD8AAIAAAAAAADwvwIPnDOitLcAwALZ8PRKWYb0PwAAAAAYAAAA/AQA/AACAAAAAAAA8L8CMLsnDws1AkACsp3vp8ZL5b8AAAAAGAAAAPwEAPwAAgAAAAAAAPC/AjC7Jw8LNQJAAt4CCYofY+g/AAAAACAABAQAAAAAAAAACAQABAAAAAAADAQABAAAAAAEEAQAAAAAAAAEFAgAAAAAAAAIGAQABAAAAAAMHAQABAAAAAAYHAQABAAAAAAAAAEAAAAAAAAAAAAAAAAAAAAAAAAAAAA=</t>
        </r>
      </text>
    </comment>
    <comment ref="C23" authorId="0">
      <text>
        <r>
          <rPr>
            <sz val="9"/>
            <color indexed="81"/>
            <rFont val="Tahoma"/>
            <family val="2"/>
          </rPr>
          <t>Insight iXlW00003C0000023R0841462809S00000405P00712LAocjBAQBF1NjaVRlZ2ljLmRhdGEuTW9sZWN1bGUBbQF/ARJTY2lUZWdpYy5Nb2xlY3VsZQAAAQFkAv5qAQAAAAIAAiQYAAAA/AgA/AACAAAAAAAA8L8CvAUSFD/G0L8CumsJ+aBnoz8AAAAAGAAAAPwIAPwAAgAAAAAAAPC/AvOwUGuad9w/Atnw9EpZhvQ/AAAAABgAAAD8CAD8AAIAAAAAAADwvwLzsFBrmnfcPwK30QDeAgnzvwAAAAAYAAAA/AgA/AACAAAAAAAA8L8CNxrAWyBB+78CumsJ+aBnoz8AAAAAGAAAAPwIAPwAAgAAAAAAAPC/AnKKjuTyH/4/Atnw9EpZhvQ/AAAAABgAAAD8CAD8AAIAAAAAAADwvwJyio7k8h/+PwK30QDeAgnzvwAAAAAgAAAA/AQA/AACAAAAAAAA8L8C6Gor9pddA8ACt9EA3gIJ878AAAAAIAAAAPwIAPwAAgAAAAAAAPC/AuhqK/aXXQPAAtnw9EpZhvQ/AAAAABgAAAD8CAD8AAIAAAAAAADwvwJPQBNhw9MEQAK6awn5oGejPwAAAAAkAAQEAAQEAAAAAAgICAQEAAAAAAwEAAAAAAAABBAICAQEAAAACBQEAAQEAAAADBgEAAAAAAAADBwIAAAAAAAAECAEAAQEAAAAFCAICAQEAAAAAAABAAAAAAAAAAAAAAAAAAAAAAAAAAAA</t>
        </r>
      </text>
    </comment>
    <comment ref="C24" authorId="0">
      <text>
        <r>
          <rPr>
            <sz val="9"/>
            <color indexed="81"/>
            <rFont val="Tahoma"/>
            <family val="2"/>
          </rPr>
          <t>Insight iXlW00003C0000024R0841462809S00000406P00812LAocjBAQBF1NjaVRlZ2ljLmRhdGEuTW9sZWN1bGUBbQF/ARJTY2lUZWdpYy5Nb2xlY3VsZQAAAQFkAv5qAQAAAAIAAiwYAAAA/AgA/AACAAAAAAAA8L8CvAUSFD/G0L8AAAAAABgAAAD8CAD8AAIAAAAAAADwvwLzsFBrmnfcPwKRfvs6cM7zvwAAAAAYAAAA/AgA/AACAAAAAAAA8L8C87BQa5p33D8CkX77OnDO8z8AAAAAGAAAAPwIAPwAAgAAAAAAAPC/AjQzMzMzM/u/AAAAAAAYAAAA/AgA/AACAAAAAAAA8L8CcoqO5PIf/j8CkX77OnDO878AAAAAGAAAAPwEAPwAAgAAAAAAAPC/ArwFEhQ/xtC/AgYSFD/G3APAAAAAABgAAAD8CAD8AAIAAAAAAADwvwJyio7k8h/+PwKRfvs6cM7zPwAAAAAYAAAA/AQA/AACAAAAAAAA8L8CvAUSFD/G0L8CBhIUP8bcA0AAAAAAIAAAAPwEAPwAAgAAAAAAAPC/Ai4hH/RsVgPAApF++zpwzvO/AAAAACAAAAD8CAD8AAIAAAAAAADwvwIuIR/0bFYDwAKRfvs6cM7zPwAAAAAYAAAA/AgA/AACAAAAAAAA8L8CzczMzMzMBEAAAAAAACwABAgIBAQAAAAACAQABAQAAAAADAQAAAAAAAAEEAQABAQAAAAEFAQAAAAAAAAIGAgIBAQAAAAIHAQAAAAAAAAMIAQAAAAAAAAMJAgAAAAAAAAQKAgIBAQAAAAYKAQABAQAAAAAAAEAAAAAAAAAAAAAAAAAAAAAAAAAAAA=</t>
        </r>
      </text>
    </comment>
    <comment ref="C25" authorId="0">
      <text>
        <r>
          <rPr>
            <sz val="9"/>
            <color indexed="81"/>
            <rFont val="Tahoma"/>
            <family val="2"/>
          </rPr>
          <t>Insight iXlW00003C0000025R0841462809S00000407P00976LAocjBAQBF1NjaVRlZ2ljLmRhdGEuTW9sZWN1bGUBbQF/ARJTY2lUZWdpYy5Nb2xlY3VsZQAAAQFkAv5qAQAAAAIAAjQYAAAA/AgA/AACAAAAAAAA8L8CfIMvTKYK8j8Cx7q4jQbwpj8AAAAAGAAAAPwIAPwAAgAAAAAAAPC/Al1txf6ye9o/Aj9XW7G/7PK/AAAAABgAAAD8CAD8AAIAAAAAAADwvwKL/WX35GHZPwLc14FzRpT0PwAAAAAYAAAA/AQA/AACAAAAAAAA8L8CHqfoSC5/BEAC1QloImx4qj8AAAAAGAAAAPwIAPwAAgAAAAAAAPC/Anl6pSxDHPC/Aru4jQbwFvO/AAAAABgAAAD8CAD8AAIAAAAAAADwvwLi6ZWyDHHwvwJkXdxGA3j0PwAAAAAkAAAA/AQA/AACAAAAAAAA8L8CJCh+jLlrB0ACKjqSy39I9z8AAAAAJAAAAPwEAPwAAgAAAAAAAPC/AlvTvOMUnQNAApSHhVrTvPW/AAAAACQAAAD8BAD8AAIAAAAAAADwvwLEQq1p3vEPQALJdr6fGi/FvwAAAAAYAAAA/AgA/AACAAAAAAAA8L8CjpduEoPA+78CRIts5/upoT8AAAAAGAAAAPwIAPwAAgAAAAAAAPC/AqmkTkATYQnAAj2bVZ+rrZg/AAAAACAAAAD8BAD8AAIAAAAAAADwvwI5RUdy+Q8PwAKwlGWIY13zvwAAAAAgAAAA/AgA/AACAAAAAAAA8L8C8mPMXUtID8AC6Pup8dJN9D8AAAAANAAECAgEBAAAAAAIBAAEBAAAAAAMBAAAAAAAAAQQBAAEBAAAAAgUCAgEBAAAAAwYBAAAAAAAAAwcBAAAAAAAAAwgBAAAAAAAABAkCAwEBAAAACQoBAAAAAAAACgsBAAAAAAAACgwCAAAAAAAABQkBAAEBAAAAAAAAQAAAAAAAAAAAAAAAAAAAAAAAAAAAA==</t>
        </r>
      </text>
    </comment>
    <comment ref="C26" authorId="0">
      <text>
        <r>
          <rPr>
            <sz val="9"/>
            <color indexed="81"/>
            <rFont val="Tahoma"/>
            <family val="2"/>
          </rPr>
          <t>Insight iXlW00003C0000026R0841462809S00000408P01040LAocjBAQBF1NjaVRlZ2ljLmRhdGEuTW9sZWN1bGUBbQF/ARJTY2lUZWdpYy5Nb2xlY3VsZQAAAQFkAv5qAQAAAAIAAjgYAAAA/AgA/AACAAAAAAAA8L8Csi5uowE8AkACPnlYqDXNy78AAAAAGAAAAPwEAPwAAgAAAAAAAPC/AoJzRpT2BvQ/AkM+6Nms+uK/AAAAABgAAAD8CAD8AAIAAAAAAADwvwLTTWIQWLkDQAI/V1uxv+zqPwAAAAAYAAAA/AgA/AACAAAAAAAA8L8Cx7q4jQbwCEACoKut2F927b8AAAAAGAAAAPwEAPwAAgAAAAAAAPC/AoofY+5aQto/AtiBc0aU9rY/AAAAABgAAAD8CAD8AAIAAAAAAADwvwIAAAAAAAAMQAIoDwu1pnnzPwAAAAAYAAAA/AgA/AACAAAAAAAA8L8CejarPlebEEACrYvbaABv4b8AAAAAGAAAAPwEAPwAAgAAAAAAAPC/AjMzMzMzM+O/Ap7vp8ZLN9G/AAAAABgAAAD8CAD8AAIAAAAAAADwvwKppE5AE2ERQALi6ZWyDHHgPwAAAAAYAAAA/AQA/AACAAAAAAAA8L8CxbEubqMB978CbAn5oGez2j8AAAAAGAAAAPwIAPwAAgAAAAAAAPC/AtNNYhBYuQPAAlHaG3xhMqU/AAAAACAAAAD8BAD8AAIAAAAAAADwvwKjI7n8h3QKwAIbL90kBoHnPwAAAAAgAAAA/AgA/AACAAAAAAAA8L8Cr7Zif9k9BcACaW/whclU8L8AAAAAGAAAAPwEAPwAAgAAAAAAAPC/AqmkTkATYRHAAjEIrBxaZNc/AAAAADgABAQAAAAAAAAACAQABAQAAAAADAgMBAQAAAAEEAQAAAAAAAAIFAgIBAQAAAAMGAQABAQAAAAQHAQAAAAAAAAUIAQABAQAAAAcJAQAAAAAAAAkKAQAAAAAAAAoLAQAAAAAAAAoMAgAAAAAAAAsNAQAAAAAAAAYIAgIBAQAAAAAAAEAAAAAAAAAAAAAAAAAAAAAAAAAAAA=</t>
        </r>
      </text>
    </comment>
    <comment ref="C27" authorId="0">
      <text>
        <r>
          <rPr>
            <sz val="9"/>
            <color indexed="81"/>
            <rFont val="Tahoma"/>
            <family val="2"/>
          </rPr>
          <t>Insight iXlW00003C0000027R0841462809S00000409P00680LAocjBAQBF1NjaVRlZ2ljLmRhdGEuTW9sZWN1bGUBbQF/ARJTY2lUZWdpYy5Nb2xlY3VsZQAAAQFkAv5qAQAAAAIAAiQYAAAA/AQA/AACAAAAAAAA8L8AAsb+snvysNy/AAAAABgAAAD8CAD8AAIAAAAAAADwvwIGEhQ/xtzzPwKe76fGSzfRPwAAAAAYAAAA/AQA/AACAAAAAAAA8L8CGQRWDi2y878CCM4ZUdob0D8AAAAAGAAAAPwEAPwAAgAAAAAAAPC/AAL+9nXgnBH+vwAAAAAgAAAA/AQA/AACAAAAAAAA8L8CTMgHPZvVA0ACIUHxY8xd278AAAAAIAAAAPwIAPwAAgAAAAAAAPC/AgYSFD/G3PM/AiQofoy5a/s/AAAAABgAAAD8BAD8AAIAAAAAAADwvwJMyAc9m9UDwAKo6Egu/yHdvwAAAAAYAAAA/AQA/AACAAAAAAAA8L8C0ETY8PTKDUACFR3J5T+k0z8AAAAAGAAAAPwEAPwAAgAAAAAAAPC/AtBE2PD0yg3AAgjOGVHaG9A/AAAAACAABAQAAAAAAAAACAQAAAAAAAAADAQAAAAAAAAEEAQAAAAAAAAEFAgAAAAAAAAIGAQAAAAAAAAQHAQAAAAAAAAYIAQAAAAAAAAAAAEAAAAAAAAAAAAAAAAAAAAAAAAAAAA=</t>
        </r>
      </text>
    </comment>
    <comment ref="C28" authorId="0">
      <text>
        <r>
          <rPr>
            <sz val="9"/>
            <color indexed="81"/>
            <rFont val="Tahoma"/>
            <family val="2"/>
          </rPr>
          <t>Insight iXlW00003C0000028R0841462809S00000410P00780LAocjBAQBF1NjaVRlZ2ljLmRhdGEuTW9sZWN1bGUBbQF/ARJTY2lUZWdpYy5Nb2xlY3VsZQAAAQFkAv5qAQAAAAIAAigYAAAA/AgA/AACAAAAAAAA8L8CIUHxY8xd2z8C2xt8YTJVwD8AAAAAGAAAAPwIAPwAAgAAAAAAAPC/AidTBaOSOu+/AtUJaCJseKq/AAAAABgAAAD8CAD8AAIAAAAAAADwvwK+wRcmUwX1PwIQC7WmecfvvwAAAAAYAAAA/AgA/AACAAAAAAAA8L8CJ1MFo5I67z8CLiEf9GxW9z8AAAAAIAAAAPwEAPwAAgAAAAAAAPC/AhwN4C2QoP2/AjEqqRPQRPE/AAAAACAAAAD8CAD8AAIAAAAAAADwvwLi6ZWyDHH4vwJyio7k8h/2vwAAAAAYAAAA/AgA/AACAAAAAAAA8L8CDQIrhxbZBUACoWez6nO16b8AAAAAGAAAAPwIAPwAAgAAAAAAAPC/AnDwhclUQQNAAnBfB84ZUfo/AAAAABgAAAD8BAD8AAIAAAAAAADwvwJseHqlLEMKwALkFB3J5T/sPwAAAAAYAAAA/AgA/AACAAAAAAAA8L8CbHh6pSxDCkAC+MJkqmBU4D8AAAAAKAAEBAAAAAAAAAAICAwEBAAAAAAMBAAEBAAAAAQQBAAAAAAAAAQUCAAAAAAAAAgYBAAEBAAAAAwcCAgEBAAAABAgBAAAAAAAABgkCAgEBAAAABwkBAAEBAAAAAAAAQAAAAAAAAAAAAAAAAAAAAAAAAAAAA==</t>
        </r>
      </text>
    </comment>
    <comment ref="C29" authorId="0">
      <text>
        <r>
          <rPr>
            <sz val="9"/>
            <color indexed="81"/>
            <rFont val="Tahoma"/>
            <family val="2"/>
          </rPr>
          <t>Insight iXlW00003C0000029R0841462809S00000411P00516LAocjBAQBF1NjaVRlZ2ljLmRhdGEuTW9sZWN1bGUBbQF/ARJTY2lUZWdpYy5Nb2xlY3VsZQAAAQFkAv5qAQAAAAIAAhgYAAAA/AgA/AACAAAAAAAA8L8CQ61p3nGK0r8Cf/s6cM6Isr8AAAAAGAAAAPwEAPwAAgAAAAAAAPC/AryWkA96NuE/AgYSFD/G3PO/AAAAACAAAAD8BAD8AAIAAAAAAADwvwK8lpAPejbhPwK4rwPnjCjxPwAAAAAgAAAA/AgA/AACAAAAAAAA8L8CFR3J5T+k+78Cf/s6cM6Isr8AAAAAGAAAAPwEAPwAAgAAAAAAAPC/AuPHmLuWkP4/AqmkTkATYem/AAAAABgAAAD8BAD8AAIAAAAAAADwvwLjx5i7lpD+PwIN4C2QoPjjPwAAAAAYAAQEAAQAAAAAAAgEAAQAAAAAAAwIAAAAAAAABBAEAAQAAAAACBQEAAQAAAAAEBQEAAQAAAAAAAABAAAAAAAAAAAAAAAAAAAAAAAAAAAA</t>
        </r>
      </text>
    </comment>
    <comment ref="C30" authorId="0">
      <text>
        <r>
          <rPr>
            <sz val="9"/>
            <color indexed="81"/>
            <rFont val="Tahoma"/>
            <family val="2"/>
          </rPr>
          <t>Insight iXlW00003C0000030R0841462809S00000412P00584LAocjBAQBF1NjaVRlZ2ljLmRhdGEuTW9sZWN1bGUBbQF/ARJTY2lUZWdpYy5Nb2xlY3VsZQAAAQFkAv5qAQAAAAIAAhwYAAAA/AgA/AACAAAAAAAA8L8CjnVxGw3g8b8CLpCg+DHmvr8AAAAAIAAAAPwEAPwAAgAAAAAAAPC/AkSLbOf7qaE/AjZeukkMAu+/AAAAABgAAAD8BAD8AAIAAAAAAADwvwKjkjoBTYTlvwIZBFYOLbLzPwAAAAAgAAAA/AgA/AACAAAAAAAA8L8CQs9m1efqA8ACf2q8dJMY4r8AAAAAGAAAAPwIAPwAAgAAAAAAAPC/AjBMpgpGJfM/Ai6QoPgx5r6/AAAAABgAAAD8BAD8AAIAAAAAAADwvwIE54wo7Q3oPwIZBFYOLbLzPwAAAAAgAAAA/AgA/AACAAAAAAAA8L8C3NeBc0aUBEACf2q8dJMY4r8AAAAAHAAEBAAEAAAAAAAIBAAEAAAAAAAMCAAAAAAAAAQQBAAEAAAAAAgUBAAEAAAAABAYCAAAAAAAABAUBAAEAAAAAAAAAQAAAAAAAAAAAAAAAAAAAAAAAAAAAA==</t>
        </r>
      </text>
    </comment>
    <comment ref="C31" authorId="0">
      <text>
        <r>
          <rPr>
            <sz val="9"/>
            <color indexed="81"/>
            <rFont val="Tahoma"/>
            <family val="2"/>
          </rPr>
          <t>Insight iXlW00003C0000031R0841462809S00000413P00716LAocjBAQBF1NjaVRlZ2ljLmRhdGEuTW9sZWN1bGUBbQF/ARJTY2lUZWdpYy5Nb2xlY3VsZQAAAQFkAv5qAQAAAAIAAiQYAAAA/AgA/AACAAAAAAAA8L8C6bevA+eM0L8Cf/s6cM6Isr8AAAAAGAAAAPwIAPwAAgAAAAAAAPC/AvOwUGuad9w/Al1txf6ye/I/AAAAABgAAAD8CAD8AAIAAAAAAADwvwLzsFBrmnfcPwI6I0p7gy/1vwAAAAABEAAAAPwEAPwAAgAAAAAAAPC/AjBMpgpGJfu/An/7OnDOiLK/AAAAABgAAAD8CAD8AAIAAAAAAADwvwJyio7k8h/+PwJdbcX+snvyPwAAAAAYAAAA/AgA/AACAAAAAAAA8L8CcoqO5PIf/j8COiNKe4Mv9b8AAAAAGAAAAPwEAPwAAgAAAAAAAPC/Ai4hH/RsVgPAAjojSnuDL/W/AAAAACAAAAD8CAD8AAIAAAAAAADwvwIuIR/0bFYDwAJdbcX+snvyPwAAAAAYAAAA/AgA/AACAAAAAAAA8L8CzczMzMzMBEACf/s6cM6Isr8AAAAAJAAEBAAEBAAAAAAICAgEBAAAAAAMBAAAAAAAAAQQCAgEBAAAAAgUBAAEBAAAAAwYBAAAAAAAAAwcCAAAAAAAABAgBAAEBAAAABQgCAgEBAAAAAAAAQAAAAAAAAAAAAAAAAAAAAAAAAAAAA==</t>
        </r>
      </text>
    </comment>
    <comment ref="C32" authorId="0">
      <text>
        <r>
          <rPr>
            <sz val="9"/>
            <color indexed="81"/>
            <rFont val="Tahoma"/>
            <family val="2"/>
          </rPr>
          <t>Insight iXlW00003C0000032R0841462809S00000414P00560LAocjBAQBF1NjaVRlZ2ljLmRhdGEuTW9sZWN1bGUBbQF/ARJTY2lUZWdpYy5Nb2xlY3VsZQAAAQFkAv5qAQAAAAIAAhwBEAAAAPwEAPwAAgAAAAAAAPC/AAI+eVioNc3LPwAAAAAYAAAA/AQA/AACAAAAAAAA8L8Cf2q8dJMY8j8CIR/0bFZ98T8AAAAAGAAAAPwEAPwAAgAAAAAAAPC/An9qvHSTGPK/AiEf9GxWffE/AAAAACAAAAD8CAD8AAIAAAAAAADwvwJFaW/whcnuvwJlO99PjZfqvwAAAAAgAAAA/AgA/AACAAAAAAAA8L8CRWlv8IXJ7j8CZTvfT42X6r8AAAAAGAAAAPwEAPwAAgAAAAAAAPC/AlHaG3xhsgNAArTIdr6fGuE/AAAAABgAAAD8BAD8AAIAAAAAAADwvwJR2ht8YbIDwAK0yHa+nxrhPwAAAAAYAAQEAAAAAAAAAAgEAAAAAAAAAAwIAAAAAAAAABAIAAAAAAAABBQEAAAAAAAACBgEAAAAAAAAAAABAAAAAAAAAAAAAAAAAAAAAAAAAAAA</t>
        </r>
      </text>
    </comment>
    <comment ref="C33" authorId="0">
      <text>
        <r>
          <rPr>
            <sz val="9"/>
            <color indexed="81"/>
            <rFont val="Tahoma"/>
            <family val="2"/>
          </rPr>
          <t>Insight iXlW00003C0000033R0841462809S00000415P00780LAocjBAQBF1NjaVRlZ2ljLmRhdGEuTW9sZWN1bGUBbQF/ARJTY2lUZWdpYy5Nb2xlY3VsZQAAAQFkAv5qAQAAAAIAAigYAAAA/AgA/AACAAAAAAAA8L8CUdobfGEytT8CescpOpLLr78AAAAAGAAAAPwIAPwAAgAAAAAAAPC/Ase6uI0G8Og/AtGzWfW52vS/AAAAABgAAAD8CAD8AAIAAAAAAADwvwKamZmZmZnpPwLW52or9pfyPwAAAAABEAAAAPwEAPwAAgAAAAAAAPC/AhwN4C2QoPW/AnrHKTqSy6+/AAAAABgAAAD8CAD8AAIAAAAAAADwvwJO0ZFc/sMBQAK+wRcmUwX1vwAAAAAYAAAA/AgA/AACAAAAAAAA8L8CSb99HTjnAUACXW3F/rJ78j8AAAAAGAAAAPwEAPwAAgAAAAAAAPC/AhUdyeU/pPO/AoSezarP1fe/AAAAACAAAAD8CAD8AAIAAAAAAADwvwIkKH6MuWv7vwI6I0p7gy/1PwAAAAAgAAAA/AgA/AACAAAAAAAA8L8CdnEbDeAtBsACJZf/kH770r8AAAAAGAAAAPwIAPwAAgAAAAAAAPC/AhUdyeU/pAdAAn/7OnDOiLK/AAAAACgABAgIBAQAAAAACAQABAQAAAAADAQAAAAAAAAEEAQABAQAAAAIFAgIBAQAAAAMGAQAAAAAAAAMHAgAAAAAAAAMIAgAAAAAAAAQJAgIBAQAAAAUJAQABAQAAAAAAAEAAAAAAAAAAAAAAAAAAAAAAAAAAAA=</t>
        </r>
      </text>
    </comment>
    <comment ref="C34" authorId="0">
      <text>
        <r>
          <rPr>
            <sz val="9"/>
            <color indexed="81"/>
            <rFont val="Tahoma"/>
            <family val="2"/>
          </rPr>
          <t>Insight iXlW00003C0000034R0841462809S00000416P00780LAocjBAQBF1NjaVRlZ2ljLmRhdGEuTW9sZWN1bGUBbQF/ARJTY2lUZWdpYy5Nb2xlY3VsZQAAAQFkAv5qAQAAAAIAAigYAAAA/AgA/AACAAAAAAAA8L8CtMh2vp8a8T8CqOhILv8h3b8AAAAAGAAAAPwIAPwAAgAAAAAAAPC/AvRsVn2uNgFAAmpN845TdPa/AAAAABgAAAD8CAD8AAIAAAAAAADwvwKUh4Va07z1PwKJY13cRgPuPwAAAAAYAAAA/AQA/AACAAAAAAAA8L8Cnu+nxks30b8CxY8xdy0h7b8AAAAAGAAAAPwIAPwAAgAAAAAAAPC/AjerPldbMQxAAoljXdxGA+6/AAAAABgAAAD8CAD8AAIAAAAAAADwvwJP0ZFc/sMFQAJqTfOOU3T2PwAAAAAYAAAA/AQA/AACAAAAAAAA8L8CGCZTBaOS9b8CIv32deCckT8AAAAAGAAAAPwIAPwAAgAAAAAAAPC/AunZrPpcbQ5AAqjoSC7/Id0/AAAAABwAAAD8BAD8AAIAAAAAAADwvwJP0ZFc/sMFwAIhQfFjzF3bvwAAAAAYAAAA/AQA/AACAAAAAAAA8L8C6dms+lxtDsACAAAAAAAA4D8AAAAAKAAECAgEBAAAAAAIBAAEBAAAAAAMBAAAAAAAAAQQBAAEBAAAAAgUCAgEBAAAAAwYBAAAAAAAABAcCAgEBAAAABggBAAAAAAAACAkBAAAAAAAABQcBAAEBAAAAAAAAQAAAAAAAAAAAAAAAAAAAAAAAAAAAA==</t>
        </r>
      </text>
    </comment>
    <comment ref="C35" authorId="0">
      <text>
        <r>
          <rPr>
            <sz val="9"/>
            <color indexed="81"/>
            <rFont val="Tahoma"/>
            <family val="2"/>
          </rPr>
          <t>Insight iXlW00003C0000035R0841462809S00000417P00832LAocjBAQBF1NjaVRlZ2ljLmRhdGEuTW9sZWN1bGUBbQF/ARJTY2lUZWdpYy5Nb2xlY3VsZQAAAQFkAv5qAQAAAAIAAiwYAAAA/AgA/AACAAAAAAAA8L8C9wZfmEwV/D8CL90kBoGV278AAAAAGAAAAPwEAPwAAgAAAAAAAPC/Amu8dJMYBN4/AuviNhrAW+y/AAAAABgAAAD8CAD8AAIAAAAAAADwvwIqqRPQRFgGQAIrGJXUCWj1vwAAAAAYAAAA/AgA/AACAAAAAAAA8L8CeXqlLEMcAEAC6+I2GsBb7D8AAAAAGAAAAPwEAPwAAgAAAAAAAPC/ApayDHGsi+G/AAAAAAAYAAAA/AgA/AACAAAAAAAA8L8CCM4ZUdpbEEAC6+I2GsBb7L8AAAAAGAAAAPwIAPwAAgAAAAAAAPC/AiWX/5B+ewpAAisYldQJaPU/AAAAABgAAAD8BAD8AAIAAAAAAADwvwKjkjoBTYT9vwLG/rJ78rDcvwAAAAAYAAAA/AgA/AACAAAAAAAA8L8CqaROQBNhEUACL90kBoGV2z8AAAAAGAAAAPwEAPwAAgAAAAAAAPC/Av2H9NvXAQfAAk7zjlN0JNs/AAAAABwAAAD8BAD8AAIAAAAAAADwvwKUGARWDq0QwAJteHqlLEN8vwAAAAAsAAQEAAAAAAAAAAgIDAQEAAAAAAwEAAQEAAAABBAEAAAAAAAACBQEAAQEAAAADBgICAQEAAAAEBwEAAAAAAAAFCAICAQEAAAAHCQEAAAAAAAAJCgEAAAAAAAAGCAEAAQEAAAAAAABAAAAAAAAAAAAAAAAAAAAAAAAAAAA</t>
        </r>
      </text>
    </comment>
    <comment ref="C36" authorId="0">
      <text>
        <r>
          <rPr>
            <sz val="9"/>
            <color indexed="81"/>
            <rFont val="Tahoma"/>
            <family val="2"/>
          </rPr>
          <t>Insight iXlW00003C0000036R0841462809S00000418P00700LAocjBAQBF1NjaVRlZ2ljLmRhdGEuTW9sZWN1bGUBbQF/ARJTY2lUZWdpYy5Nb2xlY3VsZQAAAQFkAv5qAQAAAAIBAiQYAAAA/AQA/AACAAAAAAAA8L8Cy6FFtvP94L8CaQBvgQTFvz8AAAAAGAAAAPwEAPwAAgAAAAAAAPC/Ap2iI7n8h/u/AuviNhrAW+w/AAAAABgAAAD8BAD8AAIAAAAAAADwvwJnZmZmZmbmPwLm0CLb+X7oPwAAAAAYCAAA/AQA/AACAAAAAAAA8L8CylTBqKTOB8ACiPTb14Fzzj8AAAAAGAAAAPwEAPwAAgAAAAAAAPC/Au7rwDkjSv4/Am14eqUsQ5w/AAAAABgAAAD8BAD8AAIAAAAAAADwvwKvJeSDnk0IwALW52or9pfyvwAAAAAcAAAA/AQA/AACAAAAAAAA8L8CtvP91HipEMAC+THmriXk7z8AAAAAGAAAAPwEAPwAAgAAAAAAAPC/AvRsVn2uNglAAsKopE5AE+U/AAAAABgAAAD8BAD8AAIAAAAAAADwvwKppE5AE2ERQAIGo5I6AU20vwAAAAAgAAQEAAAAAAAAAAgEAAAAAAAABAwEAAAAAAAACBAEAAAAAAAADBQEAAAAAAAADBgEEAAAAAAAEBwEAAAAAAAAHCAEAAAAAAAAAAABAAAAAAAAAAAAAAAAAAAAAAAAAAAA</t>
        </r>
      </text>
    </comment>
    <comment ref="C37" authorId="0">
      <text>
        <r>
          <rPr>
            <sz val="9"/>
            <color indexed="81"/>
            <rFont val="Tahoma"/>
            <family val="2"/>
          </rPr>
          <t>Insight iXlW00003C0000037R0841462809S00000419P00780LAocjBAQBF1NjaVRlZ2ljLmRhdGEuTW9sZWN1bGUBbQF/ARJTY2lUZWdpYy5Nb2xlY3VsZQAAAQFkAv5qAQAAAAIAAigYAAAA/AgA/AACAAAAAAAA8L8CUdobfGEypT8CRIts5/upob8AAAAAGAAAAPwIAPwAAgAAAAAAAPC/AqOSOgFNhPU/ArivA+eMKOm/AAAAABgAAAD8CAD8AAIAAAAAAADwvwL77evAOSP0vwK4rwPnjCjpvwAAAAAYAAAA/AQA/AACAAAAAAAA8L8CUdobfGEypT8CGy/dJAaB9z8AAAAAGAAAAPwIAPwAAgAAAAAAAPC/AqOSOgFNhPU/AiqpE9BEWALAAAAAABgAAAD8CAD8AAIAAAAAAADwvwL77evAOSP0vwIqqRPQRFgCwAAAAAAYAAAA/AQA/AACAAAAAAAA8L8Co5I6AU2E9T8CTtGRXP7DAUAAAAAAGAAAAPwEAPwAAgAAAAAAAPC/AjtwzojS3uI/AsHKoUW28wZAAAAAABwAAAD8BAD8AAIAAAAAAADwvwL77evAOSP0vwJO0ZFc/sMBQAAAAAAYAAAA/AgA/AACAAAAAAAA8L8CUdobfGEypT8C6+I2GsBbCMAAAAAAKAAEBAAEBAAAAAAICAgEBAAAAAAMBAAAAAAAAAQQCAgEBAAAAAgUBAAEBAAAAAwYBAAAAAAAAAwcBAAAAAAAAAwgBAAAAAAAABAkBAAEBAAAABQkCAgEBAAAAAAAAQAAAAAAAAAAAAAAAAAAAAAAAAAAAA==</t>
        </r>
      </text>
    </comment>
    <comment ref="C38" authorId="0">
      <text>
        <r>
          <rPr>
            <sz val="9"/>
            <color indexed="81"/>
            <rFont val="Tahoma"/>
            <family val="2"/>
          </rPr>
          <t>Insight iXlW00003C0000038R0841462809S00000420P01252LAocjBAQBF1NjaVRlZ2ljLmRhdGEuTW9sZWN1bGUBbQF/ARJTY2lUZWdpYy5Nb2xlY3VsZQAAAQFkAv5qAQAAAAIAAgERGAAAAPwIAPwAAgAAAAAAAPC/AiEf9GxWfQFAAnrHKTqSy6+/AAAAABgAAAD8CAD8AAIAAAAAAADwvwLo2az6XG3yPwIs9pfdk4fjPwAAAAAYAAAA/AgA/AACAAAAAAAA8L8CJZf/kH57CkACmG4Sg8DK3T8AAAAAGAAAAPwIAPwAAgAAAAAAAPC/AgmKH2Pu2gBAAkZHcvkP6fS/AAAAABgAAAD8BAD8AAIAAAAAAADwvwJYObTIdr6fPwJ6xyk6ksuvPwAAAAAgAAAA/AgA/AACAAAAAAAA8L8CjpduEoPA8z8CkaD4Meau/T8AAAAAGAAAAPwIAPwAAgAAAAAAAPC/AqmkTkATYRFAAl1txf6ye8q/AAAAACAAAAD8BAD8AAIAAAAAAADwvwJ2ApoIGx4LQAI3GsBbIEH7PwAAAAAYAAAA/AgA/AACAAAAAAAA8L8CQDVeukkMCUACAAAAAAAAAMAAAAAAGAAAAPwEAPwAAgAAAAAAAPC/AhdIUPwYc++/AvXb14FzRug/AAAAABgAAAD8CAD8AAIAAAAAAADwvwK+wRcmUwURQAK1pnnHKTr3vwAAAAAYAAAA/AgA/AACAAAAAAAA8L8CCYofY+7aAMACPnlYqDXNyz8AAAAAGAAAAPwIAPwAAgAAAAAAAPC/AkA1XrpJDAnAAtWa5h2n6Ow/AAAAABgAAAD8CAD8AAIAAAAAAADwvwIhH/RsVn0BwAL129eBc0bwvwAAAAAYAAAA/AgA/AACAAAAAAAA8L8CvsEXJlMFEcACI2x4eqUs1z8AAAAAGAAAAPwIAPwAAgAAAAAAAPC/AiWX/5B+ewrAAse6uI0G8Pi/AAAAABgAAAD8CAD8AAIAAAAAAADwvwKppE5AE2ERwAISNjy9UpbrvwAAAAABEgAEBAAAAAAAAAAICAwEBAAAAAAMBAAEBAAAAAQQBAAAAAAAAAQUCAAAAAAAAAgYBAAEBAAAAAgcBAAAAAAAAAwgCAgEBAAAABAkBAAAAAAAABgoCAgEBAAAACQsBAAAAAAAACwwCAwEBAAAACw0BAAEBAAAADA4BAAEBAAAADQ8CAgEBAAAADgBEAgIBAQAAAAgKAQABAQAAAA8ARAEAAQEAAAAAAABAAAAAAAAAAAAAAAAAAAAAAAAAAAA</t>
        </r>
      </text>
    </comment>
    <comment ref="C39" authorId="0">
      <text>
        <r>
          <rPr>
            <sz val="9"/>
            <color indexed="81"/>
            <rFont val="Tahoma"/>
            <family val="2"/>
          </rPr>
          <t>Insight iXlW00003C0000039R0841462809S00000421P00648LAocjBAQBF1NjaVRlZ2ljLmRhdGEuTW9sZWN1bGUBbQF/ARJTY2lUZWdpYy5Nb2xlY3VsZQAAAQFkAv5qAQAAAAIAAiAYAAAA/AgA/AACAAAAAAAA8L8Ct9EA3gIJyr8CFR3J5T+k078AAAAAGAAAAPwIAPwAAgAAAAAAAPC/Au0NvjCZKug/Agkbnl4py/W/AAAAABgAAAD8CAD8AAIAAAAAAADwvwK30QDeAgnKPwJPQBNhw9PwPwAAAAAcAAAA/AQA/AACAAAAAAAA8L8CEhQ/xty1+b8CDeAtkKD4478AAAAAGAAAAPwIAPwAAgAAAAAAAPC/AjEqqRPQRAFAAk9AE2HD0/C/AAAAABgAAAD8CAD8AAIAAAAAAADwvwISFD/G3LX5PwIJG55eKcv1PwAAAAAYAAAA/AQA/AACAAAAAAAA8L8CD5wzorS3BMACbAn5oGez2j8AAAAAGAAAAPwIAPwAAgAAAAAAAPC/Ag+cM6K0twRAAhUdyeU/pNM/AAAAACAABAgIBAQAAAAACAQABAQAAAAADAQAAAAAAAAEEAQABAQAAAAIFAgIBAQAAAAMGAQAAAAAAAAQHAgIBAQAAAAUHAQABAQAAAAAAAEAAAAAAAAAAAAAAAAAAAAAAAAAAAA=</t>
        </r>
      </text>
    </comment>
    <comment ref="C40" authorId="0">
      <text>
        <r>
          <rPr>
            <sz val="9"/>
            <color indexed="81"/>
            <rFont val="Tahoma"/>
            <family val="2"/>
          </rPr>
          <t>Insight iXlW00003C0000040R0841462809S00000422P00716LAocjBAQBF1NjaVRlZ2ljLmRhdGEuTW9sZWN1bGUBbQF/ARJTY2lUZWdpYy5Nb2xlY3VsZQAAAQFkAv5qAQAAAAIAAiQYAAAA/AgA/AACAAAAAAAA8L8C2xt8YTJVwL8CWFuxv+ye5r8AAAAAGAAAAPwIAPwAAgAAAAAAAPC/AtsbfGEyVcC/Alhbsb/snuY/AAAAABgAAAD8BAD8AAIAAAAAAADwvwIAAAAAAAD4vwLo2az6XG3yvwAAAAAYAAAA/AgA/AACAAAAAAAA8L8ClrIMcayL8T8CxbEubqMB978AAAAAHAAAAPwEAPwAAgAAAAAAAPC/AgAAAAAAAPi/AujZrPpcbfI/AAAAABgAAAD8CAD8AAIAAAAAAADwvwKWsgxxrIvxPwLFsS5uowH3PwAAAAAYAAAA/AQA/AACAAAAAAAA8L8CDJOpglHJAsAAAAAAABgAAAD8CAD8AAIAAAAAAADwvwIMk6mCUckCQAJYW7G/7J7mvwAAAAAYAAAA/AgA/AACAAAAAAAA8L8CDJOpglHJAkACWFuxv+ye5j8AAAAAKAAECAgEBAAAAAAIBAAEAAAAAAAMBAAEBAAAAAQQBAAEAAAAAAQUBAAEBAAAAAgYBAAEAAAAAAwcCAgEBAAAABQgCAgEBAAAABAYBAAEAAAAABwgBAAEBAAAAAAAAQAAAAAAAAAAAAAAAAAAAAAAAAAAAA==</t>
        </r>
      </text>
    </comment>
    <comment ref="C41" authorId="0">
      <text>
        <r>
          <rPr>
            <sz val="9"/>
            <color indexed="81"/>
            <rFont val="Tahoma"/>
            <family val="2"/>
          </rPr>
          <t>Insight iXlW00003C0000041R0841462809S00000423P00768LAocjBAQBF1NjaVRlZ2ljLmRhdGEuTW9sZWN1bGUBbQF/ARJTY2lUZWdpYy5Nb2xlY3VsZQAAAQFkAv5qAQAAAAIAAigYAAAA/AgA/AACAAAAAAAA8L8AArivA+eMKOm/AAAAABgAAAD8CAD8AAIAAAAAAADwvwAC9wZfmEwV5D8AAAAAGAAAAPwIAPwAAgAAAAAAAPC/ApF++zpwzvM/AvH0SlmGOPi/AAAAABgAAAD8BAD8AAIAAAAAAADwvwKRfvs6cM7zvwLx9EpZhjj4vwAAAAAYAAAA/AgA/AACAAAAAAAA8L8CkX77OnDO8z8CGCZTBaOS9T8AAAAAHAAAAPwEAPwAAgAAAAAAAPC/ApF++zpwzvO/AhgmUwWjkvU/AAAAABgAAAD8CAD8AAIAAAAAAADwvwJCz2bV5+oDQAK4rwPnjCjpvwAAAAAYAAAA/AQA/AACAAAAAAAA8L8CQs9m1efqA8ACuK8D54wo6b8AAAAAGAAAAPwIAPwAAgAAAAAAAPC/AkLPZtXn6gNAAvcGX5hMFeQ/AAAAABgAAAD8BAD8AAIAAAAAAADwvwJCz2bV5+oDwAL3Bl+YTBXkPwAAAAAsAAQICAQEAAAAAAgEAAQEAAAAAAwEAAQAAAAABBAEAAQEAAAABBQEAAQAAAAACBgICAQEAAAADBwEAAQAAAAAECAICAQEAAAAFCQEAAQAAAAAGCAEAAQEAAAAHCQEAAQAAAAAAAABAAAAAAAAAAAAAAAAAAAAAAAAAAAA</t>
        </r>
      </text>
    </comment>
    <comment ref="C42" authorId="0">
      <text>
        <r>
          <rPr>
            <sz val="9"/>
            <color indexed="81"/>
            <rFont val="Tahoma"/>
            <family val="2"/>
          </rPr>
          <t>Insight iXlW00003C0000042R0841462809S00000424P00912LAocjBAQBF1NjaVRlZ2ljLmRhdGEuTW9sZWN1bGUBbQF/ARJTY2lUZWdpYy5Nb2xlY3VsZQAAAQFkAv5qAQAAAAIAAjAYAAAA/AgA/AACAAAAAAAA8L8CB/AWSFD88b8CWFuxv+ye5j8AAAAAGAAAAPwIAPwAAgAAAAAAAPC/Aq+2Yn/ZPfW/Alhbsb/snua/AAAAABgAAAD8CAD8AAIAAAAAAADwvwK30QDeAgnKPwKOl24Sg8DzPwAAAAAYAAAA/AQA/AACAAAAAAAA8L8CP8bctYT8AcAClrIMcayL+T8AAAAAGAAAAPwIAPwAAgAAAAAAAPC/ArfRAN4CCcq/ApayDHGsi/m/AAAAABwAAAD8BAD8AAIAAAAAAADwvwJt5/up8VIFwAKOl24Sg8DzvwAAAAAYAAAA/AgA/AACAAAAAAAA8L8Cr7Zif9k99T8CbjSAt0CC1j8AAAAAGAAAAPwEAPwAAgAAAAAAAPC/AtPe4AuTqQzAAjxO0ZFc/vA/AAAAABgAAAD8CAD8AAIAAAAAAADwvwIH8BZIUPzxPwI8TtGRXP7wvwAAAAAYAAAA/AQA/AACAAAAAAAA8L8CK6kT0ERYDsACbjSAt0CC1r8AAAAAIAAAAPwEAPwAAgAAAAAAAPC/Am3n+6nxUgVAAuQUHcnlP+w/AAAAABgAAAD8BAD8AAIAAAAAAADwvwIrqRPQRFgOQAAAAAAANAAECAgEBAAAAAAIBAAEBAAAAAAMBAAEAAAAAAQQBAAEBAAAAAQUBAAEAAAAAAgYCAwEBAAAAAwcBAAEAAAAABAgCAgEBAAAABQkBAAEAAAAABgoBAAAAAAAACgsBAAAAAAAABggBAAEBAAAABwkBAAEAAAAAAAAAQAAAAAAAAAAAAAAAAAAAAAAAAAAAA==</t>
        </r>
      </text>
    </comment>
    <comment ref="C43" authorId="0">
      <text>
        <r>
          <rPr>
            <sz val="9"/>
            <color indexed="81"/>
            <rFont val="Tahoma"/>
            <family val="2"/>
          </rPr>
          <t>Insight iXlW00003C0000043R0841462809S00000425P01108LAocjBAQBF1NjaVRlZ2ljLmRhdGEuTW9sZWN1bGUBbQF/ARJTY2lUZWdpYy5Nb2xlY3VsZQAAAQFkAv5qAQAAAAIAAjwcAAAA/AQA/AACAAAAAAAA8L8AAnyDL0ymCvK/AAAAABgAAAD8CAD8AAIAAAAAAADwvwK4rwPnjCjxvwIIzhlR2hvgvwAAAAAYAAAA/AgA/AACAAAAAAAA8L8CuK8D54wo8T8CCM4ZUdob4L8AAAAAGAAAAPwIAPwAAgAAAAAAAPC/AutztRX7SwHAAnyDL0ymCvK/AAAAABgAAAD8CAD8AAIAAAAAAADwvwK4rwPnjCjxvwIxCKwcWmTnPwAAAAAYAAAA/AgA/AACAAAAAAAA8L8CqaROQBNhAUACfIMvTKYK8r8AAAAAGAAAAPwIAPwAAgAAAAAAAPC/ArivA+eMKPE/AjEIrBxaZOc/AAAAABgAAAD8CAD8AAIAAAAAAADwvwLBOSNKewMKwAIIzhlR2hvgvwAAAAAYAAAA/AgA/AACAAAAAAAA8L8C63O1FftLAcAClIeFWtO89T8AAAAAGAAAAPwIAPwAAgAAAAAAAPC/AsE5I0p7AwpAAgjOGVHaG+C/AAAAABgAAAD8CAD8AAIAAAAAAADwvwKppE5AE2EBQAKUh4Va07z1PwAAAAAYAAAA/AgA/AACAAAAAAAA8L8CwTkjSnsDCsACMQisHFpk5z8AAAAAGAAAAPwEAPwAAgAAAAAAAPC/AqmkTkATYRHAAnyDL0ymCvK/AAAAABgAAAD8CAD8AAIAAAAAAADwvwLBOSNKewMKQAIxCKwcWmTnPwAAAAAYAAAA/AQA/AACAAAAAAAA8L8CqaROQBNhEUACfIMvTKYK8r8AAAAAARAABAQAAAAAAAAACAQAAAAAAAAEDAQABAQAAAAEEAgMBAQAAAAIFAgMBAQAAAAIGAQABAQAAAAMHAgIBAQAAAAQIAQABAQAAAAUJAQABAQAAAAYKAgIBAQAAAAcLAQABAQAAAAcMAQAAAAAAAAkNAgIBAQAAAAkOAQAAAAAAAAgLAgIBAQAAAAoNAQABAQAAAAAAAEAAAAAAAAAAAAAAAAAAAAAAAAAAAA=</t>
        </r>
      </text>
    </comment>
    <comment ref="C44" authorId="0">
      <text>
        <r>
          <rPr>
            <sz val="9"/>
            <color indexed="81"/>
            <rFont val="Tahoma"/>
            <family val="2"/>
          </rPr>
          <t>Insight iXlW00003C0000044R0841462809S00000426P00572LAocjBAQBF1NjaVRlZ2ljLmRhdGEuTW9sZWN1bGUBbQF/ARJTY2lUZWdpYy5Nb2xlY3VsZQAAAQFkAv5qAQAAAAIAAhwYAAAA/AQA/AACAAAAAAAA8L8CCM4ZUdob4L8Cr7Zif9k97b8AAAAAGAAAAPwIAPwAAgAAAAAAAPC/AmRd3EYDePy/AsuhRbbz/dC/AAAAABgAAAD8BAD8AAIAAAAAAADwvwKUh4Va07zlPwLjWBe30QC+vwAAAAAcAAAA/AgA/AACAAAAAAAA8L8CQs9m1efqB8ACxNMrZRni8L8AAAAAIAAAAPwIAPwAAgAAAAAAAPC/Ag0CK4cW2f2/AuXyH9JvX/I/AAAAABgAAAD8BAD8AAIAAAAAAADwvwIbL90kBoH/PwLP91PjpZvovwAAAAAYAAAA/AQA/AACAAAAAAAA8L8CqaROQBNhCUACDr4wmSoYhT8AAAAAGAAEBAAAAAAAAAAIBAAAAAAAAAQMBAAAAAAAAAQQCAAAAAAAAAgUBAAAAAAAABQYBAAAAAAAAAAAAQAAAAAAAAAAAAAAAAAAAAAAAAAAAA==</t>
        </r>
      </text>
    </comment>
    <comment ref="C45" authorId="0">
      <text>
        <r>
          <rPr>
            <sz val="9"/>
            <color indexed="81"/>
            <rFont val="Tahoma"/>
            <family val="2"/>
          </rPr>
          <t>Insight iXlW00003C0000045R0841462809S00000427P00712LAocjBAQBF1NjaVRlZ2ljLmRhdGEuTW9sZWN1bGUBbQF/ARJTY2lUZWdpYy5Nb2xlY3VsZQAAAQFkAv5qAQAAAAIAAiQYAAAA/AgA/AACAAAAAAAA8L8CvAUSFD/G0L8CumsJ+aBnoz8AAAAAGAAAAPwIAPwAAgAAAAAAAPC/AvOwUGuad9w/Atnw9EpZhvQ/AAAAABgAAAD8CAD8AAIAAAAAAADwvwLzsFBrmnfcPwK30QDeAgnzvwAAAAAYAAAA/AgA/AACAAAAAAAA8L8CNxrAWyBB+78CumsJ+aBnoz8AAAAAGAAAAPwIAPwAAgAAAAAAAPC/AnKKjuTyH/4/Atnw9EpZhvQ/AAAAABgAAAD8CAD8AAIAAAAAAADwvwJyio7k8h/+PwK30QDeAgnzvwAAAAAcAAAA/AgA/AACAAAAAAAA8L8C6Gor9pddA8ACt9EA3gIJ878AAAAAIAAAAPwIAPwAAgAAAAAAAPC/AuhqK/aXXQPAAtnw9EpZhvQ/AAAAABgAAAD8CAD8AAIAAAAAAADwvwJPQBNhw9MEQAK6awn5oGejPwAAAAAkAAQEAAQEAAAAAAgICAQEAAAAAAwEAAAAAAAABBAICAQEAAAACBQEAAQEAAAADBgEAAAAAAAADBwIAAAAAAAAECAEAAQEAAAAFCAICAQEAAAAAAABAAAAAAAAAAAAAAAAAAAAAAAAAAAA</t>
        </r>
      </text>
    </comment>
    <comment ref="C46" authorId="0">
      <text>
        <r>
          <rPr>
            <sz val="9"/>
            <color indexed="81"/>
            <rFont val="Tahoma"/>
            <family val="2"/>
          </rPr>
          <t>Insight iXlW00003C0000046R0841462809S00000428P00712LAocjBAQBF1NjaVRlZ2ljLmRhdGEuTW9sZWN1bGUBbQF/ARJTY2lUZWdpYy5Nb2xlY3VsZQAAAQFkAv5qAQAAAAIAAiQYAAAA/AQA/AACAAAAAAAA8L8CJCh+jLlr8z8CSnuDL0ym4j8AAAAAGAAAAPwIAPwAAgAAAAAAAPC/AmFUUiegifI/Ak5iEFg5tOq/AAAAACAAAAD8BAD8AAIAAAAAAADwvwJpAG+BBMW/vwIxKqkT0ETxPwAAAAAYAAAA/AQA/AACAAAAAAAA8L8C+n5qvHQTBUACi/1l9+Rh2T8AAAAAGAAAAPwEAPwAAgAAAAAAAPC/Ak9AE2HD0/g/AgwkKH6Muf8/AAAAABwAAAD8CAD8AAIAAAAAAADwvwKamZmZmZnJvwKOl24Sg8DzvwAAAAAgAAAA/AgA/AACAAAAAAAA8L8C5fIf0m9fAkACnaIjufyH+78AAAAAGAAAAPwIAPwAAgAAAAAAAPC/Anl6pSxDHPC/AtUJaCJseKq/AAAAACAAAAD8CAD8AAIAAAAAAADwvwJb07zjFJ0DwAIi/fZ14JyRvwAAAAAkAAQEAAQAAAAAAAgEAAQAAAAAAAwEAAAAAAAAABAEAAAAAAAABBQEAAQAAAAABBgIAAAAAAAACBwEAAQAAAAAHCAIAAAAAAAAFBwEAAQAAAAAAAABAAAAAAAAAAAAAAAAAAAAAAAAAAAA</t>
        </r>
      </text>
    </comment>
    <comment ref="C47" authorId="0">
      <text>
        <r>
          <rPr>
            <sz val="9"/>
            <color indexed="81"/>
            <rFont val="Tahoma"/>
            <family val="2"/>
          </rPr>
          <t>Insight iXlW00003C0000047R0841462809S00000429P00504LAocjBAQBF1NjaVRlZ2ljLmRhdGEuTW9sZWN1bGUBbQF/ARJTY2lUZWdpYy5Nb2xlY3VsZQAAAQFkAv5qAQAAAAIAAhgcAAAA/AgA/AACAAAAAAAA8L8CUdobfGEytT8CXynLEMe65j8AAAAAGAAAAPwIAPwAAgAAAAAAAPC/Agr5oGez6vO/AjLmriXkg8Y/AAAAABgAAAD8BAD8AAIAAAAAAADwvwIkKH6MuWvzPwIGo5I6AU3EvwAAAAAYAAAA/AQA/AACAAAAAAAA8L8CtaZ5xyk6978CjpduEoPA878AAAAAIAAAAPwIAPwAAgAAAAAAAPC/Av2H9NvXAQPAAkA1XrpJDPE/AAAAABgAAAD8BAD8AAIAAAAAAADwvwJkXdxGA3gEQAJBguLHmLvWPwAAAAAUAAQEAAAAAAAAAAgEAAAAAAAABAwEAAAAAAAABBAIAAAAAAAACBQEAAAAAAAAAAABAAAAAAAAAAAAAAAAAAAAAAAAAAAA</t>
        </r>
      </text>
    </comment>
    <comment ref="C48" authorId="0">
      <text>
        <r>
          <rPr>
            <sz val="9"/>
            <color indexed="81"/>
            <rFont val="Tahoma"/>
            <family val="2"/>
          </rPr>
          <t>Insight iXlW00003C0000048R0841462809S00000430P00584LAocjBAQBF1NjaVRlZ2ljLmRhdGEuTW9sZWN1bGUBbQF/ARJTY2lUZWdpYy5Nb2xlY3VsZQAAAQFkAv5qAQAAAAIAAhwYAAAA/AgA/AACAAAAAAAA8L8CLPaX3ZOH478Cf/s6cM6Isr8AAAAAGAAAAPwEAPwAAgAAAAAAAPC/AoxK6gQ0EbY/AjojSnuDL/W/AAAAABwAAAD8CAD8AAIAAAAAAADwvwKMSuoENBG2PwJdbcX+snvyPwAAAAAgAAAA/AgA/AACAAAAAAAA8L8CZF3cRgN4AMACf/s6cM6Isr8AAAAAGAAAAPwEAPwAAgAAAAAAAPC/Am1Wfa62Yvg/AjojSnuDL/W/AAAAABgAAAD8BAD8AAIAAAAAAADwvwJtVn2utmL4PwJdbcX+snvyPwAAAAAYAAAA/AQA/AACAAAAAAAA8L8CAwmKH2PuAUACf/s6cM6Isr8AAAAAHAAEBAAEAAAAAAAIBAAEAAAAAAAMCAAAAAAAAAQQBAAEAAAAAAgUBAAEAAAAABAYBAAEAAAAABQYBAAEAAAAAAAAAQAAAAAAAAAAAAAAAAAAAAAAAAAAAA==</t>
        </r>
      </text>
    </comment>
    <comment ref="C49" authorId="0">
      <text>
        <r>
          <rPr>
            <sz val="9"/>
            <color indexed="81"/>
            <rFont val="Tahoma"/>
            <family val="2"/>
          </rPr>
          <t>Insight iXlW00003C0000049R0841462809S00000431P00584LAocjBAQBF1NjaVRlZ2ljLmRhdGEuTW9sZWN1bGUBbQF/ARJTY2lUZWdpYy5Nb2xlY3VsZQAAAQFkAv5qAQAAAAIAAhwYAAAA/AQA/AACAAAAAAAA8L8CgnNGlPYG9D8CyXa+nxovxT8AAAAAHAAAAPwIAPwAAgAAAAAAAPC/AlHaG3xhMrU/AvXb14FzRvA/AAAAABgAAAD8BAD8AAIAAAAAAADwvwKamZmZmZnpPwI/V1uxv+zyvwAAAAAYAAAA/AQA/AACAAAAAAAA8L8CggTFjzH3BEACFR3J5T+k4z8AAAAAGAAAAPwIAPwAAgAAAAAAAPC/AjxO0ZFc/vC/Asl2vp8aL8U/AAAAABgAAAD8BAD8AAIAAAAAAADwvwIN4C2QoPjjvwI/V1uxv+zyvwAAAAAgAAAA/AgA/AACAAAAAAAA8L8C4lgXt9GAA8ACFR3J5T+k4z8AAAAAHAAEBAAEAAAAAAAIBAAEAAAAAAAMBAAAAAAAAAQQBAAEAAAAAAgUBAAEAAAAABAYCAAAAAAAABAUBAAEAAAAAAAAAQAAAAAAAAAAAAAAAAAAAAAAAAAAAA==</t>
        </r>
      </text>
    </comment>
    <comment ref="C50" authorId="0">
      <text>
        <r>
          <rPr>
            <sz val="9"/>
            <color indexed="81"/>
            <rFont val="Tahoma"/>
            <family val="2"/>
          </rPr>
          <t>Insight iXlW00003C0000050R0841462809S00000432P00780LAocjBAQBF1NjaVRlZ2ljLmRhdGEuTW9sZWN1bGUBbQF/ARJTY2lUZWdpYy5Nb2xlY3VsZQAAAQFkAv5qAQAAAAIAAigYAAAA/AgA/AACAAAAAAAA8L8CeXqlLEMc8L8C2IFzRpT2tr8AAAAAGAAAAPwIAPwAAgAAAAAAAPC/AiWX/5B++9I/ArKd76fGS+U/AAAAABgAAAD8CAD8AAIAAAAAAADwvwKjI7n8h3QCwAKrz9VW7C/lPwAAAAAYAAAA/AgA/AACAAAAAAAA8L8CeXqlLEMc8L8CIh/0bFZ9+b8AAAAAHAAAAPwIAPwAAgAAAAAAAPC/ApqZmZmZmfk/AoxK6gQ0Eba/AAAAACAAAAD8CAD8AAIAAAAAAADwvwIll/+QfvvSPwInMQisHFoBQAAAAAAYAAAA/AgA/AACAAAAAAAA8L8Ci/1l9+ThDMAC2IFzRpT2tr8AAAAAGAAAAPwIAPwAAgAAAAAAAPC/AqMjufyHdALAAlJJnYAmwgLAAAAAABgAAAD8BAD8AAIAAAAAAADwvwI0MzMzMzMHQAKyne+nxkvlPwAAAAAYAAAA/AgA/AACAAAAAAAA8L8Ci/1l9+ThDMACIh/0bFZ9+b8AAAAAKAAEBAAAAAAAAAAIBAAEBAAAAAAMCAwEBAAAAAQQBAAAAAAAAAQUCAAAAAAAAAgYCAgEBAAAAAwcBAAEBAAAABAgBAAAAAAAABgkBAAEBAAAABwkCAgEBAAAAAAAAQAAAAAAAAAAAAAAAAAAAAAAAAAAAA==</t>
        </r>
      </text>
    </comment>
    <comment ref="C51" authorId="0">
      <text>
        <r>
          <rPr>
            <sz val="9"/>
            <color indexed="81"/>
            <rFont val="Tahoma"/>
            <family val="2"/>
          </rPr>
          <t>Insight iXlW00003C0000051R0841462809S00000433P00768LAocjBAQBF1NjaVRlZ2ljLmRhdGEuTW9sZWN1bGUBbQF/ARJTY2lUZWdpYy5Nb2xlY3VsZQAAAQFkAv5qAQAAAAIAAigYAAAA/AgA/AACAAAAAAAA8L8C/tR46SYx5D8CmG4Sg8DK3b8AAAAAGAAAAPwIAPwAAgAAAAAAAPC/ArCUZYhjXfs/AmpN845TdPa/AAAAABgAAAD8CAD8AAIAAAAAAADwvwLc14FzRpTsPwKYbhKDwMrtPwAAAAAcAAAA/AgA/AACAAAAAAAA8L8COUVHcvkP578CmG4Sg8DK7b8AAAAAGAAAAPwIAPwAAgAAAAAAAPC/ApchjnVxmwhAAphuEoPAyu2/AAAAABgAAAD8CAD8AAIAAAAAAADwvwLBOSNKewMCQAJqTfOOU3T2PwAAAAAYAAAA/AgA/AACAAAAAAAA8L8CSS7/If32/L8AAAAAABgAAAD8CAD8AAIAAAAAAADwvwJSSZ2AJsIKQAKYbhKDwMrdPwAAAAAYAAAA/AQA/AACAAAAAAAA8L8C5tAi2/l++L8Cak3zjlN09j8AAAAAIAAAAPwIAPwAAgAAAAAAAPC/AjEqqRPQRAnAAphuEoPAyt2/AAAAACgABAgIBAQAAAAACAQABAQAAAAADAQAAAAAAAAEEAQABAQAAAAIFAgIBAQAAAAMGAQAAAAAAAAQHAgIBAQAAAAYIAQAAAAAAAAYJAgAAAAAAAAUHAQABAQAAAAAAAEAAAAAAAAAAAAAAAAAAAAAAAAAAAA=</t>
        </r>
      </text>
    </comment>
    <comment ref="C52" authorId="0">
      <text>
        <r>
          <rPr>
            <sz val="9"/>
            <color indexed="81"/>
            <rFont val="Tahoma"/>
            <family val="2"/>
          </rPr>
          <t>Insight iXlW00003C0000052R0841462809S00000434P00856LAocjBAQBF1NjaVRlZ2ljLmRhdGEuTW9sZWN1bGUBbQF/ARJTY2lUZWdpYy5Nb2xlY3VsZQAAAQFkAv5qAQAAAAIAAiwYAAAA/AgA/AACAAAAAAAA8L8CjblrCfmg5b8CYVRSJ6CJ4r8AAAAAGAAAAPwIAPwAAgAAAAAAAPC/Ao25awn5oOW/Aj9XW7G/7Oo/AAAAABwAAAD8CAD8AAIAAAAAAADwvwJwXwfOGVHiPwJRa5p3nKL0vwAAAAAYAAAA/AgA/AACAAAAAAAA8L8C1LzjFB3J/r8CUWuad5yi9L8AAAAAGAAAAPwEAPwAAgAAAAAAAPC/AnBfB84ZUeI/Ak9AE2HD0/g/AAAAABgAAAD8CAD8AAIAAAAAAADwvwLUvOMUHcn+vwJPQBNhw9P4PwAAAAAYAAAA/AgA/AACAAAAAAAA8L8CNjy9UpYh/T8CYVRSJ6CJ4r8AAAAAGAAAAPwIAPwAAgAAAAAAAPC/AqmkTkATYQnAAmFUUiegieK/AAAAABgAAAD8BAD8AAIAAAAAAADwvwI2PL1SliH9PwI/V1uxv+zqPwAAAAAYAAAA/AgA/AACAAAAAAAA8L8CqaROQBNhCcACP1dbsb/s6j8AAAAAIAAAAPwIAPwAAgAAAAAAAPC/AlpkO99PjQhAAlFrmnecovS/AAAAADAABAgIBAQAAAAACAQABAAAAAAADAQABAQAAAAEEAQABAAAAAAEFAQABAQAAAAIGAQABAAAAAAMHAgIBAQAAAAQIAQABAAAAAAUJAgIBAQAAAAYKAgAAAAAAAAYIAQABAAAAAAcJAQABAQAAAAAAAEAAAAAAAAAAAAAAAAAAAAAAAAAAAA=</t>
        </r>
      </text>
    </comment>
    <comment ref="C53" authorId="0">
      <text>
        <r>
          <rPr>
            <sz val="9"/>
            <color indexed="81"/>
            <rFont val="Tahoma"/>
            <family val="2"/>
          </rPr>
          <t>Insight iXlW00003C0000053R0841462809S00000435P00844LAocjBAQBF1NjaVRlZ2ljLmRhdGEuTW9sZWN1bGUBbQF/ARJTY2lUZWdpYy5Nb2xlY3VsZQAAAQFkAv5qAQAAAAIAAiwYAAAA/AgA/AACAAAAAAAA8L8CfIMvTKYK6j8CHeviNhrA4z8AAAAAGAAAAPwEAPwAAgAAAAAAAPC/Am1Wfa62Yvg/AmFUUiegieK/AAAAABgAAAD8CAD8AAIAAAAAAADwvwLXxW00gLf4PwInMQisHFr9PwAAAAAYAAAA/AgA/AACAAAAAAAA8L8CQz7o2az64r8CHeviNhrA4z8AAAAAHAAAAPwIAPwAAgAAAAAAAPC/AqmkTkATYek/AicxCKwcWv2/AAAAABgAAAD8CAD8AAIAAAAAAADwvwJ8gy9MpgrqPwJGR3L5D+kIQAAAAAAYAAAA/AgA/AACAAAAAAAA8L8COiNKe4Mv9b8CJzEIrBxa/T8AAAAAGAAAAPwIAPwAAgAAAAAAAPC/AkM+6Nms+uK/AicxCKwcWv2/AAAAABgAAAD8CAD8AAIAAAAAAADwvwIs9pfdk4fjvwJGR3L5D+kIQAAAAAAYAAAA/AQA/AACAAAAAAAA8L8CRkdy+Q/p9L8CRkdy+Q/pCMAAAAAAIAAAAPwIAPwAAgAAAAAAAPC/Agkbnl4py/W/AixlGeJYF+O/AAAAACwABAQAAAAAAAAACAgMBAQAAAAADAQABAQAAAAEEAQAAAAAAAAIFAQABAQAAAAMGAgIBAQAAAAQHAQAAAAAAAAUIAgIBAQAAAAcJAQAAAAAAAAcKAgAAAAAAAAYIAQABAQAAAAAAAEAAAAAAAAAAAAAAAAAAAAAAAAAAAA=</t>
        </r>
      </text>
    </comment>
    <comment ref="C54" authorId="0">
      <text>
        <r>
          <rPr>
            <sz val="9"/>
            <color indexed="81"/>
            <rFont val="Tahoma"/>
            <family val="2"/>
          </rPr>
          <t>Insight iXlW00003C0000054R0841462809S00000436P00516LAocjBAQBF1NjaVRlZ2ljLmRhdGEuTW9sZWN1bGUBbQF/ARJTY2lUZWdpYy5Nb2xlY3VsZQAAAQFkAv5qAQAAAAIAAhgYAAAA/AgA/AACAAAAAAAA8L8CQ61p3nGK0r8Cf/s6cM6Isr8AAAAAGAAAAPwEAPwAAgAAAAAAAPC/AryWkA96NuE/AgYSFD/G3PO/AAAAABwAAAD8CAD8AAIAAAAAAADwvwK8lpAPejbhPwK4rwPnjCjxPwAAAAAgAAAA/AgA/AACAAAAAAAA8L8CFR3J5T+k+78Cf/s6cM6Isr8AAAAAGAAAAPwEAPwAAgAAAAAAAPC/AuPHmLuWkP4/AqmkTkATYem/AAAAABgAAAD8BAD8AAIAAAAAAADwvwLjx5i7lpD+PwIN4C2QoPjjPwAAAAAYAAQEAAQAAAAAAAgEAAQAAAAAAAwIAAAAAAAABBAEAAQAAAAACBQEAAQAAAAAEBQEAAQAAAAAAAABAAAAAAAAAAAAAAAAAAAAAAAAAAAA</t>
        </r>
      </text>
    </comment>
    <comment ref="C55" authorId="0">
      <text>
        <r>
          <rPr>
            <sz val="9"/>
            <color indexed="81"/>
            <rFont val="Tahoma"/>
            <family val="2"/>
          </rPr>
          <t>Insight iXlW00003C0000055R0841462809S00000437P00976LAocjBAQBF1NjaVRlZ2ljLmRhdGEuTW9sZWN1bGUBbQF/ARJTY2lUZWdpYy5Nb2xlY3VsZQAAAQFkAv5qAQAAAAIAAjQYAAAA/AgA/AACAAAAAAAA8L8CUkmdgCbC8j8CXynLEMe6qL8AAAAAGAAAAPwIAPwAAgAAAAAAAPC/ApqZmZmZmbm/AqOSOgFNhOW/AAAAABgAAAD8CAD8AAIAAAAAAADwvwLKw0Ktad4CQAICK4cW2c7rvwAAAAAYAAAA/AgA/AACAAAAAAAA8L8C2fD0SlmG9D8CHA3gLZCg9T8AAAAAHAAAAPwIAPwAAgAAAAAAAPC/Atnw9EpZhvS/AmkAb4EExb8/AAAAACAAAAD8CAD8AAIAAAAAAADwvwLkFB3J5T/MvwKL/WX35OEAwAAAAAAYAAAA/AgA/AACAAAAAAAA8L8C63O1FftLDUAC2xt8YTJV0L8AAAAAGAAAAPwIAPwAAgAAAAAAAPC/Ag+cM6K0twRAApOpglFJnf8/AAAAABgAAAD8BAD8AAIAAAAAAADwvwIPnDOitLcEwAJbQj7o2azevwAAAAAYAAAA/AQA/AACAAAAAAAA8L8CUkmdgCbC8r8Cx7q4jQbw+D8AAAAAGAAAAPwIAPwAAgAAAAAAAPC/AnZxGw3gLQ5AAmFUUiegifI/AAAAABgAAAD8BAD8AAIAAAAAAADwvwJ2cRsN4C0OwALZ8PRKWYbUPwAAAAAYAAAA/AQA/AACAAAAAAAA8L8CysNCrWneAsACQz7o2az6AkAAAAAANAAEBAAAAAAAAAAICAwEBAAAAAAMBAAEBAAAAAQQBAAAAAAAAAQUCAAAAAAAAAgYBAAEBAAAAAwcCAgEBAAAABAgBAAAAAAAABAkBAAAAAAAABgoCAgEBAAAACAsBAAAAAAAACQwBAAAAAAAABwoBAAEBAAAAAAAAQAAAAAAAAAAAAAAAAAAAAAAAAAAAA==</t>
        </r>
      </text>
    </comment>
    <comment ref="C56" authorId="0">
      <text>
        <r>
          <rPr>
            <sz val="9"/>
            <color indexed="81"/>
            <rFont val="Tahoma"/>
            <family val="2"/>
          </rPr>
          <t>Insight iXlW00003C0000056R0841462809S00000438P00844LAocjBAQBF1NjaVRlZ2ljLmRhdGEuTW9sZWN1bGUBbQF/ARJTY2lUZWdpYy5Nb2xlY3VsZQAAAQFkAv5qAQAAAAIAAiwYAAAA/AgA/AACAAAAAAAA8L8CJzEIrBxa9b8Cf/s6cM6Isr8AAAAAGAAAAPwIAPwAAgAAAAAAAPC/AiL99nXgnOe/AnZxGw3gLfa/AAAAABgAAAD8CAD8AAIAAAAAAADwvwLyY8xdS8jfvwKlvcEXJlPxPwAAAAAYAAAA/AgA/AACAAAAAAAA8L8C9P3UeOkmBsACx7q4jQbwpj8AAAAAGAAAAPwIAPwAAgAAAAAAAPC/ApSHhVrTvOU/AuLplbIMcfi/AAAAABgAAAD8CAD8AAIAAAAAAADwvwKgq63YX3btPwKJY13cRgPuPwAAAAAcAAAA/AgA/AACAAAAAAAA8L8CCYofY+7aDMACEhQ/xty18b8AAAAAIAAAAPwIAPwAAgAAAAAAAPC/AgeBlUOL7ArAAgkbnl4py/U/AAAAABgAAAD8CAD8AAIAAAAAAADwvwJ5eqUsQxz4PwJuNIC3QILWvwAAAAAgAAAA/AQA/AACAAAAAAAA8L8CnaIjufyHB0ACHxZqTfOO378AAAAAGAAAAPwEAPwAAgAAAAAAAPC/AiupE9BEWA5AAsKopE5AE+U/AAAAACwABAgIBAQAAAAACAQABAQAAAAADAQAAAAAAAAEEAQABAQAAAAIFAgIBAQAAAAMGAQAAAAAAAAMHAgAAAAAAAAQIAgMBAQAAAAgJAQAAAAAAAAkKAQAAAAAAAAUIAQABAQAAAAAAAEAAAAAAAAAAAAAAAAAAAAAAAAAAAA=</t>
        </r>
      </text>
    </comment>
    <comment ref="C57" authorId="0">
      <text>
        <r>
          <rPr>
            <sz val="9"/>
            <color indexed="81"/>
            <rFont val="Tahoma"/>
            <family val="2"/>
          </rPr>
          <t>Insight iXlW00003C0000057R0841462809S00000439P01252LAocjBAQBF1NjaVRlZ2ljLmRhdGEuTW9sZWN1bGUBbQF/ARJTY2lUZWdpYy5Nb2xlY3VsZQAAAQFkAv5qAQAAAAIAAgERGAAAAPwIAPwAAgAAAAAAAPC/AqW9wRcmU/E/Atnw9EpZhtS/AAAAABwAAAD8CAD8AAIAAAAAAADwvwJgB84ZUdprPwKBlUOLbOftvwAAAAAYAAAA/AgA/AACAAAAAAAA8L8Cpb3BFyZT8T8CgZVDi2zn7T8AAAAAGAAAAPwIAPwAAgAAAAAAAPC/AvRsVn2uNgFAAnKKjuTyH+6/AAAAABgAAAD8CAD8AAIAAAAAAADwvwKlvcEXJlPxvwJCz2bV52rTvwAAAAAYAAAA/AgA/AACAAAAAAAA8L8C5WGh1jRvAUACQDVeukkM+T8AAAAAGAAAAPwIAPwAAgAAAAAAAPC/Ajq0yHa+HwpAAtnw9EpZhtS/AAAAABgAAAD8CAD8AAIAAAAAAADwvwLlYaHWNG8BwAJyio7k8h/uvwAAAAAgAAAA/AgA/AACAAAAAAAA8L8Cpb3BFyZT8b8CcoqO5PIf7j8AAAAAGAAAAPwIAPwAAgAAAAAAAPC/Ajq0yHa+HwpAAnKKjuTyH+4/AAAAABgAAAD8CAD8AAIAAAAAAADwvwLlYaHWNG8BwAIYJlMFo5IBwAAAAAAYAAAA/AgA/AACAAAAAAAA8L8C/fZ14JwRCsAC2fD0SlmG1L8AAAAAGAAAAPwEAPwAAgAAAAAAAPC/AqmkTkATYRFAArivA+eMKPk/AAAAABgAAAD8CAD8AAIAAAAAAADwvwL99nXgnBEKwAIbnl4py5AGwAAAAAAYAAAA/AgA/AACAAAAAAAA8L8CqaROQBNhEcACcoqO5PIf7r8AAAAAGAAAAPwEAPwAAgAAAAAAAPC/AqmkTkATYRFAAhueXinLkAZAAAAAABgAAAD8CAD8AAIAAAAAAADwvwKppE5AE2ERwAIYJlMFo5IBwAAAAAABEgAEBAAAAAAAAAAICAwEBAAAAAAMBAAEBAAAAAQQBAAAAAAAAAgUBAAEBAAAAAwYCAgEBAAAABAcBAAAAAAAABAgCAAAAAAAABQkCAwEBAAAABwoCAwEBAAAABwsBAAEBAAAACQwBAAAAAAAACg0BAAEBAAAACw4CAgEBAAAADA8BAAAAAAAADQBEAgIBAQAAAAYJAQABAQAAAA4ARAEAAQEAAAAAAABAAAAAAAAAAAAAAAAAAAAAAAAAAAA</t>
        </r>
      </text>
    </comment>
    <comment ref="C58" authorId="0">
      <text>
        <r>
          <rPr>
            <sz val="9"/>
            <color indexed="81"/>
            <rFont val="Tahoma"/>
            <family val="2"/>
          </rPr>
          <t>Insight iXlW00003C0000058R0841462809S00000440P00584LAocjBAQBF1NjaVRlZ2ljLmRhdGEuTW9sZWN1bGUBbQF/ARJTY2lUZWdpYy5Nb2xlY3VsZQAAAQFkAv5qAQAAAAIAAhwYAAAA/AgA/AACAAAAAAAA8L8CjnVxGw3g8b8CLpCg+DHmvr8AAAAAHAAAAPwIAPwAAgAAAAAAAPC/AkSLbOf7qaE/AjZeukkMAu+/AAAAABgAAAD8BAD8AAIAAAAAAADwvwKjkjoBTYTlvwIZBFYOLbLzPwAAAAAgAAAA/AgA/AACAAAAAAAA8L8CQs9m1efqA8ACf2q8dJMY4r8AAAAAGAAAAPwIAPwAAgAAAAAAAPC/AjBMpgpGJfM/Ai6QoPgx5r6/AAAAABgAAAD8BAD8AAIAAAAAAADwvwIE54wo7Q3oPwIZBFYOLbLzPwAAAAAgAAAA/AgA/AACAAAAAAAA8L8C3NeBc0aUBEACf2q8dJMY4r8AAAAAHAAEBAAEAAAAAAAIBAAEAAAAAAAMCAAAAAAAAAQQBAAEAAAAAAgUBAAEAAAAABAYCAAAAAAAABAUBAAEAAAAAAAAAQAAAAAAAAAAAAAAAAAAAAAAAAAAAA==</t>
        </r>
      </text>
    </comment>
    <comment ref="C59" authorId="0">
      <text>
        <r>
          <rPr>
            <sz val="9"/>
            <color indexed="81"/>
            <rFont val="Tahoma"/>
            <family val="2"/>
          </rPr>
          <t>Insight iXlW00003C0000059R0841462809S00000441P01108LAocjBAQBF1NjaVRlZ2ljLmRhdGEuTW9sZWN1bGUBbQF/ARJTY2lUZWdpYy5Nb2xlY3VsZQAAAQFkAv5qAQAAAAIAAjwYAAAA/AgA/AACAAAAAAAA8L8Cbef7qfFSAcACCM4ZUdob4L8AAAAAGAAAAPwIAPwAAgAAAAAAAPC/Ai1DHOviNvG/An9qvHSTGPK/AAAAABgAAAD8CAD8AAIAAAAAAADwvwJ8gy9MpgoKwAJ/arx0kxjyvwAAAAAYAAAA/AgA/AACAAAAAAAA8L8Cbef7qfFSAcACMQisHFpk5z8AAAAAHAAAAPwIAPwAAgAAAAAAAPC/AAIIzhlR2hvgvwAAAAAYAAAA/AgA/AACAAAAAAAA8L8CqaROQBNhEcACCM4ZUdob4L8AAAAAGAAAAPwIAPwAAgAAAAAAAPC/AnyDL0ymCgrAApSHhVrTvPU/AAAAABwAAAD8BAD8AAIAAAAAAADwvwItQxzr4jbxPwJ/arx0kxjyvwAAAAAYAAAA/AgA/AACAAAAAAAA8L8CqaROQBNhEcACMQisHFpk5z8AAAAAGAAAAPwIAPwAAgAAAAAAAPC/Am3n+6nxUgFAAgjOGVHaG+C/AAAAABgAAAD8CAD8AAIAAAAAAADwvwJ8gy9MpgoKQAJ/arx0kxjyvwAAAAAYAAAA/AgA/AACAAAAAAAA8L8Cbef7qfFSAUACMQisHFpk5z8AAAAAGAAAAPwIAPwAAgAAAAAAAPC/AqmkTkATYRFAAgjOGVHaG+C/AAAAABgAAAD8CAD8AAIAAAAAAADwvwJ8gy9MpgoKQAKUh4Va07z1PwAAAAAYAAAA/AgA/AACAAAAAAAA8L8CqaROQBNhEUACMQisHFpk5z8AAAAAARAABAQAAAAAAAAACAQABAQAAAAADAgMBAQAAAAEEAgMAAAAAAAIFAgIBAQAAAAMGAQABAQAAAAQHAQAAAAAAAAUIAQABAQAAAAcJAQAAAAAAAAkKAgMBAQAAAAkLAQABAQAAAAoMAQABAQAAAAsNAgIBAQAAAAwOAgIBAQAAAAYIAgIBAQAAAA0OAQABAQAAAAAAAEAAAAAAAAAAAAAAAAAAAAAAAAAAAA=</t>
        </r>
      </text>
    </comment>
    <comment ref="C60" authorId="0">
      <text>
        <r>
          <rPr>
            <sz val="9"/>
            <color indexed="81"/>
            <rFont val="Tahoma"/>
            <family val="2"/>
          </rPr>
          <t>Insight iXlW00003C0000060R0841462809S00000442P00712LAocjBAQBF1NjaVRlZ2ljLmRhdGEuTW9sZWN1bGUBbQF/ARJTY2lUZWdpYy5Nb2xlY3VsZQAAAQFkAv5qAQAAAAIAAiQYAAAA/AgA/AACAAAAAAAA8L8CSnuDL0ym4j8CnMQgsHJo1T8AAAAAGAAAAPwIAPwAAgAAAAAAAPC/ArivA+eMKPk/AoV80LNZ9fU/AAAAABgAAAD8CAD8AAIAAAAAAADwvwIfFmpN847vPwJaZDvfT43wvwAAAAAYAAAA/AgA/AACAAAAAAAA8L8Ci47k8h/S6b8CnMQgsHJo5T8AAAAAGAAAAPwIAPwAAgAAAAAAAPC/AtNNYhBYuQdAAlpkO99PjfA/AAAAABgAAAD8CAD8AAIAAAAAAADwvwI5RUdy+Q8DQAKFfNCzWfX1vwAAAAAcAAAA/AgA/AACAAAAAAAA8L8CyuU/pN++/L8CUB4Wak3z1r8AAAAAGAAAAPwIAPwAAgAAAAAAAPC/AkM+6Nms+gpAApzEILByaNW/AAAAACAAAAD8BAD8AAIAAAAAAADwvwLcaABvgYQJwAI9m1Wfq62YvwAAAAAkAAQICAQEAAAAAAgEAAQEAAAAAAwEAAAAAAAABBAEAAQEAAAACBQICAQEAAAADBgIDAAAAAAAEBwICAQEAAAAGCAEAAAAAAAAFBwEAAQEAAAAAAABAAAAAAAAAAAAAAAAAAAAAAAAAAAA</t>
        </r>
      </text>
    </comment>
    <comment ref="C61" authorId="0">
      <text>
        <r>
          <rPr>
            <sz val="9"/>
            <color indexed="81"/>
            <rFont val="Tahoma"/>
            <family val="2"/>
          </rPr>
          <t>Insight iXlW00003C0000061R0841462809S00000443P00768LAocjBAQBF1NjaVRlZ2ljLmRhdGEuTW9sZWN1bGUBbQF/ARJTY2lUZWdpYy5Nb2xlY3VsZQAAAQFkAv5qAQAAAAIAAigYAAAA/AgA/AACAAAAAAAA8L8CxNMrZRni4D8AAAAAABgAAAD8CAD8AAIAAAAAAADwvwLVCWgibHjsvwIT8kHPZtXHPwAAAAAYAAAA/AgA/AACAAAAAAAA8L8Cak3zjlN09j8Cf2q8dJMY8j8AAAAAGAAAAPwIAPwAAgAAAAAAAPC/ArivA+eMKPE/AjY8vVKWIfW/AAAAABwAAAD8CAD8AAIAAAAAAADwvwJzaJHtfD/8vwJyio7k8h/uvwAAAAAYAAAA/AQA/AACAAAAAAAA8L8CwcqhRbbz9r8C8fRKWYY4+D8AAAAAGAAAAPwIAPwAAgAAAAAAAPC/Ap0Rpb3BlwZAAnKKjuTyH+4/AAAAABgAAAD8CAD8AAIAAAAAAADwvwLEQq1p3vEDQALx9EpZhjj4vwAAAAAgAAAA/AQA/AACAAAAAAAA8L8CIh/0bFZ9CcACBOeMKO0N6L8AAAAAGAAAAPwIAPwAAgAAAAAAAPC/AsHKoUW28wpAAvXb14FzRti/AAAAACgABAQAAAAAAAAACAgMBAQAAAAADAQABAQAAAAEEAgMAAAAAAAEFAQAAAAAAAAIGAQABAQAAAAMHAgIBAQAAAAQIAQAAAAAAAAYJAgIBAQAAAAcJAQABAQAAAAAAAEAAAAAAAAAAAAAAAAAAAAAAAAAAAA=</t>
        </r>
      </text>
    </comment>
    <comment ref="C62" authorId="0">
      <text>
        <r>
          <rPr>
            <sz val="9"/>
            <color indexed="81"/>
            <rFont val="Tahoma"/>
            <family val="2"/>
          </rPr>
          <t>Insight iXlW00003C0000062R0841462809S00000444P00780LAocjBAQBF1NjaVRlZ2ljLmRhdGEuTW9sZWN1bGUBbQF/ARJTY2lUZWdpYy5Nb2xlY3VsZQAAAQFkAv5qAQAAAAIAAigYAAAA/AgA/AACAAAAAAAA8L8C097gC5Op4D8C2xt8YTJVwD8AAAAAGAAAAPwIAPwAAgAAAAAAAPC/AuviNhrAW+y/AtUJaCJseKq/AAAAABgAAAD8CAD8AAIAAAAAAADwvwK0yHa+nxrxPwIuIR/0bFb3PwAAAAAYAAAA/AgA/AACAAAAAAAA8L8CY3/ZPXlY9j8CCD2bVZ+r778AAAAAHAAAAPwIAPwAAgAAAAAAAPC/Am+BBMWPMfy/Ai1DHOviNvE/AAAAABwAAAD8BAD8AAIAAAAAAADwvwLFsS5uowH3vwJyio7k8h/2vwAAAAAYAAAA/AgA/AACAAAAAAAA8L8Cfoy5awn5A0ACcF8HzhlR+j8AAAAAGAAAAPwIAPwAAgAAAAAAAPC/AhueXinLkAZAAqFns+pztem/AAAAACAAAAD8BAD8AAIAAAAAAADwvwLcaABvgYQJwALkFB3J5T/sPwAAAAAYAAAA/AgA/AACAAAAAAAA8L8C/Yf029cBC0AC+MJkqmBU4D8AAAAAKAAEBAAAAAAAAAAIBAAEBAAAAAAMCAwEBAAAAAQQCAwAAAAAAAQUBAAAAAAAAAgYCAgEBAAAAAwcBAAEBAAAABAgBAAAAAAAABgkBAAEBAAAABwkCAgEBAAAAAAAAQAAAAAAAAAAAAAAAAAAAAAAAAAAAA==</t>
        </r>
      </text>
    </comment>
    <comment ref="C63" authorId="0">
      <text>
        <r>
          <rPr>
            <sz val="9"/>
            <color indexed="81"/>
            <rFont val="Tahoma"/>
            <family val="2"/>
          </rPr>
          <t>Insight iXlW00003C0000063R0841462809S00000445P00616LAocjBAQBF1NjaVRlZ2ljLmRhdGEuTW9sZWN1bGUBbQF/ARJTY2lUZWdpYy5Nb2xlY3VsZQAAAQFkAv5qAQAAAAIAAiAYAAAA/AgA/AACAAAAAAAA8L8AArivA+eMKNk/AAAAABwAAAD8CAD8AAIAAAAAAADwvwIZBFYOLbLzvwKLjuTyH9LxPwAAAAAgAAAA/AQA/AACAAAAAAAA8L8CGQRWDi2y8z8Ci47k8h/S8T8AAAAAIAAAAPwIAPwAAgAAAAAAAPC/AAJpb/CFyVTwvwAAAAAYAAAA/AQA/AACAAAAAAAA8L8CBhIUP8bcA8ACuK8D54wo2T8AAAAAGAAAAPwEAPwAAgAAAAAAAPC/Ag8LtaZ5xwNAArivA+eMKNk/AAAAABgAAAD8BAD8AAIAAAAAAADwvwLQRNjw9MoNwAKLjuTyH9LxPwAAAAAYAAAA/AQA/AACAAAAAAAA8L8C0ETY8PTKDUACi47k8h/S8T8AAAAAHAAEBAAAAAAAAAAIBAAAAAAAAAAMCAAAAAAAAAQQBAAAAAAAAAgUBAAAAAAAABAYBAAAAAAAABQcBAAAAAAAAAAAAQAAAAAAAAAAAAAAAAAAAAAAAAAAAA==</t>
        </r>
      </text>
    </comment>
    <comment ref="C64" authorId="0">
      <text>
        <r>
          <rPr>
            <sz val="9"/>
            <color indexed="81"/>
            <rFont val="Tahoma"/>
            <family val="2"/>
          </rPr>
          <t>Insight iXlW00003C0000064R0841462809S00000446P00908LAocjBAQBF1NjaVRlZ2ljLmRhdGEuTW9sZWN1bGUBbQF/ARJTY2lUZWdpYy5Nb2xlY3VsZQAAAQFkAv5qAQAAAAIAAjAcAAAA/AgA/AACAAAAAAAA8L8CJzEIrBxa9T8CYcPTK2UZwj8AAAAAGAAAAPwIAPwAAgAAAAAAAPC/AlHaG3xhMqW/AuhqK/aX3cO/AAAAABgAAAD8CAD8AAIAAAAAAADwvwLu68A5I0r+PwKjtDf4wmT3PwAAAAAYAAAA/AgA/AACAAAAAAAA8L8CLiEf9GxWA0ACwOyePCzU6L8AAAAAIAAAAPwEAPwAAgAAAAAAAPC/Al5LyAc9m/C/AgIrhxbZzus/AAAAACAAAAD8CAD8AAIAAAAAAADwvwJrvHSTGATevwLXxW00gLf4vwAAAAAYAAAA/AgA/AACAAAAAAAA8L8ClBgEVg6tCkACoKut2F929T8AAAAAHAAAAPwIAPwAAgAAAAAAAPC/AutztRX7Sw1AAse6uI0G8Ka/AAAAABgAAAD8BAD8AAIAAAAAAADwvwJh5dAi23kDwALLoUW28/3gPwAAAAAYAAAA/AQA/AACAAAAAAAA8L8Cx7q4jQbwCMACRkdy+Q/p/D8AAAAAGAAAAPwEAPwAAgAAAAAAAPC/ArhAguLHGA7AAlg5tMh2vp+/AAAAABgAAAD8BAD8AAIAAAAAAADwvwKEns2qz9X/vwKLjuTyH9LpvwAAAAAwAAQEAAAAAAAAAAgEAAQEAAAAAAwEAAQEAAAABBAEAAAAAAAABBQIAAAAAAAACBgICAQEAAAADBwICAQEAAAAECAEAAAAAAAAICQEAAAAAAAAICgEAAAAAAAAICwEAAAAAAAAGBwEAAQEAAAAAAABAAAAAAAAAAAAAAAAAAAAAAAAAAAA</t>
        </r>
      </text>
    </comment>
    <comment ref="C65" authorId="0">
      <text>
        <r>
          <rPr>
            <sz val="9"/>
            <color indexed="81"/>
            <rFont val="Tahoma"/>
            <family val="2"/>
          </rPr>
          <t>Insight iXlW00003C0000065R0841462809S00000447P00908LAocjBAQBF1NjaVRlZ2ljLmRhdGEuTW9sZWN1bGUBbQF/ARJTY2lUZWdpYy5Nb2xlY3VsZQAAAQFkAv5qAQAAAAIAAjAcAAAA/AgA/AACAAAAAAAA8L8CB/AWSFD88b8CXLG/7J48vD8AAAAAGAAAAPwIAPwAAgAAAAAAAPC/AgfwFkhQ/PG/ApSHhVrTvPW/AAAAABgAAAD8BAD8AAIAAAAAAADwvwJ2cRsN4C0CwAKBlUOLbOftPwAAAAAYAAAA/AQA/AACAAAAAAAA8L8CUdobfGEypT8C+THmriXk7z8AAAAAIAAAAPwEAPwAAgAAAAAAAPC/Ai6QoPgx5r4/AtPe4AuTqQDAAAAAACAAAAD8CAD8AAIAAAAAAADwvwL3deCcESUDwALT3uALk6kAwAAAAAAYAAAA/AQA/AACAAAAAAAA8L8CgZVDi2zn/b8CUkmdgCbCAkAAAAAAGAAAAPwEAPwAAgAAAAAAAPC/Aj9XW7G/7Nq/AlJJnYAmwgJAAAAAABgAAAD8BAD8AAIAAAAAAADwvwIYJlMFo5L1PwKUh4Va07z1vwAAAAAYAAAA/AQA/AACAAAAAAAA8L8Ci47k8h/S6T8C2IFzRpT2tr8AAAAAGAAAAPwEAPwAAgAAAAAAAPC/ApchjnVxmwRAAh6n6EgufwDAAAAAABgAAAD8BAD8AAIAAAAAAADwvwLi6ZWyDHEAQAKMSuoENBHGvwAAAAAwAAQEAAAAAAAAAAgEAAQAAAAAAAwEAAQAAAAABBAEAAAAAAAABBQIAAAAAAAACBgEAAQAAAAADBwEAAQAAAAAECAEAAAAAAAAICQEAAAAAAAAICgEAAAAAAAAICwEAAAAAAAAGBwEAAQAAAAAAAABAAAAAAAAAAAAAAAAAAAAAAAAAAAA</t>
        </r>
      </text>
    </comment>
    <comment ref="C66" authorId="0">
      <text>
        <r>
          <rPr>
            <sz val="9"/>
            <color indexed="81"/>
            <rFont val="Tahoma"/>
            <family val="2"/>
          </rPr>
          <t>Insight iXlW00003C0000066R0841462809S00000448P00908LAocjBAQBF1NjaVRlZ2ljLmRhdGEuTW9sZWN1bGUBbQF/ARJTY2lUZWdpYy5Nb2xlY3VsZQAAAQFkAv5qAQAAAAIAAjAYAAAA/AgA/AACAAAAAAAA8L8CnaIjufyH+z8C4umVsgxx4L8AAAAAHAAAAPwIAPwAAgAAAAAAAPC/AmwJ+aBns9o/AgTnjCjtDfC/AAAAABgAAAD8CAD8AAIAAAAAAADwvwJnZmZmZmYGQAJYW7G/7J72vwAAAAAYAAAA/AgA/AACAAAAAAAA8L8CLiEf9GxW/z8CP1dbsb/s6j8AAAAAGAAAAPwIAPwAAgAAAAAAAPC/Atnw9EpZhuS/AuNYF7fRAL6/AAAAABgAAAD8CAD8AAIAAAAAAADwvwIFxY8xd20QQAKneccpOpLtvwAAAAAYAAAA/AgA/AACAAAAAAAA8L8CdnEbDeAtCkACOiNKe4Mv9T8AAAAAIAAAAPwEAPwAAgAAAAAAAPC/Ai4hH/RsVv+/AixlGeJYF+O/AAAAACAAAAD8CAD8AAIAAAAAAADwvwJsCfmgZ7PavwKCc0aU9gb0PwAAAAAYAAAA/AgA/AACAAAAAAAA8L8CqaROQBNhEUACAiuHFtnO2z8AAAAAGAAAAPwEAPwAAgAAAAAAAPC/AvH0SlmGOAjAAo51cRsN4NE/AAAAABgAAAD8BAD8AAIAAAAAAADwvwKppE5AE2ERwAK5jQbwFkjIvwAAAAAwAAQEAAAAAAAAAAgIDAQEAAAAAAwEAAQEAAAABBAEAAAAAAAACBQEAAQEAAAADBgICAQEAAAAEBwEAAAAAAAAECAIAAAAAAAAFCQICAQEAAAAHCgEAAAAAAAAKCwEAAAAAAAAGCQEAAQEAAAAAAABAAAAAAAAAAAAAAAAAAAAAAAAAAAA</t>
        </r>
      </text>
    </comment>
    <comment ref="C67" authorId="0">
      <text>
        <r>
          <rPr>
            <sz val="9"/>
            <color indexed="81"/>
            <rFont val="Tahoma"/>
            <family val="2"/>
          </rPr>
          <t>Insight iXlW00003C0000067R0841462809S00000449P00988LAocjBAQBF1NjaVRlZ2ljLmRhdGEuTW9sZWN1bGUBbQF/ARJTY2lUZWdpYy5Nb2xlY3VsZQAAAQFkAv5qAQAAAAIBAjQYDAAA/AQA/AACAAAAAAAA8L8CjnVxGw3g4b8CWoY41sVt4j8AAAAAGAAAAPwEAPwAAgAAAAAAAPC/Ag3gLZCg+OM/AjY8vVKWIfU/AAAAABgAAAD8BAD8AAIAAAAAAADwvwK62or9ZffkvwKSXP5D+u3pvwAAAAAcAAAA/AgA/AACAAAAAAAA8L8CCRueXinL/b8CmpmZmZmZ8T8AAAAAGAAAAPwIAPwAAgAAAAAAAPC/Agkbnl4py/0/Arraiv1l9+Q/AAAAACAAAAD8BAD8AAIAAAAAAADwvwI3qz5XWzEAwALl8h/Sb1/yvwAAAAAYAAAA/AgA/AACAAAAAAAA8L8COrTIdr4fBsACbXh6pSxDnD8AAAAAGAAAAPwIAPwAAgAAAAAAAPC/AmRd3EYDeAhAAmpN845TdPY/AAAAABgAAAD8CAD8AAIAAAAAAADwvwLjx5i7lpD+PwIbL90kBoHnvwAAAAAgAAAA/AgA/AACAAAAAAAA8L8CtvP91HipEMAC2xt8YTJVwD8AAAAAGAAAAPwIAPwAAgAAAAAAAPC/AnP5D+m3LxFAAiL99nXgnOc/AAAAABgAAAD8CAD8AAIAAAAAAADwvwJz+Q/pty8JQALrBDQRNjz2vwAAAAAYAAAA/AgA/AACAAAAAAAA8L8CqaROQBNhEUAC0bNZ9bna5L8AAAAAOAAEBBQAAAAAAAAIBAAEAAAAAAAMBAAEAAAAAAQQBAAAAAAAAAgUBAAEAAAAAAwYBAAEAAAAABAcBAAEBAAAABAgCAwEBAAAABgkCAAAAAAAABwoCAgEBAAAACAsBAAEBAAAACgwBAAEBAAAABQYBAAEAAAAACwwCAgEBAAAAAAAAQAAAAAAAAAAAAAAAAAAAAAAAAAAAA==</t>
        </r>
      </text>
    </comment>
    <comment ref="C68" authorId="0">
      <text>
        <r>
          <rPr>
            <sz val="9"/>
            <color indexed="81"/>
            <rFont val="Tahoma"/>
            <family val="2"/>
          </rPr>
          <t>Insight iXlW00003C0000068R0841462809S00000450P00616LAocjBAQBF1NjaVRlZ2ljLmRhdGEuTW9sZWN1bGUBbQF/ARJTY2lUZWdpYy5Nb2xlY3VsZQAAAQFkAv5qAQAAAAIAAiAYAAAA/AgA/AACAAAAAAAA8L8AAum3rwPnjNA/AAAAABwAAAD8CAD8AAIAAAAAAADwvwIGEhQ/xtzzPwIRx7q4jQbcvwAAAAAcAAAA/AgA/AACAAAAAAAA8L8CBhIUP8bc878CEce6uI0G3L8AAAAAHAAAAPwIAPwAAgAAAAAAAPC/AAKwlGWIY137PwAAAAAYAAAA/AQA/AACAAAAAAAA8L8CiIVa07zjA0AC6bevA+eM0D8AAAAAGAAAAPwEAPwAAgAAAAAAAPC/AgYSFD/G3PM/AvoP6bevA/6/AAAAABgAAAD8BAD8AAIAAAAAAADwvwKIhVrTvOMDwALpt68D54zQPwAAAAAYAAAA/AQA/AACAAAAAAAA8L8CBhIUP8bc878C+g/pt68D/r8AAAAAHAAEBAAAAAAAAAAIBAAAAAAAAAAMCAAAAAAAAAQQBAAAAAAAAAQUBAAAAAAAAAgYBAAAAAAAAAgcBAAAAAAAAAAAAQAAAAAAAAAAAAAAAAAAAAAAAAAAAA==</t>
        </r>
      </text>
    </comment>
    <comment ref="C69" authorId="0">
      <text>
        <r>
          <rPr>
            <sz val="9"/>
            <color indexed="81"/>
            <rFont val="Tahoma"/>
            <family val="2"/>
          </rPr>
          <t>Insight iXlW00003C0000069R0841462809S00000451P00856LAocjBAQBF1NjaVRlZ2ljLmRhdGEuTW9sZWN1bGUBbQF/ARJTY2lUZWdpYy5Nb2xlY3VsZQAAAQFkAv5qAQAAAAIAAiwYAAAA/AgA/AACAAAAAAAA8L8CJZf/kH77wr8CMzMzMzMz878AAAAAGAAAAPwIAPwAAgAAAAAAAPC/AiWX/5B++8I/Ava52or9Zcc/AAAAABgAAAD8CAD8AAIAAAAAAADwvwLkFB3J5T/sPwLlYaHWNG8BwAAAAAAYAAAA/AgA/AACAAAAAAAA8L8C4umVsgxx+L8CAwmKH2Pu+b8AAAAAGAAAAPwIAPwAAgAAAAAAAPC/AuLplbIMcfg/AjsBTYQNT+M/AAAAABwAAAD8CAD8AAIAAAAAAADwvwLkFB3J5T/svwLW52or9pfyPwAAAAAYAAAA/AgA/AACAAAAAAAA8L8CuECC4scYAkACf4y5awn5+78AAAAAGAAAAPwIAPwAAgAAAAAAAPC/AhiV1AloogTAAtGzWfW52uS/AAAAABgAAAD8CAD8AAIAAAAAAADwvwIYldQJaKIEQAJuNIC3QILWvwAAAAAgAAAA/AQA/AACAAAAAAAA8L8CoKut2F92/T8CeXqlLEMcAEAAAAAAGAAAAPwIAPwAAgAAAAAAAPC/ArhAguLHGALAAhsv3SQGgec/AAAAADAABAQABAQAAAAACAQABAQAAAAADAgIBAQAAAAEEAQABAQAAAAEFAgIBAQAAAAIGAgIBAQAAAAMHAQABAQAAAAQIAgIBAQAAAAQJAQAAAAAAAAUKAQABAQAAAAYIAQABAQAAAAcKAgIBAQAAAAAAAEAAAAAAAAAAAAAAAAAAAAAAAAAAAA=</t>
        </r>
      </text>
    </comment>
    <comment ref="C70" authorId="0">
      <text>
        <r>
          <rPr>
            <sz val="9"/>
            <color indexed="81"/>
            <rFont val="Tahoma"/>
            <family val="2"/>
          </rPr>
          <t>Insight iXlW00003C0000070R0841462809S00000452P01164LAocjBAQBF1NjaVRlZ2ljLmRhdGEuTW9sZWN1bGUBbQF/ARJTY2lUZWdpYy5Nb2xlY3VsZQAAAQFkAv5qAQAAAAIAAgEQGAAAAPwIAPwAAgAAAAAAAPC/AutztRX7SwFAAgjOGVHaG+C/AAAAABwAAAD8CAD8AAIAAAAAAADwvwK4rwPnjCjxPwJ8gy9MpgryvwAAAAAYAAAA/AgA/AACAAAAAAAA8L8CwTkjSnsDCkACfIMvTKYK8r8AAAAAGAAAAPwIAPwAAgAAAAAAAPC/AutztRX7SwFAAjEIrBxaZOc/AAAAABgAAAD8CAD8AAIAAAAAAADwvwACCM4ZUdob4L8AAAAAGAAAAPwIAPwAAgAAAAAAAPC/AqmkTkATYRFAAgjOGVHaG+C/AAAAABgAAAD8CAD8AAIAAAAAAADwvwLBOSNKewMKQAKUh4Va07z1PwAAAAAcAAAA/AgA/AACAAAAAAAA8L8CuK8D54wo8b8CfIMvTKYK8r8AAAAAHAAAAPwIAPwAAgAAAAAAAPC/AAIxCKwcWmTnPwAAAAAYAAAA/AgA/AACAAAAAAAA8L8CqaROQBNhEUACMQisHFpk5z8AAAAAGAAAAPwIAPwAAgAAAAAAAPC/AutztRX7SwHAAgjOGVHaG+C/AAAAABgAAAD8CAD8AAIAAAAAAADwvwLrc7UV+0sBwAIxCKwcWmTnPwAAAAAYAAAA/AgA/AACAAAAAAAA8L8CwTkjSnsDCsACfIMvTKYK8r8AAAAAGAAAAPwIAPwAAgAAAAAAAPC/AsE5I0p7AwrAApSHhVrTvPU/AAAAABgAAAD8CAD8AAIAAAAAAADwvwKppE5AE2ERwAIIzhlR2hvgvwAAAAAYAAAA/AgA/AACAAAAAAAA8L8CqaROQBNhEcACMQisHFpk5z8AAAAAAREABAQAAAAAAAAACAgMBAQAAAAADAQABAQAAAAEEAQAAAAAAAAIFAQABAQAAAAMGAgIBAQAAAAQHAQAAAAAAAAQIAgAAAAAAAAUJAgIBAQAAAAcKAQAAAAAAAAoLAgMBAQAAAAoMAQABAQAAAAsNAQABAQAAAAwOAgIBAQAAAA0PAgIBAQAAAAYJAQABAQAAAA4PAQABAQAAAAAAAEAAAAAAAAAAAAAAAAAAAAAAAAAAAA=</t>
        </r>
      </text>
    </comment>
    <comment ref="C71" authorId="0">
      <text>
        <r>
          <rPr>
            <sz val="9"/>
            <color indexed="81"/>
            <rFont val="Tahoma"/>
            <family val="2"/>
          </rPr>
          <t>Insight iXlW00003C0000071R0841462809S00000453P00572LAocjBAQBF1NjaVRlZ2ljLmRhdGEuTW9sZWN1bGUBbQF/ARJTY2lUZWdpYy5Nb2xlY3VsZQAAAQFkAv5qAQAAAAIAAhwYAAAA/AQA/AACAAAAAAAA8L8CEHo2qz5X378C9rnaiv1lx78AAAAAGAAAAPwIAPwAAgAAAAAAAPC/AvMf0m9fB+w/AtsbfGEyVdA/AAAAACQAAAD8BAD8AAIAAAAAAADwvwKRoPgx5q79vwL3Bl+YTBXkvwAAAAAkAAAA/AQA/AACAAAAAAAA8L8CXynLEMe6qL8CxNMrZRni+L8AAAAAJAAAAPwEAPwAAgAAAAAAAPC/ApGg+DHmru2/AlJJnYAmwvI/AAAAABwAAAD8CAD8AAIAAAAAAADwvwJDPujZrPryPwLl8h/Sb1/6PwAAAAAcAAAA/AgA/AACAAAAAAAA8L8CxbEubqMB/z8CbjSAt0CC5r8AAAAAGAAEBAAAAAAAAAAIBAAAAAAAAAAMBAAAAAAAAAAQBAAAAAAAAAQUBAAAAAAAAAQYCAAAAAAAAAAAAQAAAAAAAAAAAAAAAAAAAAAAAAAAAA==</t>
        </r>
      </text>
    </comment>
    <comment ref="C72" authorId="0">
      <text>
        <r>
          <rPr>
            <sz val="9"/>
            <color indexed="81"/>
            <rFont val="Tahoma"/>
            <family val="2"/>
          </rPr>
          <t>Insight iXlW00003C0000072R0841462809S00000454P00440LAocjBAQBF1NjaVRlZ2ljLmRhdGEuTW9sZWN1bGUBbQF/ARJTY2lUZWdpYy5Nb2xlY3VsZQAAAQFkAv5qAQAAAAIAAhQYAAAA/AgA/AACAAAAAAAA8L8C097gC5Op4L8CFR3J5T+k078AAAAAHAAAAPwIAPwAAgAAAAAAAPC/Al8pyxDHuuY/Am1Wfa62YvC/AAAAABwAAAD8CAD8AAIAAAAAAADwvwLo+6nx0k38vwJtVn2utmLwvwAAAAAgAAAA/AgA/AACAAAAAAAA8L8C097gC5Op4L8CAwmKH2Pu8T8AAAAAGAAAAPwEAPwAAgAAAAAAAPC/Aio6kst/SP8/AhUdyeU/pNO/AAAAABAABAQAAAAAAAAACAQAAAAAAAAADAgAAAAAAAAEEAQAAAAAAAAAAAEAAAAAAAAAAAAAAAAAAAAAAAAAAAA=</t>
        </r>
      </text>
    </comment>
    <comment ref="C73" authorId="0">
      <text>
        <r>
          <rPr>
            <sz val="9"/>
            <color indexed="81"/>
            <rFont val="Tahoma"/>
            <family val="2"/>
          </rPr>
          <t>Insight iXlW00003C0000073R0841462809S00000455P00516LAocjBAQBF1NjaVRlZ2ljLmRhdGEuTW9sZWN1bGUBbQF/ARJTY2lUZWdpYy5Nb2xlY3VsZQAAAQFkAv5qAQAAAAIAAhgYAAAA/AgA/AACAAAAAAAA8L8CcF8HzhlR0r8CRIts5/upoT8AAAAAHAAAAPwIAPwAAgAAAAAAAPC/AqW9wRcmU+E/AjcawFsgQfM/AAAAABwAAAD8CAD8AAIAAAAAAADwvwKlvcEXJlPhPwISFD/G3LXxvwAAAAAgAAAA/AgA/AACAAAAAAAA8L8CGQRWDi2y+78CRIts5/upoT8AAAAAGAAAAPwEAPwAAgAAAAAAAPC/Alhbsb/snv4/AgTnjCjtDeg/AAAAABgAAAD8BAD8AAIAAAAAAADwvwJYW7G/7J7+PwKcxCCwcmjlvwAAAAAYAAQEAAQAAAAAAAgEAAQAAAAAAAwIAAAAAAAABBAEAAQAAAAACBQEAAQAAAAAEBQEAAQAAAAAAAABAAAAAAAAAAAAAAAAAAAAAAAAAAAA</t>
        </r>
      </text>
    </comment>
    <comment ref="C74" authorId="0">
      <text>
        <r>
          <rPr>
            <sz val="9"/>
            <color indexed="81"/>
            <rFont val="Tahoma"/>
            <family val="2"/>
          </rPr>
          <t>Insight iXlW00003C0000074R0841462809S00000456P00504LAocjBAQBF1NjaVRlZ2ljLmRhdGEuTW9sZWN1bGUBbQF/ARJTY2lUZWdpYy5Nb2xlY3VsZQAAAQFkAv5qAQAAAAIAAhgYAAAA/AgA/AACAAAAAAAA8L8CFR3J5T+k478CRIts5/upoT8AAAAAHAAAAPwIAPwAAgAAAAAAAPC/AqFns+pztek/AkSLbOf7qaE/AAAAABwAAAD8CAD8AAIAAAAAAADwvwKgq63YX3b1vwK7uI0G8BbzvwAAAAAgAAAA/AgA/AACAAAAAAAA8L8CoKut2F929b8C3NeBc0aU9D8AAAAAGAAAAPwEAPwAAgAAAAAAAPC/Am1Wfa62Yvg/AtzXgXNGlPQ/AAAAABgAAAD8BAD8AAIAAAAAAADwvwJtVn2utmL4PwK7uI0G8BbzvwAAAAAUAAQEAAAAAAAAAAgEAAAAAAAAAAwIAAAAAAAABBAEAAAAAAAABBQEAAAAAAAAAAABAAAAAAAAAAAAAAAAAAAAAAAAAAAA</t>
        </r>
      </text>
    </comment>
    <comment ref="C75" authorId="0">
      <text>
        <r>
          <rPr>
            <sz val="9"/>
            <color indexed="81"/>
            <rFont val="Tahoma"/>
            <family val="2"/>
          </rPr>
          <t>Insight iXlW00003C0000075R0841462809S00000457P00628LAocjBAQBF1NjaVRlZ2ljLmRhdGEuTW9sZWN1bGUBbQF/ARJTY2lUZWdpYy5Nb2xlY3VsZQAAAQFkAv5qAQAAAAIAAiAYAAAA/AgA/AACAAAAAAAA8L8AAkzIBz2bVc+/AAAAABwAAAD8CAD8AAIAAAAAAADwvwLo2az6XG3yvwJhVFInoIniPwAAAAAcAAAA/AgA/AACAAAAAAAA8L8C6Nms+lxt8j8CYVRSJ6CJ4j8AAAAAIAAAAPwIAPwAAgAAAAAAAPC/AAJDPujZrPr6vwAAAAAYAAAA/AQA/AACAAAAAAAA8L8CSFD8GHPX5r8Csr/snjws/z8AAAAAGAAAAPwEAPwAAgAAAAAAAPC/AjerPldbMQTAAmHD0ytlGcI/AAAAABgAAAD8BAD8AAIAAAAAAADwvwJIUPwYc9fmPwKyv+yePCz/PwAAAAAYAAAA/AQA/AACAAAAAAAA8L8CN6s+V1sxBEACYcPTK2UZwj8AAAAAIAAEBAAEAAAAAAAIBAAEAAAAAAAMCAAAAAAAAAQQBAAEAAAAAAQUBAAAAAAAAAgYBAAEAAAAAAgcBAAAAAAAABAYBAAEAAAAAAAAAQAAAAAAAAAAAAAAAAAAAAAAAAAAAA==</t>
        </r>
      </text>
    </comment>
    <comment ref="C76" authorId="0">
      <text>
        <r>
          <rPr>
            <sz val="9"/>
            <color indexed="81"/>
            <rFont val="Tahoma"/>
            <family val="2"/>
          </rPr>
          <t>Insight iXlW00003C0000076R0841462809S00000458P00616LAocjBAQBF1NjaVRlZ2ljLmRhdGEuTW9sZWN1bGUBbQF/ARJTY2lUZWdpYy5Nb2xlY3VsZQAAAQFkAv5qAQAAAAIAAiAYAAAA/AgA/AACAAAAAAAA8L8AArivA+eMKNk/AAAAABwAAAD8CAD8AAIAAAAAAADwvwIZBFYOLbLzvwKLjuTyH9LxPwAAAAAcAAAA/AgA/AACAAAAAAAA8L8CGQRWDi2y8z8Ci47k8h/S8T8AAAAAIAAAAPwIAPwAAgAAAAAAAPC/AAJpb/CFyVTwvwAAAAAYAAAA/AQA/AACAAAAAAAA8L8CBhIUP8bcA8ACuK8D54wo2T8AAAAAGAAAAPwEAPwAAgAAAAAAAPC/Ag8LtaZ5xwNAArivA+eMKNk/AAAAABgAAAD8BAD8AAIAAAAAAADwvwLQRNjw9MoNwAKLjuTyH9LxPwAAAAAYAAAA/AQA/AACAAAAAAAA8L8C0ETY8PTKDUACi47k8h/S8T8AAAAAHAAEBAAAAAAAAAAIBAAAAAAAAAAMCAAAAAAAAAQQBAAAAAAAAAgUBAAAAAAAABAYBAAAAAAAABQcBAAAAAAAAAAAAQAAAAAAAAAAAAAAAAAAAAAAAAAAAA==</t>
        </r>
      </text>
    </comment>
    <comment ref="C77" authorId="0">
      <text>
        <r>
          <rPr>
            <sz val="9"/>
            <color indexed="81"/>
            <rFont val="Tahoma"/>
            <family val="2"/>
          </rPr>
          <t>Insight iXlW00003C0000077R0841462809S00000459P00440LAocjBAQBF1NjaVRlZ2ljLmRhdGEuTW9sZWN1bGUBbQF/ARJTY2lUZWdpYy5Nb2xlY3VsZQAAAQFkAv5qAQAAAAIAAhQYAAAA/AgA/AACAAAAAAAA8L8CeJyiI7n84T8CJLn8h/Tb078AAAAAGAAAAPwEAPwAAgAAAAAAAPC/Ao25awn5oOW/AuLplbIMcfC/AAAAABwAAAD8CAD8AAIAAAAAAADwvwJJLv8h/fb8PwLi6ZWyDHHwvwAAAAAcAAAA/AgA/AACAAAAAAAA8L8CeJyiI7n84T8CAwmKH2Pu8T8AAAAAGAAAAPwEAPwAAgAAAAAAAPC/Alhbsb/snv6/AiS5/If029O/AAAAABAABAQAAAAAAAAACAQAAAAAAAAADAgAAAAAAAAEEAQAAAAAAAAAAAEAAAAAAAAAAAAAAAAAAAAAAAAAAAA=</t>
        </r>
      </text>
    </comment>
    <comment ref="C78" authorId="0">
      <text>
        <r>
          <rPr>
            <sz val="9"/>
            <color indexed="81"/>
            <rFont val="Tahoma"/>
            <family val="2"/>
          </rPr>
          <t>Insight iXlW00003C0000078R0841462809S00000460P00440LAocjBAQBF1NjaVRlZ2ljLmRhdGEuTW9sZWN1bGUBbQF/ARJTY2lUZWdpYy5Nb2xlY3VsZQAAAQFkAv5qAQAAAAIAAhQcAAQA/AgA/AACAAAAAAAA8L8C2qz6XG3F4L8Ci/1l9+Rh2T8AAAAAGAAAAPwEAPwAAgAAAAAAAPC/Al8pyxDHuuY/AgMJih9j7vE/AAAAACAAAAD8CAD8AAIAAAAAAADwvwLo+6nx0k38vwIDCYofY+7xPwAAAAAgAPwA/AgA/AACAAAAAAAA8L8C2qz6XG3F4L8CbVZ9rrZi8L8AAAAAGAAAAPwEAPwAAgAAAAAAAPC/Aio6kst/SP8/Aov9ZffkYdk/AAAAABAABAQAAAAAAAAACAgAAAAAAAAADAQAAAAAAAAEEAQAAAAAAAAAAAEAAAAAAAAAAAAAAAAAAAAAAAAAAAA=</t>
        </r>
      </text>
    </comment>
    <comment ref="C79" authorId="0">
      <text>
        <r>
          <rPr>
            <sz val="9"/>
            <color indexed="81"/>
            <rFont val="Tahoma"/>
            <family val="2"/>
          </rPr>
          <t>Insight iXlW00003C0000079R0841462809S00000461P00504LAocjBAQBF1NjaVRlZ2ljLmRhdGEuTW9sZWN1bGUBbQF/ARJTY2lUZWdpYy5Nb2xlY3VsZQAAAQFkAv5qAQAAAAIAAhgYAAAA/AQA/AACAAAAAAAA8L8CE/JBz2bV5z8CBqOSOgFNxL8AAAAAGAAAAPwEAPwAAgAAAAAAAPC/ArivA+eMKNm/Am6jAbwFEuY/AAAAABgAAAD8BAD8AAIAAAAAAADwvwJaZDvfT40AQAK4rwPnjCjZPwAAAAAYAAAA/AwA/AACAAAAAAAA8L8CKA8LtaZ5+78C41gXt9EAvj8AAAAAGAAAAPwEAPwAAgAAAAAAAPC/AouO5PIf0glAAqjoSC7/Id2/AAAAABwAAAD8DAD8AAIAAAAAAADwvwLr4jYawFsIwAIhQfFjzF3bvwAAAAAUAAQEAAAAAAAAAAgEAAAAAAAABAwEAAAAAAAACBAEAAAAAAAADBQMAAAAAAAAAAABAAAAAAAAAAAAAAAAAAAAAAAAAAAA</t>
        </r>
      </text>
    </comment>
    <comment ref="C80" authorId="0">
      <text>
        <r>
          <rPr>
            <sz val="9"/>
            <color indexed="81"/>
            <rFont val="Tahoma"/>
            <family val="2"/>
          </rPr>
          <t>Insight iXlW00003C0000080R0841462809S00000462P00552LAocjBAQBF1NjaVRlZ2ljLmRhdGEuTW9sZWN1bGUBbQF/ARJTY2lUZWdpYy5Nb2xlY3VsZQAAAQFkAv5qAQAAAAIAAhwYAAAA/AQA/AACAAAAAAAA8L8CbAn5oGez2j8AAAAAABgAAAD8BAD8AAIAAAAAAADwvwL77evAOSP0PwJdbcX+snvyvwAAAAAYAAAA/AQA/AACAAAAAAAA8L8C++3rwDkj9D8CXW3F/rJ78j8AAAAAGAAAAPwMAPwAAgAAAAAAAPC/Anl6pSxDHPC/AAAAAAAYAAAA/AQA/AACAAAAAAAA8L8CQDVeukkMBUACWFuxv+ye5r8AAAAAGAAAAPwEAPwAAgAAAAAAAPC/AkA1XrpJDAVAAlhbsb/snuY/AAAAABwAAAD8DAD8AAIAAAAAAADwvwLZX3ZPHpYDwAAAAAAAHAAEBAAEAAAAAAAIBAAEAAAAAAAMBAAAAAAAAAQQBAAEAAAAAAgUBAAEAAAAAAwYDAAAAAAAABAUBAAEAAAAAAAAAQAAAAAAAAAAAAAAAAAAAAAAAAAAAA==</t>
        </r>
      </text>
    </comment>
    <comment ref="C81" authorId="0">
      <text>
        <r>
          <rPr>
            <sz val="9"/>
            <color indexed="81"/>
            <rFont val="Tahoma"/>
            <family val="2"/>
          </rPr>
          <t>Insight iXlW00003C0000081R0841462809S00000463P00572LAocjBAQBF1NjaVRlZ2ljLmRhdGEuTW9sZWN1bGUBbQF/ARJTY2lUZWdpYy5Nb2xlY3VsZQAAAQFkAv5qAQAAAAIAAhwYAAAA/AQA/AACAAAAAAAA8L8C1QloImx4qj8CfIMvTKYK6r8AAAAAARAAAAD8BAD8AAIAAAAAAADwvwIkKH6MuWvzPwJR2ht8YTKlPwAAAAAYAAAA/AQA/AACAAAAAAAA8L8C6Pup8dJN9L8CxSCwcmiRzb8AAAAAHAAAAPwIAPwAAgAAAAAAAPC/Ap0Rpb3BlwJAAjcawFsgQes/AAAAACAAAAD8CAD8AAIAAAAAAADwvwLyY8xdS8jfPwLNzMzMzMz0PwAAAAAgAAAA/AgA/AACAAAAAAAA8L8CxbEubqMB/z8CNxrAWyBB878AAAAAGAAAAPwEAPwAAgAAAAAAAPC/AiQofoy5awPAAh44Z0Rpb/G/AAAAABgABAQAAAAAAAAACAQAAAAAAAAEDAQAAAAAAAAEEAgAAAAAAAAEFAgAAAAAAAAIGAQAAAAAAAAAAAEAAAAAAAAAAAAAAAAAAAAAAAAAAAA=</t>
        </r>
      </text>
    </comment>
    <comment ref="C82" authorId="0">
      <text>
        <r>
          <rPr>
            <sz val="9"/>
            <color indexed="81"/>
            <rFont val="Tahoma"/>
            <family val="2"/>
          </rPr>
          <t>Insight iXlW00003C0000082R0841462809S00000464P00648LAocjBAQBF1NjaVRlZ2ljLmRhdGEuTW9sZWN1bGUBbQF/ARJTY2lUZWdpYy5Nb2xlY3VsZQAAAQFkAv5qAQAAAAIAAiABEAAAAPwEAPwAAgAAAAAAAPC/AszuycNCrbk/AkqdgCbChuW/AAAAABgAAAD8BAD8AAIAAAAAAADwvwLbiv1l9+T2PwLM7snDQq25PwAAAAAcAAAA/AgA/AACAAAAAAAA8L8CkKD4Meau878CzO7Jw0KtuT8AAAAAIAAAAPwIAPwAAgAAAAAAAPC/ArTqc7UV++M/AlR0JJf/EAHAAAAAACAAAAD8CAD8AAIAAAAAAADwvwJvowG8BRLcvwJUdCSX/xABwAAAAAAYAAAA/AQA/AACAAAAAAAA8L8C24r9Zffk9j8C8tJNYhBY+j8AAAAAGAAAAPwEAPwAAgAAAAAAAPC/ApCg+DHmrvO/AvLSTWIQWPo/AAAAABgAAAD8BAD8AAIAAAAAAADwvwLM7snDQq25PwIWak3zjlMDQAAAAAAgAAQEAAQAAAAAAAgEAAQAAAAAAAwIAAAAAAAAABAIAAAAAAAABBQEAAQAAAAACBgEAAQAAAAAFBwEAAQAAAAAGBwEAAQAAAAAAAABAAAAAAAAAAAAAAAAAAAAAAAAAAAA</t>
        </r>
      </text>
    </comment>
    <comment ref="C83" authorId="0">
      <text>
        <r>
          <rPr>
            <sz val="9"/>
            <color indexed="81"/>
            <rFont val="Tahoma"/>
            <family val="2"/>
          </rPr>
          <t>Insight iXlW00003C0000083R0841462809S00000465P00636LAocjBAQBF1NjaVRlZ2ljLmRhdGEuTW9sZWN1bGUBbQF/ARJTY2lUZWdpYy5Nb2xlY3VsZQAAAQFkAv5qAQAAAAIAAiAcAAAA/AgA/AACAAAAAAAA8L8CIv32deCckb8CqhPQRNjw2L8AAAAAARAAAAD8BAD8AAIAAAAAAADwvwKyv+yePCz3vwKqE9BE2PDYvwAAAAAYAAAA/AQA/AACAAAAAAAA8L8CXynLEMe65j8CMEymCkYl6z8AAAAAGAAAAPwEAPwAAgAAAAAAAPC/AsHKoUW28wbAAvXb14FzRti/AAAAACAAAAD8CAD8AAIAAAAAAADwvwKyv+yePCz3vwI2PL1SliH9vwAAAAAgAAAA/AgA/AACAAAAAAAA8L8CxbEubqMB978CT0ATYcPT8D8AAAAAGAAAAPwEAPwAAgAAAAAAAPC/AjY8vVKWIQFAAjBMpgpGJes/AAAAABgAAAD8BAD8AAIAAAAAAADwvwLByqFFtvMGQALT3uALk6kAQAAAAAAcAAQEAAAAAAAAAAgEAAAAAAAABAwEAAAAAAAABBAIAAAAAAAABBQIAAAAAAAACBgEAAAAAAAAGBwEAAAAAAAAAAABAAAAAAAAAAAAAAAAAAAAAAAAAAAA</t>
        </r>
      </text>
    </comment>
    <comment ref="C84" authorId="0">
      <text>
        <r>
          <rPr>
            <sz val="9"/>
            <color indexed="81"/>
            <rFont val="Tahoma"/>
            <family val="2"/>
          </rPr>
          <t>Insight iXlW00003C0000084R0841462809S00000466P00844LAocjBAQBF1NjaVRlZ2ljLmRhdGEuTW9sZWN1bGUBbQF/ARJTY2lUZWdpYy5Nb2xlY3VsZQAAAQFkAv5qAQAAAAIAAiwBEAAAAPwEAPwAAgAAAAAAAPC/AuLplbIMcQDAAuNYF7fRAK4/AAAAABgAAAD8CAD8AAIAAAAAAADwvwId6+I2GsDjvwJfKcsQx7qoPwAAAAAcAAAA/AgA/AACAAAAAAAA8L8CLiEf9GxWA8ACsr/snjws9z8AAAAAIAAAAPwIAPwAAgAAAAAAAPC/AoiFWtO84wvAAqs+V1uxv8S/AAAAACAAAAD8CAD8AAIAAAAAAADwvwI5RUdy+Q//vwKQoPgx5q71vwAAAAAYAAAA/AgA/AACAAAAAAAA8L8CRIts5/upsT8CysNCrWne8r8AAAAAGAAAAPwIAPwAAgAAAAAAAPC/AoxK6gQ0EbY/AlFrmnecovQ/AAAAABgAAAD8CAD8AAIAAAAAAADwvwLx9EpZhjj4PwK30QDeAgnzvwAAAAAYAAAA/AgA/AACAAAAAAAA8L8Cam/whclU+D8CUWuad5yi9D8AAAAAGAAAAPwIAPwAAgAAAAAAAPC/AsdLN4lB4AFAArprCfmgZ6M/AAAAABgAAAD8BAD8AAIAAAAAAADwvwInMQisHFoNQAJYObTIdr6fPwAAAAAsAAQEAAAAAAAAAAgEAAAAAAAAAAwIAAAAAAAAABAIAAAAAAAABBQIDAQEAAAABBgEAAQEAAAAFBwEAAQEAAAAGCAICAQEAAAAHCQIDAQEAAAAJCgEAAAAAAAAICQEAAQEAAAAAAABAAAAAAAAAAAAAAAAAAAAAAAAAAAA</t>
        </r>
      </text>
    </comment>
    <comment ref="C85" authorId="0">
      <text>
        <r>
          <rPr>
            <sz val="9"/>
            <color indexed="81"/>
            <rFont val="Tahoma"/>
            <family val="2"/>
          </rPr>
          <t>Insight iXlW00003C0000085R0841462809S00000467P00716LAocjBAQBF1NjaVRlZ2ljLmRhdGEuTW9sZWN1bGUBbQF/ARJTY2lUZWdpYy5Nb2xlY3VsZQAAAQFkAv5qAQAAAAIAAiQBEAAAAPwEAPwAAgAAAAAAAPC/ApDC9Shcj/6/AnE9CtejcPG/AAAAABwAAAD8CAD8AAIAAAAAAADwvwI+CtejcD3ivwLXo3A9CtfTvwAAAAAcAAAA/AgA/AACAAAAAAAA8L8C16NwPQrXCcAC16NwPQrX078AAAAAIAAAAPwIAPwAAgAAAAAAAPC/AlK4HoXrUQTAAjMzMzMzMwPAAAAAACAAAAD8CAD8AAIAAAAAAADwvwIpXI/C9Sj0vwIzMzMzMzMDwAAAAAAYAAAA/AQA/AACAAAAAAAA8L8CPgrXo3A94r8CrkfhehSu8z8AAAAAGAAAAPwEAPwAAgAAAAAAAPC/AqRwPQrXo+g/Ah+F61G4HvG/AAAAABgAAAD8BAD8AAIAAAAAAADwvwLXo3A9CtcJwAKuR+F6FK7zPwAAAAAYAAAA/AQA/AACAAAAAAAA8L8CkML1KFyP/r8CFa5H4XoUAEAAAAAAJAQABAAEAAAAAAgABAAEAAAAAAwACAAAAAAAABAACAAAAAAAABQEBAAEAAAAABgEBAAAAAAAABwIBAAEAAAAACAcBAAEAAAAABQgBAAEAAAAAAAAAQAAAAAAAAAAAAAAAAAAAAAAAAAAAA==</t>
        </r>
      </text>
    </comment>
    <comment ref="C86" authorId="0">
      <text>
        <r>
          <rPr>
            <sz val="9"/>
            <color indexed="81"/>
            <rFont val="Tahoma"/>
            <family val="2"/>
          </rPr>
          <t>Insight iXlW00003C0000086R0841462809S00000468P00572LAocjBAQBF1NjaVRlZ2ljLmRhdGEuTW9sZWN1bGUBbQF/ARJTY2lUZWdpYy5Nb2xlY3VsZQAAAQFkAv5qAQAAAAIAAhwBEAAAAPwEAPwAAgAAAAAAAPC/Atnw9EpZhtQ/AiL99nXgnJE/AAAAABwAAAD8CAD8AAIAAAAAAADwvwISFD/G3LXxvwIi/fZ14JyRPwAAAAAcAAAA/AgA/AACAAAAAAAA8L8CCvmgZ7Pq+z8CRIts5/upoT8AAAAAIAAAAPwIAPwAAgAAAAAAAPC/Atnw9EpZhtQ/AmdmZmZmZva/AAAAACAAAAD8CAD8AAIAAAAAAADwvwLZ8PRKWYbUPwKIhVrTvOP3PwAAAAAYAAAA/AQA/AACAAAAAAAA8L8Cs53vp8ZL/b8CP1dbsb/s8r8AAAAAGAAAAPwEAPwAAgAAAAAAAPC/AhgmUwWjkv2/Am+BBMWPMfQ/AAAAABgABAQAAAAAAAAACAQAAAAAAAAADAgAAAAAAAAAEAgAAAAAAAAEFAQAAAAAAAAEGAQAAAAAAAAAAAEAAAAAAAAAAAAAAAAAAAAAAAAAAAA=</t>
        </r>
      </text>
    </comment>
    <comment ref="C87" authorId="0">
      <text>
        <r>
          <rPr>
            <sz val="9"/>
            <color indexed="81"/>
            <rFont val="Tahoma"/>
            <family val="2"/>
          </rPr>
          <t>Insight iXlW00003C0000087R0841462809S00000469P00440LAocjBAQBF1NjaVRlZ2ljLmRhdGEuTW9sZWN1bGUBbQF/ARJTY2lUZWdpYy5Nb2xlY3VsZQAAAQFkAv5qAQAAAAIAAhQYAAAA/AgA/AACAAAAAAAA8L8C097gC5Op4L8Ci/1l9+Rh2T8AAAAAGAAAAPwEAPwAAgAAAAAAAPC/AkhQ/Bhz1+Y/Ao51cRsN4PE/AAAAABwAAAD8CAD8AAIAAAAAAADwvwLr4jYawFv8vwKOdXEbDeDxPwAAAAABEAAAAPwIAPwAAgAAAAAAAPC/AtPe4AuTqeC/Am1Wfa62YvC/AAAAABgAAAD8BAD8AAIAAAAAAADwvwIqOpLLf0j/PwKL/WX35GHZPwAAAAAQAAQEAAAAAAAAAAgEAAAAAAAAAAwIAAAAAAAABBAEAAAAAAAAAAABAAAAAAAAAAAAAAAAAAAAAAAAAAAA</t>
        </r>
      </text>
    </comment>
    <comment ref="C88" authorId="0">
      <text>
        <r>
          <rPr>
            <sz val="9"/>
            <color indexed="81"/>
            <rFont val="Tahoma"/>
            <family val="2"/>
          </rPr>
          <t>Insight iXlW00003C0000088R0841462809S00000470P00844LAocjBAQBF1NjaVRlZ2ljLmRhdGEuTW9sZWN1bGUBbQF/ARJTY2lUZWdpYy5Nb2xlY3VsZQAAAQFkAv5qAQAAAAIAAiwYAAAA/AgA/AACAAAAAAAA8L8CuK8D54wo8T8CIUHxY8xdy78AAAAAIAAAAPwEAPwAAgAAAAAAAPC/AhUdyeU/pNO/Ap6AJsKGp+G/AAAAABgAAAD8CAD8AAIAAAAAAADwvwKgGi/dJIYAQAL77evAOSP0vwAAAAAYAAAA/AgA/AACAAAAAAAA8L8CDCQofoy59z8C5fIf0m9f8j8AAAAAGAAAAPwEAPwAAgAAAAAAAPC/AsnlP6TfvvS/Ak2mCkYldd4/AAAAABgAAAD8CAD8AAIAAAAAAADwvwLTTWIQWLkLQAKneccpOpLtvwAAAAAYAAAA/AgA/AACAAAAAAAA8L8Cf/s6cM4IB0ACDwu1pnnH9z8AAAAAGAAAAPwIAPwAAgAAAAAAAPC/Al7cRgN4iwXAAmHD0ytlGcI/AAAAABgAAAD8CAD8AAIAAAAAAADwvwL9h/Tb1wEPQALkFB3J5T/cPwAAAAAcAAAA/AgA/AACAAAAAAAA8L8CRkdy+Q/pCMACoImw4emV878AAAAAIAAAAPwIAPwAAgAAAAAAAPC/Al7cRgN4iw3AAsrDQq1p3vI/AAAAACwABAQAAAAAAAAACAgMBAQAAAAADAQABAQAAAAEEAQAAAAAAAAIFAQABAQAAAAMGAgIBAQAAAAQHAQAAAAAAAAUIAgIBAQAAAAcJAQAAAAAAAAcKAgAAAAAAAAYIAQABAQAAAAAAAEAAAAAAAAAAAAAAAAAAAAAAAAAAAA=</t>
        </r>
      </text>
    </comment>
    <comment ref="C89" authorId="0">
      <text>
        <r>
          <rPr>
            <sz val="9"/>
            <color indexed="81"/>
            <rFont val="Tahoma"/>
            <family val="2"/>
          </rPr>
          <t>Insight iXlW00003C0000089R0841462809S00000471P00780LAocjBAQBF1NjaVRlZ2ljLmRhdGEuTW9sZWN1bGUBbQF/ARJTY2lUZWdpYy5Nb2xlY3VsZQAAAQFkAv5qAQAAAAIAAigYAAAA/AgA/AACAAAAAAAA8L8CtMh2vp8a8T8CqOhILv8h3b8AAAAAGAAAAPwIAPwAAgAAAAAAAPC/AvRsVn2uNgFAAt/gC5Opgva/AAAAABgAAAD8CAD8AAIAAAAAAADwvwIcDeAtkKD1PwKJY13cRgPuPwAAAAAYAAAA/AQA/AACAAAAAAAA8L8Cnu+nxks30b8CxY8xdy0h7b8AAAAAGAAAAPwIAPwAAgAAAAAAAPC/ArU3+MJkKgxAAoljXdxGA+6/AAAAABgAAAD8CAD8AAIAAAAAAADwvwJP0ZFc/sMFQALf4AuTqYL2PwAAAAAYAAAA/AQA/AACAAAAAAAA8L8CHA3gLZCg9b8CIv32deCckT8AAAAAGAAAAPwIAPwAAgAAAAAAAPC/AunZrPpcbQ5AAqjoSC7/Id0/AAAAABgAAAD8CAD8AAIAAAAAAADwvwJYyjLEsa4FwAIhQfFjzF3bvwAAAAAYAAAA/AgA/AACAAAAAAAA8L8C6dms+lxtDsACAAAAAAAA4D8AAAAAKAAECAgEBAAAAAAIBAAEBAAAAAAMBAAAAAAAAAQQBAAEBAAAAAgUCAgEBAAAAAwYBAAAAAAAABAcCAgEBAAAABggBAAAAAAAACAkCAAAAAAAABQcBAAEBAAAAAAAAQAAAAAAAAAAAAAAAAAAAAAAAAAAAA==</t>
        </r>
      </text>
    </comment>
    <comment ref="C90" authorId="0">
      <text>
        <r>
          <rPr>
            <sz val="9"/>
            <color indexed="81"/>
            <rFont val="Tahoma"/>
            <family val="2"/>
          </rPr>
          <t>Insight iXlW00003C0000090R0841462809S00000472P00712LAocjBAQBF1NjaVRlZ2ljLmRhdGEuTW9sZWN1bGUBbQF/ARJTY2lUZWdpYy5Nb2xlY3VsZQAAAQFkAv5qAQAAAAIAAiQYAAAA/AgA/AACAAAAAAAA8L8CIUHxY8xdy78C8fRKWYY44L8AAAAAGAAAAPwIAPwAAgAAAAAAAPC/ArHh6ZWyDOk/AtPe4AuTqfi/AAAAABgAAAD8CAD8AAIAAAAAAADwvwLXxW00gLfIPwISNjy9UpbrPwAAAAAYAAAA/AgA/AACAAAAAAAA8L8CIh/0bFZ9+b8CP1dbsb/s6r8AAAAAGAAAAPwIAPwAAgAAAAAAAPC/AiEf9GxWfQFAAqyt2F92T/O/AAAAABgAAAD8CAD8AAIAAAAAAADwvwIiH/RsVn35PwIwTKYKRiXzPwAAAAAYAAAA/AgA/AACAAAAAAAA8L8CS1mGONbFBMACUB4Wak3zxj8AAAAAGAAAAPwIAPwAAgAAAAAAAPC/AktZhjjWxQRAAqs+V1uxv8Q/AAAAABgAAAD8BAD8AAIAAAAAAADwvwJe3EYDeIsBwALT3uALk6n4PwAAAAAkAAQICAQEAAAAAAgEAAQEAAAAAAwEAAAAAAAABBAEAAQEAAAACBQICAQEAAAADBgICAAAAAAAEBwICAQEAAAAGCAEAAAAAAAAFBwEAAQEAAAAAAABAAAAAAAAAAAAAAAAAAAAAAAAAAAA</t>
        </r>
      </text>
    </comment>
    <comment ref="C91" authorId="0">
      <text>
        <r>
          <rPr>
            <sz val="9"/>
            <color indexed="81"/>
            <rFont val="Tahoma"/>
            <family val="2"/>
          </rPr>
          <t>Insight iXlW00003C0000091R0841462809S00000473P00680LAocjBAQBF1NjaVRlZ2ljLmRhdGEuTW9sZWN1bGUBbQF/ARJTY2lUZWdpYy5Nb2xlY3VsZQAAAQFkAv5qAQAAAAIAAiQYAAAA/AgA/AACAAAAAAAA8L8CbjSAt0CC1r8AAAAAABgAAAD8CAD8AAIAAAAAAADwvwJuNIC3QILWPwKRfvs6cM7zPwAAAAAYAAAA/AgA/AACAAAAAAAA8L8CbjSAt0CC1j8CkX77OnDO878AAAAAGAAAAPwIAPwAAgAAAAAAAPC/AtzXgXNGlPy/AAAAAAAYAAAA/AgA/AACAAAAAAAA8L8C3NeBc0aU/D8CkX77OnDO8z8AAAAAGAAAAPwIAPwAAgAAAAAAAPC/AtzXgXNGlPw/ApF++zpwzvO/AAAAABgAAAD8BAD8AAIAAAAAAADwvwK+MJkqGBUEwAKRfvs6cM7zvwAAAAAYAAAA/AgA/AACAAAAAAAA8L8CvjCZKhgVBMACkX77OnDO8z8AAAAAGAAAAPwIAPwAAgAAAAAAAPC/Ar4wmSoYFQRAAAAAAAAkAAQEAAQEAAAAAAgICAQEAAAAAAwEAAAAAAAABBAICAQEAAAACBQEAAQEAAAADBgEAAAAAAAADBwIAAAAAAAAECAEAAQEAAAAFCAICAQEAAAAAAABAAAAAAAAAAAAAAAAAAAAAAAAAAAA</t>
        </r>
      </text>
    </comment>
    <comment ref="C92" authorId="0">
      <text>
        <r>
          <rPr>
            <sz val="9"/>
            <color indexed="81"/>
            <rFont val="Tahoma"/>
            <family val="2"/>
          </rPr>
          <t>Insight iXlW00003C0000092R0841462809S00000474P00844LAocjBAQBF1NjaVRlZ2ljLmRhdGEuTW9sZWN1bGUBbQF/ARJTY2lUZWdpYy5Nb2xlY3VsZQAAAQFkAv5qAQAAAAIAAiwYAAAA/AgA/AACAAAAAAAA8L8CjpduEoPA+z8CcF8HzhlR4r8AAAAAGAAAAPwEAPwAAgAAAAAAAPC/Ak7zjlN0JNs/Ak5iEFg5tPK/AAAAABgAAAD8CAD8AAIAAAAAAADwvwKFfNCzWfX9PwJ0RpT2Bl/qPwAAAAAYAAAA/AgA/AACAAAAAAAA8L8Csr/snjwsB0AC48eYu5aQ9r8AAAAAGAAAAPwEAPwAAgAAAAAAAPC/AkhQ/Bhz1+a/AueMKO0NvtS/AAAAABgAAAD8CAD8AAIAAAAAAADwvwKppE5AE2EJQALjx5i7lpD2PwAAAAAYAAAA/AgA/AACAAAAAAAA8L8CL26jAbzFEEACdEaU9gZf6r8AAAAAGAAAAPwEAPwAAgAAAAAAAPC/Anl6pSxDHADAAraEfNCzWe2/AAAAABgAAAD8CAD8AAIAAAAAAADwvwKppE5AE2ERQAJwXwfOGVHiPwAAAAAYAAAA/AwA/AACAAAAAAAA8L8CqaROQBNhCcACUdobfGEytb8AAAAAGAAAAPwMAPwAAgAAAAAAAPC/AqmkTkATYRHAAjEIrBxaZOc/AAAAACwABAQAAAAAAAAACAQABAQAAAAADAgMBAQAAAAEEAQAAAAAAAAIFAgIBAQAAAAMGAQABAQAAAAQHAQAAAAAAAAUIAQABAQAAAAcJAQAAAAAAAAkKAwAAAAAAAAYIAgIBAQAAAAAAAEAAAAAAAAAAAAAAAAAAAAAAAAAAAA=</t>
        </r>
      </text>
    </comment>
    <comment ref="C93" authorId="0">
      <text>
        <r>
          <rPr>
            <sz val="9"/>
            <color indexed="81"/>
            <rFont val="Tahoma"/>
            <family val="2"/>
          </rPr>
          <t>Insight iXlW00003C0000093R0841462809S00000475P00596LAocjBAQBF1NjaVRlZ2ljLmRhdGEuTW9sZWN1bGUBbQF/ARJTY2lUZWdpYy5Nb2xlY3VsZQAAAQFkAv5qAQAAAAIAAiAYAAAA/AgA/AACAAAAAAAA8L8AAAAAAAAYAAAA/AgA/AACAAAAAAAA8L8CWFuxv+ye5j8CkX77OnDO878AAAAAGAAAAPwIAPwAAgAAAAAAAPC/Alhbsb/snuY/ApF++zpwzvM/AAAAABgAAAD8DAD8AAIAAAAAAADwvwLUvOMUHcn2vwAAAAAAGAAAAPwIAPwAAgAAAAAAAPC/AjY8vVKWIQFAApF++zpwzvO/AAAAABgAAAD8CAD8AAIAAAAAAADwvwI2PL1SliEBQAKRfvs6cM7zPwAAAAAYAAAA/AwA/AACAAAAAAAA8L8CBoGVQ4vsBsAAAAAAABgAAAD8CAD8AAIAAAAAAADwvwIGgZVDi+wGQAAAAAAAIAAECAgEBAAAAAAIBAAEBAAAAAAMBAAAAAAAAAQQBAAEBAAAAAgUCAgEBAAAAAwYDAAAAAAAABAcCAgEBAAAABQcBAAEBAAAAAAAAQAAAAAAAAAAAAAAAAAAAAAAAAAAAA==</t>
        </r>
      </text>
    </comment>
    <comment ref="C94" authorId="0">
      <text>
        <r>
          <rPr>
            <sz val="9"/>
            <color indexed="81"/>
            <rFont val="Tahoma"/>
            <family val="2"/>
          </rPr>
          <t>Insight iXlW00003C0000094R0841462809S00000476P00856LAocjBAQBF1NjaVRlZ2ljLmRhdGEuTW9sZWN1bGUBbQF/ARJTY2lUZWdpYy5Nb2xlY3VsZQAAAQFkAv5qAQAAAAIAAiwYAAAA/AgA/AACAAAAAAAA8L8CbqMBvAUS5j8CPSzUmuYd378AAAAAGAAAAPwIAPwAAgAAAAAAAPC/AmFUUiegieK/Amu8dJMYBM4/AAAAABgAAAD8CAD8AAIAAAAAAADwvwLVCWgibHjsPwLUvOMUHcn+vwAAAAAcAAAA/AgA/AACAAAAAAAA8L8CKjqSy39I/z8C2xt8YTJVwD8AAAAAGAAAAPwIAPwAAgAAAAAAAPC/AmFUUiegieK/AsfctYR80Po/AAAAABgAAAD8CAD8AAIAAAAAAADwvwLCqKROQBP9vwI9LNSa5h3fvwAAAAAcAAAA/AgA/AACAAAAAAAA8L8C2c73U+OlAkACQDVeukkMAcAAAAAAHAAAAPwIAPwAAgAAAAAAAPC/AlvTvOMUnQdAAs3MzMzMzOy/AAAAABgAAAD8CAD8AAIAAAAAAADwvwLCqKROQBP9vwL3deCcESUDQAAAAAAYAAAA/AgA/AACAAAAAAAA8L8C4umVsgxxCMACa7x0kxgEzj8AAAAAGAAAAPwIAPwAAgAAAAAAAPC/AuLplbIMcQjAAsfctYR80Po/AAAAADAABAQAAAAAAAAACAgMBAQAAAAADAQABAQAAAAEEAgMBAQAAAAEFAQABAQAAAAIGAQABAQAAAAMHAgIBAQAAAAQIAQABAQAAAAUJAgIBAQAAAAgKAgIBAQAAAAYHAQABAQAAAAkKAQABAQAAAAAAAEAAAAAAAAAAAAAAAAAAAAAAAAAAAA=</t>
        </r>
      </text>
    </comment>
    <comment ref="C95" authorId="0">
      <text>
        <r>
          <rPr>
            <sz val="9"/>
            <color indexed="81"/>
            <rFont val="Tahoma"/>
            <family val="2"/>
          </rPr>
          <t>Insight iXlW00003C0000095R0841462809S00000477P00516LAocjBAQBF1NjaVRlZ2ljLmRhdGEuTW9sZWN1bGUBbQF/ARJTY2lUZWdpYy5Nb2xlY3VsZQAAAQFkAv5qAQAAAAIAAhgcAAAA/AgA/AACAAAAAAAA8L8C41gXt9EArr8Ca7x0kxgE3r8AAAAAGAAAAPwIAPwAAgAAAAAAAPC/AiQofoy5a/O/An6utmJ/2dU/AAAAABwAAAD8CAD8AAIAAAAAAADwvwIW+8vuycPxPwJ+rrZif9nVPwAAAAAYAAAA/AQA/AACAAAAAAAA8L8C41gXt9EArr8C7uvAOSNK/r8AAAAAHAAAAPwIAPwAAgAAAAAAAPC/As/3U+Olm+i/AqGJsOHplfs/AAAAABgAAAD8CAD8AAIAAAAAAADwvwKrz9VW7C/lPwKhibDh6ZX7PwAAAAAYAAQEAAQEAAAAAAgEAAQEAAAAAAwEAAAAAAAABBAICAQEAAAACBQICAQEAAAAEBQEAAQEAAAAAAABAAAAAAAAAAAAAAAAAAAAAAAAAAAA</t>
        </r>
      </text>
    </comment>
    <comment ref="C96" authorId="0">
      <text>
        <r>
          <rPr>
            <sz val="9"/>
            <color indexed="81"/>
            <rFont val="Tahoma"/>
            <family val="2"/>
          </rPr>
          <t>Insight iXlW00003C0000096R0841462809S00000478P00516LAocjBAQBF1NjaVRlZ2ljLmRhdGEuTW9sZWN1bGUBbQF/ARJTY2lUZWdpYy5Nb2xlY3VsZQAAAQFkAv5qAQAAAAIAAhgYAAAA/AgA/AACAAAAAAAA8L8CxNMrZRni4D8CwqikTkAT5T8AAAAAHAAAAPwIAPwAAgAAAAAAAPC/As3MzMzMzOy/AsKopE5AE+U/AAAAABwAAAD8CAD8AAIAAAAAAADwvwIIPZtVn6vvPwKFfNCzWfXlvwAAAAAYAAAA/AQA/AACAAAAAAAA8L8Co5I6AU2E9T8CvsEXJlMF/T8AAAAAGAAAAPwIAPwAAgAAAAAAAPC/AqOSOgFNhPW/Am40gLdAgua/AAAAABwAAAD8CAD8AAIAAAAAAADwvwJvEoPAyqHFvwJPQBNhw9P4vwAAAAAYAAQEAAQEAAAAAAgICAQEAAAAAAwEAAAAAAAABBAICAQEAAAACBQEAAQEAAAAEBQEAAQEAAAAAAABAAAAAAAAAAAAAAAAAAAAAAAAAAAA</t>
        </r>
      </text>
    </comment>
    <comment ref="C97" authorId="0">
      <text>
        <r>
          <rPr>
            <sz val="9"/>
            <color indexed="81"/>
            <rFont val="Tahoma"/>
            <family val="2"/>
          </rPr>
          <t>Insight iXlW00003C0000097R0841462809S00000479P00716LAocjBAQBF1NjaVRlZ2ljLmRhdGEuTW9sZWN1bGUBbQF/ARJTY2lUZWdpYy5Nb2xlY3VsZQAAAQFkAv5qAQAAAAIAAiQYAAAA/AgA/AACAAAAAAAA8L8Cx7q4jQbwpr8CWFuxv+ye5r8AAAAAGAAAAPwIAPwAAgAAAAAAAPC/Ase6uI0G8Ka/Alhbsb/snuY/AAAAABgAAAD8CAD8AAIAAAAAAADwvwLjx5i7lpD2vwJdbcX+snvyvwAAAAAYAAAA/AgA/AACAAAAAAAA8L8Ct9EA3gIJ8z8CwcqhRbbz9r8AAAAAIAAAAPwIAPwAAgAAAAAAAPC/AuPHmLuWkPa/Al1txf6ye/I/AAAAABgAAAD8CAD8AAIAAAAAAADwvwK30QDeAgnzPwLByqFFtvP2PwAAAAAcAAAA/AgA/AACAAAAAAAA8L8CfIMvTKYKAsAAAAAAABgAAAD8CAD8AAIAAAAAAADwvwLiWBe30YADQAJYW7G/7J7mvwAAAAAYAAAA/AgA/AACAAAAAAAA8L8C4lgXt9GAA0ACWFuxv+ye5j8AAAAAKAAECAgEBAAAAAAIBAAEBAAAAAAMBAAEBAAAAAQQBAAEBAAAAAQUBAAEBAAAAAgYCAgEBAAAAAwcCAgEBAAAABQgCAgEBAAAABAYBAAEBAAAABwgBAAEBAAAAAAAAQAAAAAAAAAAAAAAAAAAAAAAAAAAAA==</t>
        </r>
      </text>
    </comment>
    <comment ref="C98" authorId="0">
      <text>
        <r>
          <rPr>
            <sz val="9"/>
            <color indexed="81"/>
            <rFont val="Tahoma"/>
            <family val="2"/>
          </rPr>
          <t>Insight iXlW00003C0000098R0841462809S00000480P00520LAocjBAQBF1NjaVRlZ2ljLmRhdGEuTW9sZWN1bGUBbQF/ARJTY2lUZWdpYy5Nb2xlY3VsZQAAAQFkAv5qAQAAAAIAAhgYAAAA/AgA/AACAAAAAAAA8L8CmG4Sg8DK3T8C2xt8YTJVwD8AAAAAGAAAAPwIAPwAAgAAAAAAAPC/AlAeFmpN89a/AlFrmnecovQ/AAAAAAEQAAAA/AQA/AACAAAAAAAA8L8CUB4Wak3z1r8C4umVsgxx8L8AAAAAGAAAAPwEAPwAAgAAAAAAAPC/AuPHmLuWkP4/AtsbfGEyVcA/AAAAABwAAAD8CAD8AAIAAAAAAADwvwIVHcnlP6T7vwIwTKYKRiXrPwAAAAAYAAAA/AgA/AACAAAAAAAA8L8CFR3J5T+k+78CWoY41sVt4r8AAAAAGAAECAgEBAAAAAAIBAAEBAAAAAAMBAAAAAAAAAQQBAAEBAAAAAgUBAAEBAAAABAUCAgEBAAAAAAAAQAAAAAAAAAAAAAAAAAAAAAAAAAAAA==</t>
        </r>
      </text>
    </comment>
    <comment ref="C99" authorId="0">
      <text>
        <r>
          <rPr>
            <sz val="9"/>
            <color indexed="81"/>
            <rFont val="Tahoma"/>
            <family val="2"/>
          </rPr>
          <t>Insight iXlW00003C0000099R0841462809S00000481P00520LAocjBAQBF1NjaVRlZ2ljLmRhdGEuTW9sZWN1bGUBbQF/ARJTY2lUZWdpYy5Nb2xlY3VsZQAAAQFkAv5qAQAAAAIAAhgYAAAA/AgA/AACAAAAAAAA8L8Ca7x0kxgE3j8Cf/s6cM6Isr8AAAAAGAAAAPwIAPwAAgAAAAAAAPC/Am40gLdAgta/AgYSFD/G3PO/AAAAABwAAAD8CAD8AAIAAAAAAADwvwJuNIC3QILWvwItQxzr4jbxPwAAAAAYAAAA/AQA/AACAAAAAAAA8L8C48eYu5aQ/j8Cf/s6cM6Isr8AAAAAARAAAAD8BAD8AAIAAAAAAADwvwIVHcnlP6T7vwKppE5AE2HpvwAAAAAYAAAA/AgA/AACAAAAAAAA8L8CFR3J5T+k+78CDeAtkKD44z8AAAAAGAAECAgEBAAAAAAIBAAEBAAAAAAMBAAAAAAAAAQQBAAEBAAAAAgUCAgEBAAAABAUBAAEBAAAAAAAAQAAAAAAAAAAAAAAAAAAAAAAAAAAAA==</t>
        </r>
      </text>
    </comment>
    <comment ref="C100" authorId="0">
      <text>
        <r>
          <rPr>
            <sz val="9"/>
            <color indexed="81"/>
            <rFont val="Tahoma"/>
            <family val="2"/>
          </rPr>
          <t>Insight iXlW00003C0000100R0841462809S00000482P00496LAocjBAQBF1NjaVRlZ2ljLmRhdGEuTW9sZWN1bGUBbQF/ARJTY2lUZWdpYy5Nb2xlY3VsZQAAAQFkAv5qAQAAAAIAAhgYAAAA/AgA/AACAAAAAAAA8L8CelioNc073j8AAAAAABgAAAD8CAD8AAIAAAAAAADwvwJBguLHmLvWvwJdbcX+snvyvwAAAAAYAAAA/AgA/AACAAAAAAAA8L8CQYLix5i71r8CXW3F/rJ78j8AAAAAGAAAAPwEAPwAAgAAAAAAAPC/Alhbsb/snv4/AAAAAAAcAAAA/AgA/AACAAAAAAAA8L8CGQRWDi2y+78CWFuxv+ye5r8AAAAAHAAAAPwIAPwAAgAAAAAAAPC/AhkEVg4tsvu/Alhbsb/snuY/AAAAABgABAQABAQAAAAACAgIBAQAAAAADAQAAAAAAAAEEAgIBAQAAAAIFAQABAQAAAAQFAQABAQAAAAAAAEAAAAAAAAAAAAAAAAAAAAAAAAAAAA=</t>
        </r>
      </text>
    </comment>
    <comment ref="C101" authorId="0">
      <text>
        <r>
          <rPr>
            <sz val="9"/>
            <color indexed="81"/>
            <rFont val="Tahoma"/>
            <family val="2"/>
          </rPr>
          <t>Insight iXlW00003C0000101R0841462809S00000483P00516LAocjBAQBF1NjaVRlZ2ljLmRhdGEuTW9sZWN1bGUBbQF/ARJTY2lUZWdpYy5Nb2xlY3VsZQAAAQFkAv5qAQAAAAIAAhgYAAAA/AgA/AACAAAAAAAA8L8CelioNc073j8CLpCg+DHmvj8AAAAAGAAAAPwIAPwAAgAAAAAAAPC/AkGC4seYu9a/AlFrmnecovQ/AAAAABwAAAD8CAD8AAIAAAAAAADwvwJBguLHmLvWvwLi6ZWyDHHwvwAAAAAYAAAA/AQA/AACAAAAAAAA8L8C48eYu5aQ/j8CLpCg+DHmvj8AAAAAGAAAAPwIAPwAAgAAAAAAAPC/AhUdyeU/pPu/Aj9XW7G/7Oo/AAAAABwAAAD8CAD8AAIAAAAAAADwvwIVHcnlP6T7vwJhVFInoInivwAAAAAYAAQEAAQEAAAAAAgICAQEAAAAAAwEAAAAAAAABBAICAQEAAAACBQEAAQEAAAAEBQEAAQEAAAAAAABAAAAAAAAAAAAAAAAAAAAAAAAAAAA</t>
        </r>
      </text>
    </comment>
    <comment ref="C102" authorId="0">
      <text>
        <r>
          <rPr>
            <sz val="9"/>
            <color indexed="81"/>
            <rFont val="Tahoma"/>
            <family val="2"/>
          </rPr>
          <t>Insight iXlW00003C0000102R0841462809S00000484P00516LAocjBAQBF1NjaVRlZ2ljLmRhdGEuTW9sZWN1bGUBbQF/ARJTY2lUZWdpYy5Nb2xlY3VsZQAAAQFkAv5qAQAAAAIAAhgcAAAA/AgA/AACAAAAAAAA8L8CescpOpLLr78C18VtNIC32L8AAAAAGAAAAPwIAPwAAgAAAAAAAPC/AiQofoy5a/O/Ak7zjlN0JNs/AAAAABwAAAD8CAD8AAIAAAAAAADwvwIW+8vuycPxPwKJ0t7gC5PdPwAAAAAYAAAA/AQA/AACAAAAAAAA8L8CescpOpLLr78CRkdy+Q/p/L8AAAAAGAAAAPwIAPwAAgAAAAAAAPC/Ase6uI0G8Oi/AkZHcvkP6fw/AAAAABgAAAD8CAD8AAIAAAAAAADwvwKNuWsJ+aDlPwJGR3L5D+n8PwAAAAAYAAQEAAQEAAAAAAgEAAQEAAAAAAwEAAAAAAAABBAICAQEAAAACBQICAQEAAAAEBQEAAQEAAAAAAABAAAAAAAAAAAAAAAAAAAAAAAAAAAA</t>
        </r>
      </text>
    </comment>
    <comment ref="C103" authorId="0">
      <text>
        <r>
          <rPr>
            <sz val="9"/>
            <color indexed="81"/>
            <rFont val="Tahoma"/>
            <family val="2"/>
          </rPr>
          <t>Insight iXlW00003C0000103R0841462809S00000485P00584LAocjBAQBF1NjaVRlZ2ljLmRhdGEuTW9sZWN1bGUBbQF/ARJTY2lUZWdpYy5Nb2xlY3VsZQAAAQFkAv5qAQAAAAIAAhwYAAAA/AgA/AACAAAAAAAA8L8CrYvbaABv0T8C9rnaiv1lxz8AAAAAGAAAAPwIAPwAAgAAAAAAAPC/AiFB8WPMXcu/Ampv8IXJVPg/AAAAABwAAAD8CAD8AAIAAAAAAADwvwLkFB3J5T/svwJuowG8BRLmvwAAAAAYAAAA/AQA/AACAAAAAAAA8L8CTmIQWDm0+j8CbxKDwMqhxb8AAAAAGAAAAPwIAPwAAgAAAAAAAPC/AgfwFkhQ/Pm/Ampv8IXJVPg/AAAAABgAAAD8CAD8AAIAAAAAAADwvwLi6ZWyDHEAwAJcsb/snjy8PwAAAAAYAAAA/AQA/AACAAAAAAAA8L8C4umVsgxxAEACam/whclU+L8AAAAAHAAECAgEBAAAAAAIBAAEBAAAAAAMBAAAAAAAAAQQBAAEBAAAAAgUBAAEBAAAAAwYBAAAAAAAABAUCAgEBAAAAAAAAQAAAAAAAAAAAAAAAAAAAAAAAAAAAA==</t>
        </r>
      </text>
    </comment>
    <comment ref="C104" authorId="0">
      <text>
        <r>
          <rPr>
            <sz val="9"/>
            <color indexed="81"/>
            <rFont val="Tahoma"/>
            <family val="2"/>
          </rPr>
          <t>Insight iXlW00003C0000104R0841462809S00000486P00572LAocjBAQBF1NjaVRlZ2ljLmRhdGEuTW9sZWN1bGUBbQF/ARJTY2lUZWdpYy5Nb2xlY3VsZQAAAQFkAv5qAQAAAAIAAhwYAAAA/AgA/AACAAAAAAAA8L8CYVRSJ6CJ8r8CyXa+nxovxT8AAAAAHAAAAPwIAPwAAgAAAAAAAPC/AAL129eBc0bwPwAAAAAYAAAA/AgA/AACAAAAAAAA8L8CXynLEMe65r8CQz7o2az68r8AAAAAGAAAAPwEAPwAAgAAAAAAAPC/AvH0SlmGOATAAhUdyeU/pOM/AAAAABgAAAD8CAD8AAIAAAAAAADwvwJhVFInoInyPwLJdr6fGi/FPwAAAAAYAAAA/AgA/AACAAAAAAAA8L8CXynLEMe65j8CQz7o2az68r8AAAAAGAAAAPwEAPwAAgAAAAAAAPC/AvH0SlmGOARAAhUdyeU/pOM/AAAAABwABAQABAQAAAAACAgIBAQAAAAADAQAAAAAAAAEEAQABAQAAAAIFAQABAQAAAAQGAQAAAAAAAAQFAgIBAQAAAAAAAEAAAAAAAAAAAAAAAAAAAAAAAAAAAA=</t>
        </r>
      </text>
    </comment>
    <comment ref="C105" authorId="0">
      <text>
        <r>
          <rPr>
            <sz val="9"/>
            <color indexed="81"/>
            <rFont val="Tahoma"/>
            <family val="2"/>
          </rPr>
          <t>Insight iXlW00003C0000105R0841462809S00000487P00716LAocjBAQBF1NjaVRlZ2ljLmRhdGEuTW9sZWN1bGUBbQF/ARJTY2lUZWdpYy5Nb2xlY3VsZQAAAQFkAv5qAQAAAAIAAiQYAAAA/AgA/AACAAAAAAAA8L8C2xt8YTJVwL8CWFuxv+ye5r8AAAAAGAAAAPwIAPwAAgAAAAAAAPC/AtsbfGEyVcC/Alhbsb/snuY/AAAAABgAAAD8CAD8AAIAAAAAAADwvwIAAAAAAAD4vwLo2az6XG3yvwAAAAAYAAAA/AgA/AACAAAAAAAA8L8ClrIMcayL8T8CxbEubqMB978AAAAAHAAAAPwIAPwAAgAAAAAAAPC/AgAAAAAAAPi/AujZrPpcbfI/AAAAABgAAAD8CAD8AAIAAAAAAADwvwKWsgxxrIvxPwLFsS5uowH3PwAAAAAYAAAA/AgA/AACAAAAAAAA8L8CDJOpglHJAsAAAAAAABgAAAD8CAD8AAIAAAAAAADwvwIMk6mCUckCQAJYW7G/7J7mvwAAAAAYAAAA/AgA/AACAAAAAAAA8L8CDJOpglHJAkACWFuxv+ye5j8AAAAAKAAECAgEBAAAAAAIBAAEBAAAAAAMBAAEBAAAAAQQBAAEBAAAAAQUBAAEBAAAAAgYCAgEBAAAAAwcCAgEBAAAABQgCAgEBAAAABAYBAAEBAAAABwgBAAEBAAAAAAAAQAAAAAAAAAAAAAAAAAAAAAAAAAAAA==</t>
        </r>
      </text>
    </comment>
    <comment ref="C106" authorId="0">
      <text>
        <r>
          <rPr>
            <sz val="9"/>
            <color indexed="81"/>
            <rFont val="Tahoma"/>
            <family val="2"/>
          </rPr>
          <t>Insight iXlW00003C0000106R0841462809S00000488P00516LAocjBAQBF1NjaVRlZ2ljLmRhdGEuTW9sZWN1bGUBbQF/ARJTY2lUZWdpYy5Nb2xlY3VsZQAAAQFkAv5qAQAAAAIAAhgYAAAA/AgA/AACAAAAAAAA8L8CTaYKRiV13j8CXynLEMe6qD8AAAAAHAAAAPwIAPwAAgAAAAAAAPC/AiNseHqlLNe/Ahb7y+7Jw/G/AAAAABwAAAD8CAD8AAIAAAAAAADwvwIjbHh6pSzXvwKsrdhfdk/zPwAAAAAYAAAA/AQA/AACAAAAAAAA8L8C48eYu5aQ/j8CXynLEMe6qD8AAAAAHAAAAPwIAPwAAgAAAAAAAPC/AhUdyeU/pPu/ApzEILByaOW/AAAAABwAAAD8CAD8AAIAAAAAAADwvwIVHcnlP6T7vwLeAgmKH2PoPwAAAAAYAAQEAAQEAAAAAAgICAQEAAAAAAwEAAAAAAAABBAEAAQEAAAACBQEAAQEAAAAEBQICAQEAAAAAAABAAAAAAAAAAAAAAAAAAAAAAAAAAAA</t>
        </r>
      </text>
    </comment>
    <comment ref="C107" authorId="0">
      <text>
        <r>
          <rPr>
            <sz val="9"/>
            <color indexed="81"/>
            <rFont val="Tahoma"/>
            <family val="2"/>
          </rPr>
          <t>Insight iXlW00003C0000107R0841462809S00000489P01052LAocjBAQBF1NjaVRlZ2ljLmRhdGEuTW9sZWN1bGUBbQF/ARJTY2lUZWdpYy5Nb2xlY3VsZQAAAQFkAv5qAQAAAAIAAjgcAAAA/AgA/AACAAAAAAAA8L8Cpb3BFyZT8T8CMzMzMzMz478AAAAAGAAAAPwIAPwAAgAAAAAAAPC/ArwFEhQ/xtC/AqvP1VbsL+W/AAAAABgAAAD8CAD8AAIAAAAAAADwvwInMQisHFr9PwL4wmSqYFTgPwAAAAAcAAAA/AgA/AACAAAAAAAA8L8CTDeJQWDl/j8CTmIQWDm0+r8AAAAAGAAAAPwIAPwAAgAAAAAAAPC/AtUJaCJseOy/Agkbnl4py/2/AAAAABgAAAD8CAD8AAIAAAAAAADwvwIfFmpN847vvwJNpgpGJXXePwAAAAAYAAAA/AgA/AACAAAAAAAA8L8Cr7Zif9k9CUACJZf/kH77wj8AAAAAHAAAAPwEAPwAAgAAAAAAAPC/ApSHhVrTvPU/AlVSJ6CJsPw/AAAAABgAAAD8CAD8AAIAAAAAAADwvwLWVuwvu6cJQAIzMzMzMzPzvwAAAAAYAAAA/AgA/AACAAAAAAAA8L8CfIMvTKYKAsAC1LzjFB3J/r8AAAAAGAAAAPwIAPwAAgAAAAAAAPC/Ao4G8BZI0ALAAl1txf6ye9o/AAAAABgAAAD8BAD8AAIAAAAAAADwvwKppE5AE2ERQAK1pnnHKTr/vwAAAAAYAAAA/AgA/AACAAAAAAAA8L8CiIVa07zjB8ACz/dT46Wb6L8AAAAAGAAAAPwEAPwAAgAAAAAAAPC/AqmkTkATYRHAAmU730+Nl+q/AAAAADwABAQAAAAAAAAACAQABAQAAAAADAQABAQAAAAEEAQABAQAAAAEFAgMBAQAAAAIGAgIBAQAAAAIHAQAAAAAAAAMIAgMBAQAAAAQJAgIBAQAAAAUKAQABAQAAAAgLAQAAAAAAAAkMAQABAQAAAAwNAQAAAAAAAAYIAQABAQAAAAoMAgIBAQAAAAAAAEAAAAAAAAAAAAAAAAAAAAAAAAAAAA=</t>
        </r>
      </text>
    </comment>
    <comment ref="C108" authorId="0">
      <text>
        <r>
          <rPr>
            <sz val="9"/>
            <color indexed="81"/>
            <rFont val="Tahoma"/>
            <family val="2"/>
          </rPr>
          <t>Insight iXlW00003C0000108R0841462809S00000490P00560LAocjBAQBF1NjaVRlZ2ljLmRhdGEuTW9sZWN1bGUBbQF/ARJTY2lUZWdpYy5Nb2xlY3VsZQAAAQFkAv5qAQAAAAIAAhwYAAAA/AgA/AACAAAAAAAA8L8CXynLEMe65r8CUdobfGEypT8AAAAAGAAAAPwIAPwAAgAAAAAAAPC/AAK7uI0G8BbzvwAAAAAcAAAA/AgA/AACAAAAAAAA8L8AAtzXgXNGlPQ/AAAAABgAAAD8BAD8AAIAAAAAAADwvwL0bFZ9rjYBwAJR2ht8YTKlPwAAAAAcAAAA/AgA/AACAAAAAAAA8L8CTDeJQWDl9j8Cu7iNBvAW878AAAAAGAAAAPwIAPwAAgAAAAAAAPC/Akw3iUFg5fY/AtzXgXNGlPQ/AAAAABgAAAD8CAD8AAIAAAAAAADwvwL0bFZ9rjYBQAJR2ht8YTKlPwAAAAAcAAQEAAQEAAAAAAgICAQEAAAAAAwEAAAAAAAABBAICAQEAAAACBQEAAQEAAAAEBgEAAQEAAAAFBgICAQEAAAAAAABAAAAAAAAAAAAAAAAAAAAAAAAAAAA</t>
        </r>
      </text>
    </comment>
    <comment ref="C109" authorId="0">
      <text>
        <r>
          <rPr>
            <sz val="9"/>
            <color indexed="81"/>
            <rFont val="Tahoma"/>
            <family val="2"/>
          </rPr>
          <t>Insight iXlW00003C0000109R0841462809S00000491P00584LAocjBAQBF1NjaVRlZ2ljLmRhdGEuTW9sZWN1bGUBbQF/ARJTY2lUZWdpYy5Nb2xlY3VsZQAAAQFkAv5qAQAAAAIAAhwYAAAA/AgA/AACAAAAAAAA8L8CoWez6nO16T8C2xt8YTJVwD8AAAAAGAAAAPwIAPwAAgAAAAAAAPC/AlHaG3xhMrU/AoV80LNZ9fU/AAAAABgAAAD8CAD8AAIAAAAAAADwvwJR2ht8YTK1PwIW+8vuycPxvwAAAAAYAAAA/AQA/AACAAAAAAAA8L8ChXzQs1n1AUAC2xt8YTJVwD8AAAAAGAAAAPwIAPwAAgAAAAAAAPC/AqCrrdhfdvW/AoV80LNZ9fU/AAAAABwAAAD8CAD8AAIAAAAAAADwvwKgq63YX3b1vwIW+8vuycPxvwAAAAAcAAAA/AgA/AACAAAAAAAA8L8CHqfoSC5/AMAC2xt8YTJVwD8AAAAAHAAEBAAEBAAAAAAICAgEBAAAAAAMBAAAAAAAAAQQCAgEBAAAAAgUBAAEBAAAABAYBAAEBAAAABQYCAgEBAAAAAAAAQAAAAAAAAAAAAAAAAAAAAAAAAAAAA==</t>
        </r>
      </text>
    </comment>
    <comment ref="C110" authorId="0">
      <text>
        <r>
          <rPr>
            <sz val="9"/>
            <color indexed="81"/>
            <rFont val="Tahoma"/>
            <family val="2"/>
          </rPr>
          <t>Insight iXlW00003C0000110R0841462809S00000492P00648LAocjBAQBF1NjaVRlZ2ljLmRhdGEuTW9sZWN1bGUBbQF/ARJTY2lUZWdpYy5Nb2xlY3VsZQAAAQFkAv5qAQAAAAIAAiAYAAAA/AgA/AACAAAAAAAA8L8CSFD8GHPX9j8CBqOSOgFNtL8AAAAAGAAAAPwIAPwAAgAAAAAAAPC/Alhbsb/snuY/AjY8vVKWIfW/AAAAABgAAAD8CAD8AAIAAAAAAADwvwJYW7G/7J7mPwJdbcX+snvyPwAAAAAYAAAA/AQA/AACAAAAAAAA8L8Cf/s6cM4IB0ACBqOSOgFNtL8AAAAAGAAAAPwIAPwAAgAAAAAAAPC/Alhbsb/snua/AjY8vVKWIfW/AAAAABwAAAD8CAD8AAIAAAAAAADwvwJYW7G/7J7mvwJdbcX+snvyPwAAAAAYAAAA/AgA/AACAAAAAAAA8L8CSFD8GHPX9r8CBqOSOgFNtL8AAAAAGAAAAPwEAPwAAgAAAAAAAPC/An/7OnDOCAfAAgajkjoBTbS/AAAAACAABAQABAQAAAAACAgIBAQAAAAADAQAAAAAAAAEEAgIBAQAAAAIFAQABAQAAAAQGAQABAQAAAAYHAQAAAAAAAAUGAgIBAQAAAAAAAEAAAAAAAAAAAAAAAAAAAAAAAAAAAA=</t>
        </r>
      </text>
    </comment>
    <comment ref="C111" authorId="0">
      <text>
        <r>
          <rPr>
            <sz val="9"/>
            <color indexed="81"/>
            <rFont val="Tahoma"/>
            <family val="2"/>
          </rPr>
          <t>Insight iXlW00003C0000111R0841462809S00000493P00792LAocjBAQBF1NjaVRlZ2ljLmRhdGEuTW9sZWN1bGUBbQF/ARJTY2lUZWdpYy5Nb2xlY3VsZQAAAQFkAv5qAQAAAAIAAigYAAAA/AgA/AACAAAAAAAA8L8CBOeMKO0N8L8CWFuxv+ye5j8AAAAAGAAAAPwIAPwAAgAAAAAAAPC/Ahsv3SQGgee/Al+YTBWMSua/AAAAABwAAAD8CAD8AAIAAAAAAADwvwKmm8QgsHIDwALc14FzRpTsPwAAAAAYAAAA/AgA/AACAAAAAAAA8L8Cf/s6cM6Isj8C+ORhodY0+j8AAAAAGAAAAPwIAPwAAgAAAAAAAPC/AjsBTYQNT+M/AlJJnYAmwvK/AAAAABwAAAD8CAD8AAIAAAAAAADwvwKCc0aU9gYAwAL6D+m3rwP2vwAAAAAYAAAA/AgA/AACAAAAAAAA8L8C4umVsgxxCMACqhPQRNjw2L8AAAAAGAAAAPwIAPwAAgAAAAAAAPC/Akw3iUFg5fY/Al1txf6ye/I/AAAAABgAAAD8CAD8AAIAAAAAAADwvwK7uI0G8Bb7PwIukKD4MebOvwAAAAAYAAAA/AQA/AACAAAAAAAA8L8C4umVsgxxCEACQRNhw9Mr578AAAAALAAECAwEBAAAAAAIBAAEBAAAAAAMBAAEBAAAAAQQBAAEBAAAAAQUBAAEBAAAAAgYBAAEBAAAAAwcCAgEBAAAABAgCAwEBAAAACAkBAAAAAAAABQYCAgEBAAAABwgBAAEBAAAAAAAAQAAAAAAAAAAAAAAAAAAAAAAAAAAAA==</t>
        </r>
      </text>
    </comment>
    <comment ref="C112" authorId="0">
      <text>
        <r>
          <rPr>
            <sz val="9"/>
            <color indexed="81"/>
            <rFont val="Tahoma"/>
            <family val="2"/>
          </rPr>
          <t>Insight iXlW00003C0000112R0841462809S00000494P00792LAocjBAQBF1NjaVRlZ2ljLmRhdGEuTW9sZWN1bGUBbQF/ARJTY2lUZWdpYy5Nb2xlY3VsZQAAAQFkAv5qAQAAAAIAAigYAAAA/AgA/AACAAAAAAAA8L8C9rnaiv1lxz8CAk2EDU+vzL8AAAAAGAAAAPwIAPwAAgAAAAAAAPC/Ava52or9Zcc/ApF++zpwzvM/AAAAABwAAAD8CAD8AAIAAAAAAADwvwJtVn2utmL4PwL3Bl+YTBXkvwAAAAAYAAAA/AgA/AACAAAAAAAA8L8CLUMc6+I28b8Cr7Zif9k97b8AAAAAGAAAAPwIAPwAAgAAAAAAAPC/Ai1DHOviNvG/Ahsv3SQGgf8/AAAAABwAAAD8CAD8AAIAAAAAAADwvwJtVn2utmL4PwJDPujZrPr6PwAAAAAYAAAA/AgA/AACAAAAAAAA8L8ClBgEVg6tAkAClrIMcayL4T8AAAAAGAAAAPwEAPwAAgAAAAAAAPC/Ahsv3SQGgf8/Ahsv3SQGgf+/AAAAABgAAAD8CAD8AAIAAAAAAADwvwKUGARWDq0CwAICTYQNT6/MvwAAAAAYAAAA/AgA/AACAAAAAAAA8L8ClBgEVg6tAsACkX77OnDO8z8AAAAALAAECAwEBAAAAAAIBAAEBAAAAAAMBAAEBAAAAAQQBAAEBAAAAAQUBAAEBAAAAAgYBAAEBAAAAAgcBAAAAAAAAAwgCAgEBAAAABAkCAgEBAAAABQYCAgEBAAAACAkBAAEBAAAAAAAAQAAAAAAAAAAAAAAAAAAAAAAAAAAAA==</t>
        </r>
      </text>
    </comment>
    <comment ref="C113" authorId="0">
      <text>
        <r>
          <rPr>
            <sz val="9"/>
            <color indexed="81"/>
            <rFont val="Tahoma"/>
            <family val="2"/>
          </rPr>
          <t>Insight iXlW00003C0000113R0841462809S00000495P00792LAocjBAQBF1NjaVRlZ2ljLmRhdGEuTW9sZWN1bGUBbQF/ARJTY2lUZWdpYy5Nb2xlY3VsZQAAAQFkAv5qAQAAAAIAAigYAAAA/AgA/AACAAAAAAAA8L8CxY8xdy0h7b8CWFuxv+ye5j8AAAAAGAAAAPwIAPwAAgAAAAAAAPC/AsnlP6TfvuS/Al+YTBWMSua/AAAAABwAAAD8CAD8AAIAAAAAAADwvwKUGARWDq0CwALc14FzRpTsPwAAAAAYAAAA/AgA/AACAAAAAAAA8L8CbxKDwMqhxT8C+ORhodY0+j8AAAAAGAAAAPwIAPwAAgAAAAAAAPC/AnZxGw3gLeY/AlJJnYAmwvK/AAAAABwAAAD8CAD8AAIAAAAAAADwvwJbQj7o2az+vwL6D+m3rwP2vwAAAAAcAAAA/AgA/AACAAAAAAAA8L8Cl5APejarB8ACqhPQRNjw2L8AAAAAGAAAAPwIAPwAAgAAAAAAAPC/AubQItv5fvg/AujZrPpcbfI/AAAAABgAAAD8CAD8AAIAAAAAAADwvwJRa5p3nKL8PwIukKD4MebOvwAAAAAYAAAA/AQA/AACAAAAAAAA8L8CNjy9UpYhCUACQRNhw9Mr578AAAAALAAECAwEBAAAAAAIBAAEBAAAAAAMBAAEBAAAAAQQBAAEBAAAAAQUBAAEBAAAAAgYBAAEBAAAAAwcCAgEBAAAABAgCAwEBAAAACAkBAAAAAAAABQYCAgEBAAAABwgBAAEBAAAAAAAAQAAAAAAAAAAAAAAAAAAAAAAAAAAAA==</t>
        </r>
      </text>
    </comment>
    <comment ref="C114" authorId="0">
      <text>
        <r>
          <rPr>
            <sz val="9"/>
            <color indexed="81"/>
            <rFont val="Tahoma"/>
            <family val="2"/>
          </rPr>
          <t>Insight iXlW00003C0000114R0841462809S00000496P00920LAocjBAQBF1NjaVRlZ2ljLmRhdGEuTW9sZWN1bGUBbQF/ARJTY2lUZWdpYy5Nb2xlY3VsZQAAAQFkAv5qAQAAAAIAAjAYAAAA/AgA/AACAAAAAAAA8L8C8fRKWYY48D8CE/JBz2bV5z8AAAAAGAAAAPwIAPwAAgAAAAAAAPC/AvH0SlmGOPA/An6utmJ/2eW/AAAAABwAAAD8CAD8AAIAAAAAAADwvwK62or9ZffUvwK7uI0G8BbzPwAAAAAYAAAA/AgA/AACAAAAAAAA8L8COrTIdr4fAkACppvEILBy9z8AAAAAHAAAAPwIAPwAAgAAAAAAAPC/Arraiv1l99S/AgMJih9j7vG/AAAAABgAAAD8CAD8AAIAAAAAAADwvwI6tMh2vh8CQALrBDQRNjz2vwAAAAAYAAAA/AgA/AACAAAAAAAA8L8CysNCrWne8r8CPZtVn6utmD8AAAAAGAAAAPwIAPwAAgAAAAAAAPC/Avvt68A5IwxAAhPyQc9m1ec/AAAAABgAAAD8CAD8AAIAAAAAAADwvwL77evAOSMMQAJ+rrZif9nlvwAAAAAYAAAA/AgA/AACAAAAAAAA8L8CRkdy+Q/pBMACPZtVn6utmD8AAAAAHAAAAPwIAPwAAgAAAAAAAPC/ApQYBFYOrQrAAjcawFsgQfO/AAAAABwAAAD8CAD8AAIAAAAAAADwvwKUGARWDq0KwAJkXdxGA3j0PwAAAAA0AAQICAQEAAAAAAgEAAQEAAAAAAwEAAQEAAAABBAEAAQEAAAABBQEAAQEAAAACBgEAAQEAAAADBwICAQEAAAAFCAICAQEAAAAGCQEAAAAAAAAJCgEAAAAAAAAJCwIAAAAAAAAEBgICAQEAAAAHCAEAAQEAAAAAAABAAAAAAAAAAAAAAAAAAAAAAAAAAAA</t>
        </r>
      </text>
    </comment>
    <comment ref="C115" authorId="0">
      <text>
        <r>
          <rPr>
            <sz val="9"/>
            <color indexed="81"/>
            <rFont val="Tahoma"/>
            <family val="2"/>
          </rPr>
          <t>Insight iXlW00003C0000115R0841462809S00000497P00856LAocjBAQBF1NjaVRlZ2ljLmRhdGEuTW9sZWN1bGUBbQF/ARJTY2lUZWdpYy5Nb2xlY3VsZQAAAQFkAv5qAQAAAAIAAiwYAAAA/AgA/AACAAAAAAAA8L8Cak3zjlN07r8CjErqBDQRtj8AAAAAGAAAAPwIAPwAAgAAAAAAAPC/AnpYqDXNO94/AoxK6gQ0EbY/AAAAABgAAAD8CAD8AAIAAAAAAADwvwLNzMzMzMz8vwJ+jLlrCfnzPwAAAAAcAAAA/AgA/AACAAAAAAAA8L8CzczMzMzM/L8CtMh2vp8a8b8AAAAAGAAAAPwIAPwAAgAAAAAAAPC/Aru4jQbwFvM/Amx4eqUsQ/K/AAAAABgAAAD8CAD8AAIAAAAAAADwvwK7uI0G8BbzPwKyne+nxkv1PwAAAAAcAAAA/AgA/AACAAAAAAAA8L8CJzEIrBxaCcACmpmZmZmZ6T8AAAAAGAAAAPwIAPwAAgAAAAAAAPC/AicxCKwcWgnAAgYSFD/G3OO/AAAAABgAAAD8CAD8AAIAAAAAAADwvwL6fmq8dBMFQAJseHqlLEPyvwAAAAAYAAAA/AgA/AACAAAAAAAA8L8C+n5qvHQTBUACsp3vp8ZL9T8AAAAAGAAAAPwIAPwAAgAAAAAAAPC/Ao4G8BZI0ApAAoxK6gQ0EbY/AAAAADAABAQAAAAAAAAACAgMBAQAAAAADAQABAQAAAAEEAgMBAQAAAAEFAQABAQAAAAIGAQABAQAAAAMHAgIBAQAAAAQIAQABAQAAAAUJAgIBAQAAAAgKAgIBAQAAAAYHAQABAQAAAAkKAQABAQAAAAAAAEAAAAAAAAAAAAAAAAAAAAAAAAAAAA=</t>
        </r>
      </text>
    </comment>
    <comment ref="C116" authorId="0">
      <text>
        <r>
          <rPr>
            <sz val="9"/>
            <color indexed="81"/>
            <rFont val="Tahoma"/>
            <family val="2"/>
          </rPr>
          <t>Insight iXlW00003C0000116R0841462809S00000498P00792LAocjBAQBF1NjaVRlZ2ljLmRhdGEuTW9sZWN1bGUBbQF/ARJTY2lUZWdpYy5Nb2xlY3VsZQAAAQFkAv5qAQAAAAIAAigYAAAA/AgA/AACAAAAAAAA8L8CaZHtfD814j8CWmQ730+N8L8AAAAAGAAAAPwIAPwAAgAAAAAAAPC/AqmkTkATYem/AjtwzojS3uK/AAAAABwAAAD8CAD8AAIAAAAAAADwvwJpke18PzXiPwLTTWIQWLkDwAAAAAAYAAAA/AgA/AACAAAAAAAA8L8C9P3UeOkm+j8CyzLEsS5us78AAAAAGAAAAPwIAPwAAgAAAAAAAPC/Ah44Z0Rpb/G/ApJc/kP67ek/AAAAABgAAAD8CAD8AAIAAAAAAADwvwL0/dR46Sb6vwJ/jLlrCfn7vwAAAAAcAAAA/AgA/AACAAAAAAAA8L8CqaROQBNh6b8CcPCFyVRBB8AAAAAAGAAAAPwIAPwAAgAAAAAAAPC/AicxCKwcWvU/Aq+2Yn/ZPfU/AAAAABgAAAD8CAD8AAIAAAAAAADwvwI9m1Wfq62YvwLo+6nx0k38PwAAAAAYAAAA/AQA/AACAAAAAAAA8L8C54wo7Q2+1L8CJzEIrBxaCUAAAAAALAAEBAAEBAAAAAAIBAAEBAAAAAAMCAgEBAAAAAQQCAgEBAAAAAQUBAAEBAAAAAgYBAAEBAAAAAwcBAAEBAAAABAgBAAEBAAAACAkBAAAAAAAABQYCAgEBAAAABwgCAgEBAAAAAAAAQAAAAAAAAAAAAAAAAAAAAAAAAAAAA==</t>
        </r>
      </text>
    </comment>
    <comment ref="C117" authorId="0">
      <text>
        <r>
          <rPr>
            <sz val="9"/>
            <color indexed="81"/>
            <rFont val="Tahoma"/>
            <family val="2"/>
          </rPr>
          <t>Insight iXlW00003C0000117R0841462809S00000499P01040LAocjBAQBF1NjaVRlZ2ljLmRhdGEuTW9sZWN1bGUBbQF/ARJTY2lUZWdpYy5Nb2xlY3VsZQAAAQFkAv5qAQAAAAIAAjgYAAAA/AgA/AACAAAAAAAA8L8CJCh+jLlr+z8CWoY41sVt4r8AAAAAHAAAAPwIAPwAAgAAAAAAAPC/AnyDL0ymCto/AlJJnYAmwvK/AAAAABgAAAD8CAD8AAIAAAAAAADwvwKRoPgx5q79PwJWMCqpE9DqPwAAAAAYAAAA/AgA/AACAAAAAAAA8L8C93XgnBElB0ACW0I+6Nms9r8AAAAAGAAAAPwIAPwAAgAAAAAAAPC/AhPyQc9m1ee/AoxK6gQ0Eda/AAAAABgAAAD8CAD8AAIAAAAAAADwvwLrc7UV+0sJQALByqFFtvP2PwAAAAAYAAAA/AgA/AACAAAAAAAA8L8CDJOpglHJEEACbHh6pSxD6r8AAAAAIAAAAPwEAPwAAgAAAAAAAPC/AqYsQxzrYgDAAnKKjuTyH+6/AAAAACAAAAD8CAD8AAIAAAAAAADwvwI7AU2EDU/jvwK0yHa+nxrxPwAAAAAYAAAA/AgA/AACAAAAAAAA8L8CC0YldQJaEUACQz7o2az64j8AAAAAGAAAAPwEAPwAAgAAAAAAAPC/AouO5PIf0gnAApqZmZmZmbm/AAAAABgAAAD8BAD8AAIAAAAAAADwvwILRiV1AloRwAJtVn2utmLwvwAAAAAYAAAA/AQA/AACAAAAAAAA8L8C5fIf0m9fAsACTDeJQWDl7j8AAAAAGAAAAPwEAPwAAgAAAAAAAPC/AuSlm8Qg8BDAAtWa5h2n6Ow/AAAAADgABAQAAAAAAAAACAQABAQAAAAADAgMBAQAAAAEEAQAAAAAAAAIFAgIBAQAAAAMGAQABAQAAAAQHAQAAAAAAAAQIAgAAAAAAAAUJAQABAQAAAAcKAQAAAAAAAAoLAQAAAAAAAAoMAQAAAAAAAAoNAQAAAAAAAAYJAgIBAQAAAAAAAEAAAAAAAAAAAAAAAAAAAAAAAAAAAA=</t>
        </r>
      </text>
    </comment>
    <comment ref="C118" authorId="0">
      <text>
        <r>
          <rPr>
            <sz val="9"/>
            <color indexed="81"/>
            <rFont val="Tahoma"/>
            <family val="2"/>
          </rPr>
          <t>Insight iXlW00003C0000118R0841462809S00000500P00792LAocjBAQBF1NjaVRlZ2ljLmRhdGEuTW9sZWN1bGUBbQF/ARJTY2lUZWdpYy5Nb2xlY3VsZQAAAQFkAv5qAQAAAAIAAigYAAAA/AgA/AACAAAAAAAA8L8CotY07zhF6T8CMQisHFpk578AAAAAGAAAAPwIAPwAAgAAAAAAAPC/AqLWNO84Rek/Al8pyxDHuuY/AAAAAAEQAAAA/AQA/AACAAAAAAAA8L8Cr7Zif9k9AUACYVRSJ6CJ8r8AAAAAGAAAAPwIAPwAAgAAAAAAAPC/AvOwUGuad9y/AjlFR3L5D/e/AAAAABgAAAD8CAD8AAIAAAAAAADwvwLzsFBrmnfcvwLQ1VbsL7v2PwAAAAAYAAAA/AgA/AACAAAAAAAA8L8Cr7Zif9k9AUAC+ORhodY08j8AAAAAGAAAAPwIAPwAAgAAAAAAAPC/Ao6XbhKDwAdAAlHaG3xhMpU/AAAAABgAAAD8CAD8AAIAAAAAAADwvwI3GsBbIEH7vwIxCKwcWmTnvwAAAAAYAAAA/AgA/AACAAAAAAAA8L8CNxrAWyBB+78CXynLEMe65j8AAAAAGAAAAPwEAPwAAgAAAAAAAPC/Ao6XbhKDwAfAAjlFR3L5D/c/AAAAACwABAgMBAQAAAAACAQABAQAAAAADAQABAQAAAAEEAQABAQAAAAEFAQABAQAAAAIGAQABAQAAAAMHAgIBAQAAAAQIAgMBAQAAAAgJAQAAAAAAAAUGAgIBAQAAAAcIAQABAQAAAAAAAEAAAAAAAAAAAAAAAAAAAAAAAAAAAA=</t>
        </r>
      </text>
    </comment>
    <comment ref="C119" authorId="0">
      <text>
        <r>
          <rPr>
            <sz val="9"/>
            <color indexed="81"/>
            <rFont val="Tahoma"/>
            <family val="2"/>
          </rPr>
          <t>Insight iXlW00003C0000119R0841462809S00000501P00496LAocjBAQBF1NjaVRlZ2ljLmRhdGEuTW9sZWN1bGUBbQF/ARJTY2lUZWdpYy5Nb2xlY3VsZQAAAQFkAv5qAQAAAAIAAhgYAAAA/AgA/AACAAAAAAAA8L8CmG4Sg8DK3T8AAAAAABgAAAD8CAD8AAIAAAAAAADwvwIxCKwcWmTXvwJhVFInoInyvwAAAAAYAAAA/AgA/AACAAAAAAAA8L8CMQisHFpk178CYVRSJ6CJ8j8AAAAAGAAAAPwEAPwAAgAAAAAAAPC/Alhbsb/snv4/AAAAAAAYAAAA/AgA/AACAAAAAAAA8L8CGQRWDi2y+78CWFuxv+ye5r8AAAAAIAAAAPwIAPwAAgAAAAAAAPC/AhkEVg4tsvu/Alhbsb/snuY/AAAAABgABAQABAQAAAAACAgIBAQAAAAADAQAAAAAAAAEEAgIBAQAAAAIFAQABAQAAAAQFAQABAQAAAAAAAEAAAAAAAAAAAAAAAAAAAAAAAAAAAA=</t>
        </r>
      </text>
    </comment>
    <comment ref="C120" authorId="0">
      <text>
        <r>
          <rPr>
            <sz val="9"/>
            <color indexed="81"/>
            <rFont val="Tahoma"/>
            <family val="2"/>
          </rPr>
          <t>Insight iXlW00003C0000120R0841462809S00000502P00716LAocjBAQBF1NjaVRlZ2ljLmRhdGEuTW9sZWN1bGUBbQF/ARJTY2lUZWdpYy5Nb2xlY3VsZQAAAQFkAv5qAQAAAAIAAiQYAAAA/AgA/AACAAAAAAAA8L8C2xt8YTJVwL8CWFuxv+ye5r8AAAAAGAAAAPwIAPwAAgAAAAAAAPC/AtsbfGEyVcC/Alhbsb/snuY/AAAAABgAAAD8CAD8AAIAAAAAAADwvwIAAAAAAAD4vwLo2az6XG3yvwAAAAAYAAAA/AgA/AACAAAAAAAA8L8ClrIMcayL8T8CxbEubqMB978AAAAAIAAAAPwIAPwAAgAAAAAAAPC/AgAAAAAAAPi/AujZrPpcbfI/AAAAABgAAAD8CAD8AAIAAAAAAADwvwKWsgxxrIvxPwLFsS5uowH3PwAAAAAYAAAA/AgA/AACAAAAAAAA8L8CDJOpglHJAsAAAAAAABgAAAD8CAD8AAIAAAAAAADwvwIMk6mCUckCQAJYW7G/7J7mvwAAAAAYAAAA/AgA/AACAAAAAAAA8L8CDJOpglHJAkACWFuxv+ye5j8AAAAAKAAECAgEBAAAAAAIBAAEBAAAAAAMBAAEBAAAAAQQBAAEBAAAAAQUBAAEBAAAAAgYCAgEBAAAAAwcCAgEBAAAABQgCAgEBAAAABAYBAAEBAAAABwgBAAEBAAAAAAAAQAAAAAAAAAAAAAAAAAAAAAAAAAAAA==</t>
        </r>
      </text>
    </comment>
    <comment ref="C121" authorId="0">
      <text>
        <r>
          <rPr>
            <sz val="9"/>
            <color indexed="81"/>
            <rFont val="Tahoma"/>
            <family val="2"/>
          </rPr>
          <t>Insight iXlW00003C0000121R0841462809S00000503P01120LAocjBAQBF1NjaVRlZ2ljLmRhdGEuTW9sZWN1bGUBbQF/ARJTY2lUZWdpYy5Nb2xlY3VsZQAAAQFkAv5qAQAAAAIAAjwcAAAA/AgA/AACAAAAAAAA8L8CnRGlvcE3IkAClfYGX5hMC0AAAAAAGAAAAPwIAPwAAgAAAAAAAPC/AmpN845TdCBAAixlGeJYlwFAAAAAABwAAAD8CAD8AAIAAAAAAADwvwKdEaW9wTciQAIOT6+UZYjvPwAAAAAcAAAA/AgA/AACAAAAAAAA8L8CGQRWDi0SJUACWMoyxLEu9z8AAAAAGAAAAPwIAPwAAgAAAAAAAPC/AhkEVg4tEiVAAixlGeJYlwdAAAAAABgAAAD8CAD8AAIAAAAAAADwvwLVmuYdp+gaQAIsZRniWJcBQAAAAAAYAAAA/AQA/AACAAAAAAAA8L8CqTXNO07RAUACLGUZ4liXAUAAAAAAGAAAAPwIAPwAAgAAAAAAAPC/Aqk1zTtO0Q1AAixlGeJYlwFAAAAAABgAAAD8CAD8AAIAAAAAAADwvwLUmuYdp+gXQALrc7UV+8vsPwAAAAAYAAAA/AgA/AACAAAAAAAA8L8C1JrmHafoF0ACXW3F/rL7C0AAAAAAGAAAAPwIAPwAAgAAAAAAAPC/AtSa5h2n6BFAAl1txf6y+wtAAAAAABgAAAD8CAD8AAIAAAAAAADwvwLUmuYdp+gRQALrc7UV+8vsPwAAAAAYAAAA/AQA/AACAAAAAAAA8L8CB4GVQ4ts/T8CAAAAAAAA6D8AAAAAGAAAAPwEAPwAAgAAAAAAAPC/Aj/o2az63AJAApayDHGsiw1AAAAAABgAAAD8BAD8AAIAAAAAAADwvwIAAAAAAADoPwJbQj7o2awDQAAAAAABEAQABAAEBAAAAAgECAgEBAAAAAwQBAAEBAAAABAACAgEBAAAABQEBAAAAAAAABgcBAAAAAAAABwoBAAEBAAAACAUCAwEBAAAACQUBAAEBAAAACgkCAgEBAAAACwgBAAEBAAAADAYBAAAAAAAADQYBAAAAAAAADgYBAAAAAAAAAwIBAAEBAAAACwcCAwEBAAAAAAAAQAAAAAAAAAAAAAAAAAAAAAAAAAAAA==</t>
        </r>
      </text>
    </comment>
    <comment ref="C122" authorId="0">
      <text>
        <r>
          <rPr>
            <sz val="9"/>
            <color indexed="81"/>
            <rFont val="Tahoma"/>
            <family val="2"/>
          </rPr>
          <t>Insight iXlW00003C0000122R0841462809S00000504P00920LAocjBAQBF1NjaVRlZ2ljLmRhdGEuTW9sZWN1bGUBbQF/ARJTY2lUZWdpYy5Nb2xlY3VsZQAAAQFkAv5qAQAAAAIAAjAcAAAA/AQA/AACAAAAAAAA8L8CWmQ730+N8D8C/tR46SYx5L8AAAAAGAAAAPwIAPwAAgAAAAAAAPC/AvXb14FzRti/ApzEILByaOW/AAAAABgAAAD8BAD8AAIAAAAAAADwvwJnZmZmZmb+PwJkXdxGA3j8vwAAAAAYAAAA/AQA/AACAAAAAAAA8L8Co5I6AU2E/T8Cy6FFtvP94D8AAAAAGAAAAPwIAPwAAgAAAAAAAPC/AvT91HjpJvK/AryWkA96NuE/AAAAABgAAAD8CAD8AAIAAAAAAADwvwK0yHa+nxrxvwJJUPwYc9f+vwAAAAAYAAAA/AQA/AACAAAAAAAA8L8COrTIdr4fCkAC0bNZ9bna9L8AAAAAGAAAAPwEAPwAAgAAAAAAAPC/AouO5PIf0glAAi6QoPgx5r4/AAAAABgAAAD8CAD8AAIAAAAAAADwvwKXIY51cZsEwAIAAAAAAADgPwAAAAAgAAAA/AQA/AACAAAAAAAA8L8C87BQa5p33L8CzczMzMzM/D8AAAAAGAAAAPwIAPwAAgAAAAAAAPC/Ar4wmSoYFQTAAqabxCCwcv+/AAAAABgAAAD8CAD8AAIAAAAAAADwvwI6tMh2vh8KwAIT8kHPZtXnvwAAAAA0AAQEAAAAAAAAAAgEAAQAAAAAAAwEAAQAAAAABBAIDAQEAAAABBQEAAQEAAAACBgEAAQAAAAADBwEAAQAAAAAECAEAAQEAAAAECQEAAAAAAAAFCgICAQEAAAAICwICAQEAAAAGBwEAAQAAAAAKCwEAAQEAAAAAAABAAAAAAAAAAAAAAAAAAAAAAAAAAAA</t>
        </r>
      </text>
    </comment>
    <comment ref="C123" authorId="0">
      <text>
        <r>
          <rPr>
            <sz val="9"/>
            <color indexed="81"/>
            <rFont val="Tahoma"/>
            <family val="2"/>
          </rPr>
          <t>Insight iXlW00003C0000123R0841462809S00000505P00908LAocjBAQBF1NjaVRlZ2ljLmRhdGEuTW9sZWN1bGUBbQF/ARJTY2lUZWdpYy5Nb2xlY3VsZQAAAQFkAv5qAQAAAAIAAjAYAAAA/AgA/AACAAAAAAAA8L8CnaIjufyH+z8C4umVsgxx4L8AAAAAHAAAAPwIAPwAAgAAAAAAAPC/AmwJ+aBns9o/AgTnjCjtDfC/AAAAABgAAAD8CAD8AAIAAAAAAADwvwJnZmZmZmYGQAJYW7G/7J72vwAAAAAYAAAA/AgA/AACAAAAAAAA8L8CLiEf9GxW/z8CP1dbsb/s6j8AAAAAGAAAAPwIAPwAAgAAAAAAAPC/Atnw9EpZhuS/AuNYF7fRAL6/AAAAABgAAAD8CAD8AAIAAAAAAADwvwIFxY8xd20QQAKneccpOpLtvwAAAAAYAAAA/AgA/AACAAAAAAAA8L8CdnEbDeAtCkACOiNKe4Mv9T8AAAAAHAAAAPwIAPwAAgAAAAAAAPC/Ai4hH/RsVv+/AixlGeJYF+O/AAAAACAAAAD8CAD8AAIAAAAAAADwvwJsCfmgZ7PavwKCc0aU9gb0PwAAAAAYAAAA/AgA/AACAAAAAAAA8L8CqaROQBNhEUACAiuHFtnO2z8AAAAAGAAAAPwEAPwAAgAAAAAAAPC/AvH0SlmGOAjAAo51cRsN4NE/AAAAABgAAAD8BAD8AAIAAAAAAADwvwKppE5AE2ERwAK5jQbwFkjIvwAAAAAwAAQEAAAAAAAAAAgIDAQEAAAAAAwEAAQEAAAABBAEAAAAAAAACBQEAAQEAAAADBgICAQEAAAAEBwEAAAAAAAAECAIAAAAAAAAFCQICAQEAAAAHCgEAAAAAAAAKCwEAAAAAAAAGCQEAAQEAAAAAAABAAAAAAAAAAAAAAAAAAAAAAAAAAAA</t>
        </r>
      </text>
    </comment>
    <comment ref="C124" authorId="0">
      <text>
        <r>
          <rPr>
            <sz val="9"/>
            <color indexed="81"/>
            <rFont val="Tahoma"/>
            <family val="2"/>
          </rPr>
          <t>Insight iXlW00003C0000124R0841462809S00000506P01164LAocjBAQBF1NjaVRlZ2ljLmRhdGEuTW9sZWN1bGUBbQF/ARJTY2lUZWdpYy5Nb2xlY3VsZQAAAQFkAv5qAQAAAAIAAgEQGAAAAPwIAPwAAgAAAAAAAPC/AutztRX7SwFAAgjOGVHaG+C/AAAAABwAAAD8CAD8AAIAAAAAAADwvwK4rwPnjCjxPwJ8gy9MpgryvwAAAAAYAAAA/AgA/AACAAAAAAAA8L8CwTkjSnsDCkACfIMvTKYK8r8AAAAAGAAAAPwIAPwAAgAAAAAAAPC/AutztRX7SwFAAjEIrBxaZOc/AAAAABgAAAD8CAD8AAIAAAAAAADwvwACCM4ZUdob4L8AAAAAGAAAAPwIAPwAAgAAAAAAAPC/AqmkTkATYRFAAgjOGVHaG+C/AAAAABgAAAD8CAD8AAIAAAAAAADwvwLBOSNKewMKQAKUh4Va07z1PwAAAAAcAAAA/AgA/AACAAAAAAAA8L8CuK8D54wo8b8CfIMvTKYK8r8AAAAAARAAAAD8CAD8AAIAAAAAAADwvwACMQisHFpk5z8AAAAAGAAAAPwIAPwAAgAAAAAAAPC/AqmkTkATYRFAAjEIrBxaZOc/AAAAABgAAAD8CAD8AAIAAAAAAADwvwLrc7UV+0sBwAIIzhlR2hvgvwAAAAAYAAAA/AgA/AACAAAAAAAA8L8C63O1FftLAcACMQisHFpk5z8AAAAAGAAAAPwIAPwAAgAAAAAAAPC/AsE5I0p7AwrAAnyDL0ymCvK/AAAAABgAAAD8CAD8AAIAAAAAAADwvwLBOSNKewMKwAKUh4Va07z1PwAAAAAYAAAA/AgA/AACAAAAAAAA8L8CqaROQBNhEcACCM4ZUdob4L8AAAAAGAAAAPwIAPwAAgAAAAAAAPC/AqmkTkATYRHAAjEIrBxaZOc/AAAAAAERAAQEAAAAAAAAAAgIDAQEAAAAAAwEAAQEAAAABBAEAAAAAAAACBQEAAQEAAAADBgICAQEAAAAEBwEAAAAAAAAECAIAAAAAAAAFCQICAQEAAAAHCgEAAAAAAAAKCwIDAQEAAAAKDAEAAQEAAAALDQEAAQEAAAAMDgICAQEAAAANDwICAQEAAAAGCQEAAQEAAAAODwEAAQEAAAAAAABAAAAAAAAAAAAAAAAAAAAAAAAAAAA</t>
        </r>
      </text>
    </comment>
    <comment ref="C125" authorId="0">
      <text>
        <r>
          <rPr>
            <sz val="9"/>
            <color indexed="81"/>
            <rFont val="Tahoma"/>
            <family val="2"/>
          </rPr>
          <t>Insight iXlW00003C0000125R0841462809S00000507P00988LAocjBAQBF1NjaVRlZ2ljLmRhdGEuTW9sZWN1bGUBbQF/ARJTY2lUZWdpYy5Nb2xlY3VsZQAAAQFkAv5qAQAAAAIBAjQYDAAA/AQA/AACAAAAAAAA8L8C2fD0SlmG1L8C097gC5Op4D8AAAAAGAAAAPwIAPwAAgAAAAAAAPC/ApayDHGsi/E/AhUdyeU/pOM/AAAAACAAAAD8BAD8AAIAAAAAAADwvwIGEhQ/xtzzvwIH8BZIUPz5PwAAAAAYDAAA/AQA/AACAAAAAAAA8L8Cpb3BFyZT8b8ClIeFWtO85b8AAAAAGAAAAPwIAPwAAgAAAAAAAPC/AhkEVg4tsvs/AmpN845TdP4/AAAAABgAAAD8CAD8AAIAAAAAAADwvwJnZmZmZmb+PwJ/arx0kxjivwAAAAAYAAAA/AgA/AACAAAAAAAA8L8ClyGOdXGbBMACMSqpE9BE8T8AAAAAHAAAAPwIAPwAAgAAAAAAAPC/AgYSFD/G3APAAueMKO0NvtS/AAAAABgAAAD8BAD8AAIAAAAAAADwvwKegCbChqfhvwK1N/jCZCoAwAAAAAAYAAAA/AgA/AACAAAAAAAA8L8Cbef7qfFSCUAC/Rhz1xLy/z8AAAAAGAAAAPwIAPwAAgAAAAAAAPC/ApQYBFYOrQpAAnpYqDXNO96/AAAAAAEQAAAA/AgA/AACAAAAAAAA8L8C7uvAOSNKDsACkaD4Meau/T8AAAAAGAAAAPwIAPwAAgAAAAAAAPC/Ao6XbhKDwA9AApqZmZmZmek/AAAAADgABAQQAAAAAAAACAQABAAAAAAADAQABAAAAAAEEAQABAQAAAAEFAgMBAQAAAAIGAQABAAAAAAMHAQABAAAAAAMIAQQAAAAAAAQJAgIBAQAAAAUKAQABAQAAAAYLAgAAAAAAAAkMAQABAQAAAAYHAQABAAAAAAoMAgIBAQAAAAAAAEAAAAAAAAAAAAAAAAAAAAAAAAAAAA=</t>
        </r>
      </text>
    </comment>
    <comment ref="C126" authorId="0">
      <text>
        <r>
          <rPr>
            <sz val="9"/>
            <color indexed="81"/>
            <rFont val="Tahoma"/>
            <family val="2"/>
          </rPr>
          <t>Insight iXlW00003C0000126R0841462809S00000508P00712LAocjBAQBF1NjaVRlZ2ljLmRhdGEuTW9sZWN1bGUBbQF/ARJTY2lUZWdpYy5Nb2xlY3VsZQAAAQFkAv5qAQAAAAIAAiQYAAAA/AgA/AACAAAAAAAA8L8C8tJNYhBY5b8C9dvXgXNG5L8AAAAAGAAAAPwIAPwAAgAAAAAAAPC/AvLSTWIQWOW/Au7rwDkjSu0/AAAAABwAAAD8CAD8AAIAAAAAAADwvwKjI7n8h/T/vwJ+HThnRGn2vwAAAAAcAAAA/AQA/AACAAAAAAAA8L8C8tJNYhBY5T8Cfh04Z0Rp9r8AAAAAGAAAAPwIAPwAAgAAAAAAAPC/AqMjufyH9P+/Agr5oGez6vo/AAAAABgAAAD8CAD8AAIAAAAAAADwvwIfhetRuJ4KwAL129eBc0bkvwAAAAAYAAAA/AQA/AACAAAAAAAA8L8CoyO5/If0/z8C9dvXgXNG5L8AAAAAGAAAAPwIAPwAAgAAAAAAAPC/Ah+F61G4ngrAAu7rwDkjSu0/AAAAABgAAAD8BAD8AAIAAAAAAADwvwIfhetRuJ4KQAJ+HThnRGn2vwAAAAAkAAQICAQEAAAAAAgEAAQEAAAAAAwEAAAAAAAABBAEAAQEAAAACBQICAQEAAAADBgEAAAAAAAAEBwICAQEAAAAGCAEAAAAAAAAFBwEAAQEAAAAAAABAAAAAAAAAAAAAAAAAAAAAAAAAAAA</t>
        </r>
      </text>
    </comment>
    <comment ref="C127" authorId="0">
      <text>
        <r>
          <rPr>
            <sz val="9"/>
            <color indexed="81"/>
            <rFont val="Tahoma"/>
            <family val="2"/>
          </rPr>
          <t>Insight iXlW00003C0000127R0841462809S00000509P00648LAocjBAQBF1NjaVRlZ2ljLmRhdGEuTW9sZWN1bGUBbQF/ARJTY2lUZWdpYy5Nb2xlY3VsZQAAAQFkAv5qAQAAAAIAAiAYAAAA/AgA/AACAAAAAAAA8L8CMEymCkYl878CcF8HzhlR4r8AAAAAHAAAAPwIAPwAAgAAAAAAAPC/AjBMpgpGJfO/AkYldQKaCOs/AAAAABwAAAD8CAD8AAIAAAAAAADwvwLoaiv2l93DPwJpb/CFyVTwvwAAAAAgAAAA/AgA/AACAAAAAAAA8L8CwcqhRbbzAsAC1LzjFB3J9r8AAAAAGAAAAPwEAPwAAgAAAAAAAPC/AuhqK/aX3cM/AtzXgXNGlPQ/AAAAABgAAAD8BAD8AAIAAAAAAADwvwLByqFFtvMCwAJDPujZrPr6PwAAAAAYAAAA/AgA/AACAAAAAAAA8L8C+THmriXk7z8CaQBvgQTFvz8AAAAAIAAAAPwIAPwAAgAAAAAAAPC/Atlfdk8elgNAAmkAb4EExb8/AAAAACAABAQABAAAAAAACAQABAAAAAAADAgAAAAAAAAEEAQABAAAAAAEFAQAAAAAAAAIGAQABAAAAAAYHAgAAAAAAAAQGAQABAAAAAAAAAEAAAAAAAAAAAAAAAAAAAAAAAAAAAA=</t>
        </r>
      </text>
    </comment>
    <comment ref="C128" authorId="0">
      <text>
        <r>
          <rPr>
            <sz val="9"/>
            <color indexed="81"/>
            <rFont val="Tahoma"/>
            <family val="2"/>
          </rPr>
          <t>Insight iXlW00003C0000128R0841462809S00000510P00712LAocjBAQBF1NjaVRlZ2ljLmRhdGEuTW9sZWN1bGUBbQF/ARJTY2lUZWdpYy5Nb2xlY3VsZQAAAQFkAv5qAQAAAAIAAiQcAAAA/AgA/AACAAAAAAAA8L8CuR6F61G4nj8CH4XrUbge5T8AAAAAHAAAAPwIAPwAAgAAAAAAAPC/AvYoXI/C9ei/AlK4HoXrUcg/AAAAABgAAAD8CAD8AAIAAAAAAADwvwK5HoXrUbiePwKamZmZmZn5PwAAAAAYAAAA/AgA/AACAAAAAAAA8L8CcT0K16Nw+b8CH4XrUbge5T8AAAAAGAAAAPwIAPwAAgAAAAAAAPC/AvYoXI/C9ei/ApDC9ShcjwBAAAAAACAAAAD8BAD8AAIAAAAAAADwvwLiehSuR+HqPwKQwvUoXI8AQAAAAAAYAAAA/AgA/AACAAAAAAAA8L8CcT0K16Nw+b8CmpmZmZmZ+T8AAAAAGAAAAPwEAPwAAgAAAAAAAPC/AjMzMzMzMwPAAlK4HoXrUcg/AAAAABgAAAD8BAD8AAIAAAAAAADwvwI+CtejcD36PwLD9Shcj8L5PwAAAAAkBAAEAAQEAAAACAAICAQEAAAADAQICAQEAAAAEAgEAAQEAAAAFAgEAAAAAAAAGAwEAAQEAAAAHAwEAAAAAAAAIBQEAAAAAAAAEBgICAQEAAAAAAABAAAAAAAAAAAAAAAAAAAAAAAAAAAA</t>
        </r>
      </text>
    </comment>
    <comment ref="C129" authorId="0">
      <text>
        <r>
          <rPr>
            <sz val="9"/>
            <color indexed="81"/>
            <rFont val="Tahoma"/>
            <family val="2"/>
          </rPr>
          <t>Insight iXlW00003C0000129R0841462809S00000511P00780LAocjBAQBF1NjaVRlZ2ljLmRhdGEuTW9sZWN1bGUBbQF/ARJTY2lUZWdpYy5Nb2xlY3VsZQAAAQFkAv5qAQAAAAIAAigYAAAA/AgA/AACAAAAAAAA8L8CtMh2vp8a8b8Cqz5XW7G/xL8AAAAAGAAAAPwIAPwAAgAAAAAAAPC/AlJJnYAmwtI/AiFB8WPMXcs/AAAAABgAAAD8CAD8AAIAAAAAAADwvwL129eBc0b4vwJ8YTJVMCr4vwAAAAABEAAAAPwEAPwAAgAAAAAAAPC/AouO5PIf0gHAAl+YTBWMSuY/AAAAACAAAAD8BAD8AAIAAAAAAADwvwJRa5p3nKL0PwJlO99PjZfqvwAAAAAgAAAA/AgA/AACAAAAAAAA8L8ClIeFWtO85T8ClrIMcayL+T8AAAAAHAAAAPwIAPwAAgAAAAAAAPC/Atlfdk8elgfAAgTnjCjtDfi/AAAAABwAAAD8CAD8AAIAAAAAAADwvwK7uI0G8BYLwALbG3xhMlXAvwAAAAAYAAAA/AQA/AACAAAAAAAA8L8CCYofY+7aBEACgNk9eVio0b8AAAAAGAAAAPwEAPwAAgAAAAAAAPC/AlpkO99PjQxAApCg+DHmrvW/AAAAACgABAQAAAAAAAAACAgMBAQAAAAADAQABAQAAAAEEAQAAAAAAAAEFAgAAAAAAAAIGAQABAQAAAAMHAQABAQAAAAQIAQAAAAAAAAgJAQAAAAAAAAYHAgIBAQAAAAAAAEAAAAAAAAAAAAAAAAAAAAAAAAAAAA=</t>
        </r>
      </text>
    </comment>
    <comment ref="C130" authorId="0">
      <text>
        <r>
          <rPr>
            <sz val="9"/>
            <color indexed="81"/>
            <rFont val="Tahoma"/>
            <family val="2"/>
          </rPr>
          <t>Insight iXlW00003C0000130R0841462809S00000512P01052LAocjBAQBF1NjaVRlZ2ljLmRhdGEuTW9sZWN1bGUBbQF/ARJTY2lUZWdpYy5Nb2xlY3VsZQAAAQFkAv5qAQAAAAIBAjgcAAAA/AQA/AACAAAAAAAA8L8CiWNd3EYD7r8CUB4Wak3z1j8AAAAAGAAAAPwEAPwAAgAAAAAAAPC/AoljXdxGA+6/AmpN845TdO6/AAAAABgAAAD8BAD8AAIAAAAAAADwvwKCc0aU9gYAwAIW+8vuycPxPwAAAAAYAAAA/AQA/AACAAAAAAAA8L8Cf/s6cM6Iwj8C5fIf0m9f8j8AAAAAGAAAAPwIAPwAAgAAAAAAAPC/ApqZmZmZmck/Ao51cRsN4Pm/AAAAABgMAAD8BAD8AAIAAAAAAADwvwKegCbChqf5vwJ1ApoIGx4DQAAAAAAYDAAA/AQA/AACAAAAAAAA8L8C2xt8YTJV0L8CdQKaCBseA0AAAAAAGAAAAPwIAPwAAgAAAAAAAPC/ApqZmZmZmck/Ah8Wak3zjgfAAAAAABgAAAD8CAD8AAIAAAAAAADwvwLCqKROQBP1PwJqTfOOU3TuvwAAAAAgAAAA/AQA/AACAAAAAAAA8L8CdQKaCBseA8AC4lgXt9GAC0AAAAAAIAAAAPwEAPwAAgAAAAAAAPC/AsuhRbbz/eA/AuhqK/aXXQtAAAAAABgAAAD8CAD8AAIAAAAAAADwvwIcDeAtkKD1PwKRD3o2q74MwAAAAAAYAAAA/AgA/AACAAAAAAAA8L8Cam/whclUBEACmpmZmZmZ+b8AAAAAGAAAAPwIAPwAAgAAAAAAAPC/AmRd3EYDeARAAvJjzF1LSAfAAAAAADwABAQAAAAAAAAACAQABAAAAAAADAQABAAAAAAEEAQAAAAAAAAIFAQABAAAAAAMGAQABAAAAAAQHAQABAQAAAAQIAgMBAQAAAAUJAQUAAAAAAAYKAQQAAAAAAAcLAgIBAQAAAAgMAQABAQAAAAsNAQABAQAAAAUGAQABAAAAAAwNAgIBAQAAAAAAAEAAAAAAAAAAAAAAAAAAAAAAAAAAAA=</t>
        </r>
      </text>
    </comment>
    <comment ref="C131" authorId="0">
      <text>
        <r>
          <rPr>
            <sz val="9"/>
            <color indexed="81"/>
            <rFont val="Tahoma"/>
            <family val="2"/>
          </rPr>
          <t>Insight iXlW00003C0000131R0841462809S00000513P00584LAocjBAQBF1NjaVRlZ2ljLmRhdGEuTW9sZWN1bGUBbQF/ARJTY2lUZWdpYy5Nb2xlY3VsZQAAAQFkAv5qAQAAAAIAAhwYAAAA/AgA/AACAAAAAAAA8L8C3gIJih9j6L8CaZHtfD814j8AAAAAGAAAAPwIAPwAAgAAAAAAAPC/AtGzWfW52uQ/AmmR7Xw/NeI/AAAAABwAAAD8CAD8AAIAAAAAAADwvwKwlGWIY13zvwLHuriNBvDovwAAAAAYAAAA/AQA/AACAAAAAAAA8L8CFvvL7snD+b8CBhIUP8bc+z8AAAAAHAAAAPwIAPwAAgAAAAAAAPC/AhIUP8bctfE/Ase6uI0G8Oi/AAAAABwAAAD8BAD8AAIAAAAAAADwvwJ5eqUsQxz4PwIZBFYOLbL7PwAAAAAgAAAA/AgA/AACAAAAAAAA8L8CumsJ+aBno78C9P3UeOkm+r8AAAAAHAAEBAAEBAAAAAAICAgEBAAAAAAMBAAAAAAAAAQQCAgEBAAAAAQUBAAAAAAAAAgYBAAEBAAAABAYBAAEBAAAAAAAAQAAAAAAAAAAAAAAAAAAAAAAAAAAAA==</t>
        </r>
      </text>
    </comment>
    <comment ref="C132" authorId="0">
      <text>
        <r>
          <rPr>
            <sz val="9"/>
            <color indexed="81"/>
            <rFont val="Tahoma"/>
            <family val="2"/>
          </rPr>
          <t>Insight iXlW00003C0000132R0841462809S00000514P01452LAocjBAQBF1NjaVRlZ2ljLmRhdGEuTW9sZWN1bGUBbQF/ARJTY2lUZWdpYy5Nb2xlY3VsZQAAAQFkAv5qAQAAAAIBAgEUGAAAAPwIAPwAAgAAAAAAAPC/Aj4K16NwPf2/Aj55WKg1zeO/AAAAABgAAAD8CAD8AAIAAAAAAADwvwI+CtejcD39vwLSb18Hzhn3vwAAAAAYAAAA/AgA/AACAAAAAAAA8L8CPnlYqDXN8b8C+1xtxf6y/b8AAAAAGAAAAPwIAPwAAgAAAAAAAPC/AgpoImx4etm/AtJvXwfOGfe/AAAAABgAAAD8CAD8AAIAAAAAAADwvwIKaCJseHrZvwI+eVioNc3jvwAAAAAYAAAA/AgA/AACAAAAAAAA8L8CPnlYqDXN8b8CKxiV1Aloyr8AAAAAGAwAAPwEAPwAAgAAAAAAAPC/AiBj7lpCPtQ/AisYldQJaMq/AAAAACQAAAD8BAD8AAIAAAAAAADwvwIgY+5aQj7UPwL7XG3F/rL9vwAAAAAkAAAA/AQA/AACAAAAAAAA8L8CvXSTGARWBMAC+1xtxf6y/b8AAAAAGAAAAPwEAPwAAgAAAAAAAPC/AiEf9GxWffA/Aj55WKg1zeO/AAAAAAEQAAAA/AQA/AACAAAAAAAA8L8CzqrP1Vbs+z8CKxiV1Aloyr8AAAAAGAAAAPwEAPwAAgAAAAAAAPC/As6qz9VW7Ps/AlwgQfFjzOM/AAAAABgAAAD8CAD8AAIAAAAAAADwvwIhH/RsVn3wPwI51sVtNIDwPwAAAAAcAAAA/AgA/AACAAAAAAAA8L8CIGPuWkI+1D8CXCBB8WPM4z8AAAAAGAAAAPwEAPwAAgAAAAAAAPC/AiBj7lpCPtQ/AjnWxW00gPC/AAAAABwAAAD8CAD8AAIAAAAAAADwvwIhH/RsVn3wPwL7XG3F/rL9PwAAAAAYAAAA/AQA/AACAAAAAAAA8L8CHA3gLZCgAkACCKwcWmQ78z8AAAAAGAAAAPwEAPwAAgAAAAAAAPC/AszuycNCrQNAAisYldQJaMo/AAAAACAAAAD8CAD8AAIAAAAAAADwvwK9dJMYBFYEQALiehSuR+HavwAAAAAgAAAA/AgA/AACAAAAAAAA8L8CgSbChqdX/z8CIo51cRsN8L8AAAAAARUABAgIBAQAAAAECAQABAQAAAAIDAgIBAQAAAAMEAQABAQAAAAQFAgIBAQAAAAUAAQABAQAAAAYEAQQAAAAAAAMHAQAAAAAAAAEIAQAAAAAAAAYJAQABAAAAAAkKAQABAAAAAAoLAQABAAAAAAsMAQABAAAAAAwNAQABAAAAAA0GAQABAAAAAAYOAQUAAAAAAAwPAgAAAAAAAAsARAEAAAAAAAALAERBAAAAAAAACgBEggAAAAAAAAoARMIAAAAAAAAAAABAAAAAAAAAAAAAAAAAAAAAAAAAAAA</t>
        </r>
      </text>
    </comment>
    <comment ref="C133" authorId="0">
      <text>
        <r>
          <rPr>
            <sz val="9"/>
            <color indexed="81"/>
            <rFont val="Tahoma"/>
            <family val="2"/>
          </rPr>
          <t>Insight iXlW00003C0000133R0841462809S00000515P02160LAocjBAQBF1NjaVRlZ2ljLmRhdGEuTW9sZWN1bGUBbQF/ARJTY2lUZWdpYy5Nb2xlY3VsZQAAAQFkAv5qAQAAAAIBAgEeGAAAAPwIAPwAAgAAAAAAAPC/Alg5tMh2PgTAAtNvXwfOGf2/AAAAABwAAAD8CAD8AAIAAAAAAADwvwJYObTIdj4EwAJ6xyk6ksvvvwAAAAAYAAAA/AgA/AACAAAAAAAA8L8CBOeMKO0N/b8CR5T2Bl+Y4r8AAAAAGAAAAPwIAPwAAgAAAAAAAPC/AskHPZtVn/G/AnrHKTqSy++/AAAAABgAAAD8CAD8AAIAAAAAAADwvwLJBz2bVZ/xvwLTb18Hzhn9vwAAAAAcAAAA/AgA/AACAAAAAAAA8L8CBOeMKO0N/b8CtoR80LPZAcAAAAAAHAAAAPwIAPwAAgAAAAAAAPC/AuQUHcnlP9S/AlFrmnecoue/AAAAABgAAAD8CAD8AAIAAAAAAADwvwI9vVKWIY7FPwLIKTqSy3/2vwAAAAAcAAAA/AgA/AACAAAAAAAA8L8C5BQdyeU/1L8C9I5TdCSXAMAAAAAAGAAAAPwEAPwAAgAAAAAAAPC/ApxVn6ut2K+/Aq7YX3ZPHqY/AAAAABwAAAD8BAD8AAIAAAAAAADwvwIE54wo7Q39vwKVZYhjXdzOPwAAAAAYAAAA/AgA/AACAAAAAAAA8L8CWDm0yHa+5z8CMgisHFpkyz8AAAAAGAAAAPwIAPwAAgAAAAAAAPC/AoGVQ4ts5+8/AsHKoUW28+8/AAAAABgAAAD8CAD8AAIAAAAAAADwvwKVZYhjXdz8PwJ90LNZ9bnyPwAAAAAYAAAA/AgA/AACAAAAAAAA8L8Cfq62Yn/ZAkACxty1hHzQ4T8AAAAAGAAAAPwIAPwAAgAAAAAAAPC/AnPXEvJBzwBAAjBMpgpGJc2/AAAAABgAAAD8CAD8AAIAAAAAAADwvwJOYhBYObT0PwLFILByaJHZvwAAAAAYCAAA/AQA/AACAAAAAAAA8L8Cm3ecoiM5BMACWRe30QDe5D8AAAAAGAAAAPwEAPwAAgAAAAAAAPC/Apt3nKIjOQTAAoPix5i7lvc/AAAAABgAAAD8BAD8AAIAAAAAAADwvwIGo5I6Ac0KwAJZF7fRAN7kPwAAAAAEAAAA/AQA/AACAAAAAAAA8L8CUI2XbhKDB8ACl5APejarrr8AAAAAGAAAAPwEAPwAAgAAAAAAAPC/AlvTvOMUHf+/Ai//If32dQBAAAAAABgAAAD8BAD8AAIAAAAAAADwvwKbd5yiIzkEwAIcDeAtkCAFQAAAAAAYAAAA/AQA/AACAAAAAAAA8L8CiIVa07zjCMACL/8h/fZ1AEAAAAAAGAAAAPwEAPwAAgAAAAAAAPC/AvJjzF1LSAlAAgyTqYJRSec/AAAAACQAAAD8BAD8AAIAAAAAAADwvwJRa5p3nKIPQAJ/arx0kxjuPwAAAAAkAAAA/AQA/AACAAAAAAAA8L8CzhlR2hv8CkACtoR80LNZ+D8AAAAAJAAAAPwEAPwAAgAAAAAAAPC/Aq2L22gA7w1AAgU0ETY8vcI/AAAAABgAAAD8DAD8AAIAAAAAAADwvwI4Z0Rpb/AJwAJm9+RhodYBwAAAAAAcAAAA/AwA/AACAAAAAAAA8L8CUWuad5yiD8ACHA3gLZAgBcAAAAAAASEABAgIBAQAAAAECAQABAQAAAAIDAgIBAQAAAAMEAQABAQAAAAQFAgIBAQAAAAUAAQABAQAAAAMGAQABAQAAAAYHAQABAQAAAAcIAgIBAQAAAAgEAQABAQAAAAYJAQAAAAAAAAIKAQAAAAAAAAkLAQAAAAAAAAsMAgMBAQAAAAwNAQABAQAAAA0OAgIBAQAAAA4PAQABAQAAAA8ARAICAQEAAAAARAsBAAEBAAAADgBGAQAAAAAAAAoAREEAAAAAAAAAREBEgQAAAAAAAABEQETBBQAAAAAAAABHAQAAAAAAAABEQEUBBAAAAAAAAESARUEAAQAAAAAARUBFgQABAAAAAABFgEXBAAEAAAAAAEXARIEAAQAAAAAARgBGQQAAAAAAAABGAEaBAAAAAAAAAEYARsEAAAAAAAAARwBHQwAAAAAAAAAAAEAAAAAAAAAAAAAAAAAAAAAAAAAAAA=</t>
        </r>
      </text>
    </comment>
    <comment ref="C134" authorId="0">
      <text>
        <r>
          <rPr>
            <sz val="9"/>
            <color indexed="81"/>
            <rFont val="Tahoma"/>
            <family val="2"/>
          </rPr>
          <t>Insight iXlW00003C0000134R0841462809S00000516P00716LAocjBAQBF1NjaVRlZ2ljLmRhdGEuTW9sZWN1bGUBbQF/ARJTY2lUZWdpYy5Nb2xlY3VsZQAAAQFkAv5qAQAAAAIAAiQYAAAA/AgA/AACAAAAAAAA8L8Cg1FJnYAm6j8CIUHxY8xd2z8AAAAAHAAAAPwIAPwAAgAAAAAAAPC/Ar4wmSoYFQBAAhkEVg4tsvM/AAAAAAEQAAAA/AQA/AACAAAAAAAA8L8CsJRliGNd8z8CcoqO5PIf7r8AAAAAHAAAAPwIAPwAAgAAAAAAAPC/AvH0SlmGOOC/Aqd5xyk6ku0/AAAAABgAAAD8CAD8AAIAAAAAAADwvwL0bFZ9rjYJQAKcxCCwcmjVPwAAAAAYAAAA/AgA/AACAAAAAAAA8L8Cc/kP6bcvBUAC+THmriXk778AAAAAGAAAAPwIAPwAAgAAAAAAAPC/AouO5PIf0vm/AlHaG3xhMpU/AAAAABgAAAD8BAD8AAIAAAAAAADwvwKFfNCzWfX1vwJjf9k9eVj2vwAAAAAgAAAA/AgA/AACAAAAAAAA8L8CjpduEoPAB8ACAAAAAAAA4D8AAAAAJAAECAgEBAAAAAAIBAAEBAAAAAAMBAAAAAAAAAQQBAAEBAAAAAgUBAAEBAAAAAwYBAAAAAAAABgcBAAAAAAAABggCAAAAAAAABAUCAgEBAAAAAAAAQAAAAAAAAAAAAAAAAAAAAAAAAAAAA==</t>
        </r>
      </text>
    </comment>
    <comment ref="C135" authorId="0">
      <text>
        <r>
          <rPr>
            <sz val="9"/>
            <color indexed="81"/>
            <rFont val="Tahoma"/>
            <family val="2"/>
          </rPr>
          <t>Insight iXlW00003C0000135R0841462809S00000517P01264LAocjBAQBF1NjaVRlZ2ljLmRhdGEuTW9sZWN1bGUBbQF/ARJTY2lUZWdpYy5Nb2xlY3VsZQAAAQFkAv5qAQAAAAIAAgERGAAAAPwIAPwAAgAAAAAAAPC/AjY8vVKWIfU/AgjOGVHaG+C/AAAAABgAAAD8CAD8AAIAAAAAAADwvwL0/dR46SbyPwLNzMzMzMzsPwAAAAAYAAAA/AgA/AACAAAAAAAA8L8CyXa+nxovxT8CgZVDi2zn9b8AAAAAGAAAAPwIAPwAAgAAAAAAAPC/AnP5D+m3LwVAAk9AE2HD0/C/AAAAABgAAAD8CAD8AAIAAAAAAADwvwLJdr6fGi/FvwKjtDf4wmT3PwAAAAAYAAAA/AgA/AACAAAAAAAA8L8CMLsnDws1AkACZF3cRgN4/D8AAAAAGAAAAPwIAPwAAgAAAAAAAPC/AvT91HjpJvK/Amx4eqUsQ+q/AAAAACAAAAD8CAD8AAIAAAAAAADwvwJuNIC3QILWPwLl8h/Sb18GwAAAAAAYAAAA/AgA/AACAAAAAAAA8L8CK6kT0ERYDkACE/JBz2bVx78AAAAAIAAAAPwEAPwAAgAAAAAAAPC/Ap0Rpb3BlwZAAspUwaikzgPAAAAAABgAAAD8CAD8AAIAAAAAAADwvwI2PL1SliH1vwJKe4MvTKbiPwAAAAAgAAAA/AgA/AACAAAAAAAA8L8CbjSAt0CC1r8CdQKaCBseB0AAAAAAGAAAAPwIAPwAAgAAAAAAAPC/AgmKH2Pu2gxAAp2iI7n8h/M/AAAAABgAAAD8CAD8AAIAAAAAAADwvwIwuycPCzUCwAJDPujZrPr6vwAAAAAYAAAA/AgA/AACAAAAAAAA8L8Cc/kP6bcvBcACcF8HzhlR8j8AAAAAGAAAAPwIAPwAAgAAAAAAAPC/AgmKH2Pu2gzAAvT91HjpJvK/AAAAABgAAAD8CAD8AAIAAAAAAADwvwIrqRPQRFgOwAKe76fGSzfRPwAAAAABEwAEBAAEBAAAAAAIBAAEAAAAAAAMCAgEBAAAAAQQBAAEAAAAAAQUCAgEBAAAAAgYBAAEAAAAAAgcCAAAAAAAAAwgBAAEBAAAAAwkBAAAAAAAABAoBAAEAAAAABAsCAAAAAAAABQwBAAEBAAAABg0BAAEBAAAACg4BAAEBAAAADQ8CAgEBAAAADgBEAgIBAQAAAAYKAgIBAQAAAAgMAgIBAQAAAA8ARAEAAQEAAAAAAABAAAAAAAAAAAAAAAAAAAAAAAAAAAA</t>
        </r>
      </text>
    </comment>
    <comment ref="C136" authorId="0">
      <text>
        <r>
          <rPr>
            <sz val="9"/>
            <color indexed="81"/>
            <rFont val="Tahoma"/>
            <family val="2"/>
          </rPr>
          <t>Insight iXlW00003C0000136R0841462809S00000518P00856LAocjBAQBF1NjaVRlZ2ljLmRhdGEuTW9sZWN1bGUBbQF/ARJTY2lUZWdpYy5Nb2xlY3VsZQAAAQFkAv5qAQAAAAIAAiwYAAAA/AgA/AACAAAAAAAA8L8CETY8vVIWEUACyxDHurgNA0AAAAAAGAAAAPwIAPwAAgAAAAAAAPC/AhI2PL1SFhdAAssQx7q4DQNAAAAAABgAAAD8CAD8AAIAAAAAAADwvwJYW7G/7B4LQALG/rJ78rDyPwAAAAAcAAAA/AgA/AACAAAAAAAA8L8CWFuxv+weC0ACNKK0N/jCDEAAAAAAGAAAAPwIAPwAAgAAAAAAAPC/Ane+nxovnRpAAjSitDf4wgxAAAAAAAEQAAAA/AQA/AACAAAAAAAA8L8Cd76fGi+dGkACxv6ye/Kw8j8AAAAAGAAAAPwIAPwAAgAAAAAAAPC/AtEi2/l+av8/ApchjnVxG/o/AAAAABwAAAD8CAD8AAIAAAAAAADwvwLRItv5fmr/PwLLEMe6uA0JQAAAAAAYAAAA/AgA/AACAAAAAAAA8L8Ct9EA3gIpIEACyxDHurgNCUAAAAAAGAAAAPwIAPwAAgAAAAAAAPC/ArfRAN4CKSBAApchjnVxG/o/AAAAABwAAAD8BAD8AAIAAAAAAADwvwIAAAAAAADoPwIAAAAAAADoPwAAAAAwAAQEAAAAAAAAAAgEAAQEAAAAAAwIDAQEAAAABBAIDAQEAAAABBQEAAQEAAAACBgIDAQEAAAADBwEAAQEAAAAECAEAAQEAAAAFCQEAAQEAAAAGCgEAAAAAAAAGBwEAAQEAAAAICQICAQEAAAAAAABAAAAAAAAAAAAAAAAAAAAAAAAAAAA</t>
        </r>
      </text>
    </comment>
    <comment ref="C137" authorId="0">
      <text>
        <r>
          <rPr>
            <sz val="9"/>
            <color indexed="81"/>
            <rFont val="Tahoma"/>
            <family val="2"/>
          </rPr>
          <t>Insight iXlW00003C0000137R0841462809S00000519P00908LAocjBAQBF1NjaVRlZ2ljLmRhdGEuTW9sZWN1bGUBbQF/ARJTY2lUZWdpYy5Nb2xlY3VsZQAAAQFkAv5qAQAAAAIAAjAYAAAA/AgA/AACAAAAAAAA8L8CnoAmwoan4T8CMzMzMzMz0z8AAAAAGAAAAPwIAPwAAgAAAAAAAPC/AmdmZmZmZua/Aj9XW7G/7Nq/AAAAABgAAAD8CAD8AAIAAAAAAADwvwLRs1n1udr8PwI/V1uxv+zavwAAAAAYAAAA/AgA/AACAAAAAAAA8L8CnoAmwoan4T8CkX77OnDO+z8AAAAAGAAAAPwIAPwAAgAAAAAAAPC/AmdmZmZmZua/AvoP6bevA/6/AAAAABgAAAD8CAD8AAIAAAAAAADwvwLRs1n1udr8PwL6D+m3rwP+vwAAAAAgAAAA/AQA/AACAAAAAAAA8L8CryXkg55NCEACcF8HzhlR0j8AAAAAGAAAAPwEAPwAAgAAAAAAAPC/AtzXgXNGlPw/Ai4hH/RsVgNAAAAAACAAAAD8CAD8AAIAAAAAAADwvwKFfNCzWfXlvwKmm8QgsHIDQAAAAAAYAAAA/AgA/AACAAAAAAAA8L8CnoAmwoan4T8CzczMzMzMBMAAAAAAGAAAAPwEAPwAAgAAAAAAAPC/AsHKoUW28/6/AlVSJ6CJsATAAAAAABgAAAD8BAD8AAIAAAAAAADwvwI2PL1SliEJwAJqTfOOU3T+vwAAAAAwAAQICAQEAAAAAAgEAAQEAAAAAAwEAAAAAAAABBAEAAQEAAAACBQICAQEAAAACBgEAAAAAAAADBwEAAAAAAAADCAIAAAAAAAAECQICAQEAAAAECgEAAAAAAAAKCwEAAAAAAAAFCQEAAQEAAAAAAABAAAAAAAAAAAAAAAAAAAAAAAAAAAA</t>
        </r>
      </text>
    </comment>
    <comment ref="C138" authorId="0">
      <text>
        <r>
          <rPr>
            <sz val="9"/>
            <color indexed="81"/>
            <rFont val="Tahoma"/>
            <family val="2"/>
          </rPr>
          <t>Insight iXlW00003C0000138R0841462809S00000520P01456LAocjBAQBF1NjaVRlZ2ljLmRhdGEuTW9sZWN1bGUBbQF/ARJTY2lUZWdpYy5Nb2xlY3VsZQAAAQFkAv5qAQAAAAIAAgEUGAAAAPwEAPwAAgAAAAAAAPC/AlHaG3xhMqW/AvcGX5hMFdQ/AAAAABwAAAD8CAD8AAIAAAAAAADwvwJ8YTJVMCrwPwIzMzMzMzPTvwAAAAAYAAAA/AgA/AACAAAAAAAA8L8CUdobfGEypb8C097gC5Op+D8AAAAAGAAAAPwIAPwAAgAAAAAAAPC/AhIUP8bctfG/AjMzMzMzM9O/AAAAABgAAAD8CAD8AAIAAAAAAADwvwLc14FzRpQAQAL3Bl+YTBXUPwAAAAAYAAAA/AQA/AACAAAAAAAA8L8CfGEyVTAq8D8C4umVsgxx+L8AAAAAGAAAAPwIAPwAAgAAAAAAAPC/AtzXgXNGlABAAtPe4AuTqfg/AAAAABgAAAD8CAD8AAIAAAAAAADwvwK2hHzQs1ntvwKsrdhfdk8DQAAAAAAYAAAA/AgA/AACAAAAAAAA8L8CJzEIrBxaAcAC9wZfmEwV1D8AAAAAGAAAAPwIAPwAAgAAAAAAAPC/Ap6AJsKGp/G/AuLplbIMcfi/AAAAACAAAAD8CAD8AAIAAAAAAADwvwJ88rBQaxoJQAIzMzMzMzPTvwAAAAAYAAAA/AgA/AACAAAAAAAA8L8ClyGOdXGbAEACNjy9UpYhAcAAAAAAIAAAAPwEAPwAAgAAAAAAAPC/AkA1XrpJDAlAAq+2Yn/ZPQFAAAAAABgAAAD8BAD8AAIAAAAAAADwvwIzMzMzMzPjvwKRD3o2q74MQAAAAAAgAAAA/AgA/AACAAAAAAAA8L8CCYofY+7aAMACzczMzMzMAEAAAAAAGAAAAPwIAPwAAgAAAAAAAPC/AouO5PIf0gnAAjMzMzMzM9O/AAAAABgAAAD8CAD8AAIAAAAAAADwvwLrc7UV+0sBwAI2PL1SliEBwAAAAAAgAAAA/AQA/AACAAAAAAAA8L8ClyGOdXGbAEAChQ1Pr5TlCsAAAAAAIAAAAPwIAPwAAgAAAAAAAPC/AnzysFBrGglAAmpv8IXJVPi/AAAAABgAAAD8CAD8AAIAAAAAAADwvwKLjuTyH9IJwALi6ZWyDHH4vwAAAAABFQAEBAAEAAAAAAAIBAAEAAAAAAAMBAAAAAAAAAQQBAAEAAAAAAQUBAAAAAAAAAgYCAwEAAAAAAgcBAAAAAAAAAwgCAwEBAAAAAwkBAAEBAAAABAoCAAAAAAAABQsBAAAAAAAABgwBAAAAAAAABw0BAAAAAAAABw4CAAAAAAAACA8BAAEBAAAACQBEAgIBAQAAAAsAREEAAAAAAAALAESCAAAAAAAADwBEwgIBAQAAAAQGAQABAAAAAABEAETBAAEBAAAAAAAAQAAAAAAAAAAAAAAAAAAAAAAAAAAAA==</t>
        </r>
      </text>
    </comment>
    <comment ref="C139" authorId="0">
      <text>
        <r>
          <rPr>
            <sz val="9"/>
            <color indexed="81"/>
            <rFont val="Tahoma"/>
            <family val="2"/>
          </rPr>
          <t>Insight iXlW00003C0000139R0841462809S00000521P00780LAocjBAQBF1NjaVRlZ2ljLmRhdGEuTW9sZWN1bGUBbQF/ARJTY2lUZWdpYy5Nb2xlY3VsZQAAAQFkAv5qAQAAAAIAAigYAAAA/AgA/AACAAAAAAAA8L8C3gIJih9j6L8CPSzUmuYd378AAAAAHAAAAPwIAPwAAgAAAAAAAPC/AsKopE5AE+U/Aj0s1JrmHd+/AAAAABwAAAD8CAD8AAIAAAAAAADwvwIMJCh+jLn3vwIT8kHPZtXnPwAAAAAgAAAA/AgA/AACAAAAAAAA8L8CDCQofoy5978CFR3J5T+k+78AAAAAGAAAAPwIAPwAAgAAAAAAAPC/Av32deCcEfY/AhPyQc9m1ec/AAAAABgAAAD8BAD8AAIAAAAAAADwvwL99nXgnBH2PwIVHcnlP6T7vwAAAAAYAAAA/AgA/AACAAAAAAAA8L8C3gIJih9j6L8ChJ7Nqs/V/z8AAAAAGAAAAPwEAPwAAgAAAAAAAPC/AuhqK/aXXQfAAhPyQc9m1ec/AAAAABgAAAD8CAD8AAIAAAAAAADwvwLCqKROQBPlPwKEns2qz9X/PwAAAAAgAAAA/AgA/AACAAAAAAAA8L8CYVRSJ6CJBkACE/JBz2bV5z8AAAAAKAAEBAAEAAAAAAAIBAAEAAAAAAAMCAAAAAAAAAQQBAAEAAAAAAQUBAAAAAAAAAgYBAAEAAAAAAgcBAAAAAAAABAgBAAEAAAAABAkCAAAAAAAABggCAgEAAAAAAAAAQAAAAAAAAAAAAAAAAAAAAAAAAAAAA==</t>
        </r>
      </text>
    </comment>
    <comment ref="C140" authorId="0">
      <text>
        <r>
          <rPr>
            <sz val="9"/>
            <color indexed="81"/>
            <rFont val="Tahoma"/>
            <family val="2"/>
          </rPr>
          <t>Insight iXlW00003C0000140R0841462809S00000522P00648LAocjBAQBF1NjaVRlZ2ljLmRhdGEuTW9sZWN1bGUBbQF/ARJTY2lUZWdpYy5Nb2xlY3VsZQAAAQFkAv5qAQAAAAIAAiAYAAAA/AgA/AACAAAAAAAA8L8CPZtVn6utmD8CcF8HzhlR0j8AAAAAGAAAAPwIAPwAAgAAAAAAAPC/Ar7BFyZTBfU/AuhqK/aX3cO/AAAAABwAAAD8CAD8AAIAAAAAAADwvwJsCfmgZ7PavwJSSZ2AJsL6PwAAAAABEAAAAPwEAPwAAgAAAAAAAPC/AjBMpgpGJfO/AuLplbIMceC/AAAAABgAAAD8BAD8AAIAAAAAAADwvwLQ1VbsL7sCQALm0CLb+X7oPwAAAAAgAAAA/AgA/AACAAAAAAAA8L8CCvmgZ7Pq+z8CMSqpE9BE+b8AAAAAGAAAAPwEAPwAAgAAAAAAAPC/AvoP6bevA/6/AlJJnYAmwvo/AAAAABgAAAD8BAD8AAIAAAAAAADwvwLQ1VbsL7sCwAIll/+QfvvSPwAAAAAgAAQEAAAAAAAAAAgIDAQAAAAAAAwEAAQAAAAABBAEAAAAAAAABBQIAAAAAAAACBgEAAQAAAAADBwEAAQAAAAAGBwEAAQAAAAAAAABAAAAAAAAAAAAAAAAAAAAAAAAAAAA</t>
        </r>
      </text>
    </comment>
    <comment ref="C141" authorId="0">
      <text>
        <r>
          <rPr>
            <sz val="9"/>
            <color indexed="81"/>
            <rFont val="Tahoma"/>
            <family val="2"/>
          </rPr>
          <t>Insight iXlW00003C0000141R0841462809S00000523P00648LAocjBAQBF1NjaVRlZ2ljLmRhdGEuTW9sZWN1bGUBbQF/ARJTY2lUZWdpYy5Nb2xlY3VsZQAAAQFkAv5qAQAAAAIAAiAYAAAA/AgA/AACAAAAAAAA8L8CxSCwcmiRzT8CqhPQRNjw2D8AAAAAARAAAAD8BAD8AAIAAAAAAADwvwISFD/G3LXxvwJR2ht8YTK1vwAAAAAcAAAA/AgA/AACAAAAAAAA8L8C0NVW7C+79j8CTvOOU3Qk278AAAAAHAAAAPwIAPwAAgAAAAAAAPC/AqvP1VbsL+U/AlVSJ6CJsPw/AAAAABgAAAD8BAD8AAIAAAAAAADwvwIJG55eKcv1vwIMJCh+jLn3vwAAAAAcAAAA/AgA/AACAAAAAAAA8L8C097gC5OpBEACmG4Sg8DK3T8AAAAAHAAAAPwIAPwAAgAAAAAAAPC/ApchjnVxmwBAAlVSJ6CJsPw/AAAAABgAAAD8BAD8AAIAAAAAAADwvwIhH/RsVn0FwAIuIR/0bFb/vwAAAAAgAAQEAAAAAAAAAAgEAAQEAAAAAAwIDAQEAAAABBAEAAAAAAAACBQEAAQEAAAADBgEAAQEAAAAEBwEAAAAAAAAFBgICAQEAAAAAAABAAAAAAAAAAAAAAAAAAAAAAAAAAAA</t>
        </r>
      </text>
    </comment>
    <comment ref="C142" authorId="0">
      <text>
        <r>
          <rPr>
            <sz val="9"/>
            <color indexed="81"/>
            <rFont val="Tahoma"/>
            <family val="2"/>
          </rPr>
          <t>Insight iXlW00003C0000142R0841462809S00000524P00716LAocjBAQBF1NjaVRlZ2ljLmRhdGEuTW9sZWN1bGUBbQF/ARJTY2lUZWdpYy5Nb2xlY3VsZQAAAQFkAv5qAQAAAAIAAiQYAAAA/AgA/AACAAAAAAAA8L8CDeAtkKD4478CqOhILv8hvb8AAAAAARAAAAD8BAD8AAIAAAAAAADwvwJdbcX+snvaPwIZBFYOLbLrPwAAAAAcAAAA/AgA/AACAAAAAAAA8L8CbXh6pSxDjL8C48eYu5aQ9r8AAAAAGAAAAPwIAPwAAgAAAAAAAPC/Ai2yne+nRgDAAkLPZtXnasM/AAAAABgAAAD8CAD8AAIAAAAAAADwvwJSSZ2AJsL6PwKMSuoENBHGPwAAAAAYAAAA/AgA/AACAAAAAAAA8L8C3+ALk6mC9j8CGQRWDi2y878AAAAAGAAAAPwEAPwAAgAAAAAAAPC/Ag8LtaZ5xwfAAphuEoPAyu2/AAAAACAAAAD8CAD8AAIAAAAAAADwvwI8vVKWIQ4EwAIE54wo7Q34PwAAAAAYAAAA/AQA/AACAAAAAAAA8L8CDwu1pnnHB0ACuK8D54wo6T8AAAAAJAAEBAAEBAAAAAAICAgEBAAAAAAMBAAAAAAAAAQQBAAEBAAAAAgUBAAEBAAAAAwYBAAAAAAAAAwcCAAAAAAAABAgBAAAAAAAABAUCAgEBAAAAAAAAQAAAAAAAAAAAAAAAAAAAAAAAAAAAA==</t>
        </r>
      </text>
    </comment>
    <comment ref="C143" authorId="0">
      <text>
        <r>
          <rPr>
            <sz val="9"/>
            <color indexed="81"/>
            <rFont val="Tahoma"/>
            <family val="2"/>
          </rPr>
          <t>Insight iXlW00003C0000143R0841462809S00000525P00920LAocjBAQBF1NjaVRlZ2ljLmRhdGEuTW9sZWN1bGUBbQF/ARJTY2lUZWdpYy5Nb2xlY3VsZQAAAQFkAv5qAQAAAAIAAjAYAAAA/AgA/AACAAAAAAAA8L8CJ1MFo5I6778C2fD0SlmG5L8AAAAAGAAAAPwIAPwAAgAAAAAAAPC/AidTBaOSOu+/AgTnjCjtDeg/AAAAABwAAAD8CAD8AAIAAAAAAADwvwJO845TdCTbPwJPQBNhw9PwvwAAAAAYAAAA/AgA/AACAAAAAAAA8L8C0ETY8PTKAcAChXzQs1n19b8AAAAAHAAAAPwIAPwAAgAAAAAAAPC/AqoT0ETY8Ng/AkM+6Nms+vI/AAAAABgAAAD8CAD8AAIAAAAAAADwvwLQRNjw9MoBwAJ5eqUsQxz4PwAAAAAYAAAA/AgA/AACAAAAAAAA8L8C2fD0SlmG9D8CUdobfGEypT8AAAAAGAAAAPwIAPwAAgAAAAAAAPC/AkzIBz2b1QvAAtnw9EpZhuS/AAAAABgAAAD8CAD8AAIAAAAAAADwvwJMyAc9m9ULwAIE54wo7Q3oPwAAAAAYAAAA/AgA/AACAAAAAAAA8L8C1lbsL7unBUACUdobfGEypT8AAAAAGAAAAPwEAPwAAgAAAAAAAPC/AtNNYhBYuQtAAqCJsOHplfM/AAAAACAAAAD8CAD8AAIAAAAAAADwvwL9h/Tb1wELQAIK+aBns+rzvwAAAAA0AAQICAQEAAAAAAgEAAQEAAAAAAwEAAQEAAAABBAEAAQEAAAABBQEAAQEAAAACBgEAAQEAAAADBwICAQEAAAAFCAICAQEAAAAGCQEAAAAAAAAJCgEAAAAAAAAJCwIAAAAAAAAEBgICAQEAAAAHCAEAAQEAAAAAAABAAAAAAAAAAAAAAAAAAAAAAAAAAAA</t>
        </r>
      </text>
    </comment>
    <comment ref="C144" authorId="0">
      <text>
        <r>
          <rPr>
            <sz val="9"/>
            <color indexed="81"/>
            <rFont val="Tahoma"/>
            <family val="2"/>
          </rPr>
          <t>Insight iXlW00003C0000144R0841462809S00000526P00712LAocjBAQBF1NjaVRlZ2ljLmRhdGEuTW9sZWN1bGUBbQF/ARJTY2lUZWdpYy5Nb2xlY3VsZQAAAQFkAv5qAQAAAAIAAiQYAAAA/AgA/AACAAAAAAAA8L8CvAUSFD/G0L8CumsJ+aBnoz8AAAAAGAAAAPwIAPwAAgAAAAAAAPC/AvOwUGuad9w/Atnw9EpZhvQ/AAAAABgAAAD8CAD8AAIAAAAAAADwvwLzsFBrmnfcPwK30QDeAgnzvwAAAAAYAAAA/AgA/AACAAAAAAAA8L8CNxrAWyBB+78CumsJ+aBnoz8AAAAAGAAAAPwIAPwAAgAAAAAAAPC/AnKKjuTyH/4/Atnw9EpZhvQ/AAAAABgAAAD8CAD8AAIAAAAAAADwvwJyio7k8h/+PwK30QDeAgnzvwAAAAAcAAAA/AgA/AACAAAAAAAA8L8C6Gor9pddA8AC2fD0SlmG9D8AAAAAHAAAAPwIAPwAAgAAAAAAAPC/AuhqK/aXXQPAArfRAN4CCfO/AAAAABgAAAD8CAD8AAIAAAAAAADwvwJPQBNhw9MEQAK6awn5oGejPwAAAAAkAAQEAAQEAAAAAAgICAQEAAAAAAwEAAAAAAAABBAICAQEAAAACBQEAAQEAAAADBgEAAAAAAAADBwIAAAAAAAAECAEAAQEAAAAFCAICAQEAAAAAAABAAAAAAAAAAAAAAAAAAAAAAAAAAAA</t>
        </r>
      </text>
    </comment>
    <comment ref="C145" authorId="0">
      <text>
        <r>
          <rPr>
            <sz val="9"/>
            <color indexed="81"/>
            <rFont val="Tahoma"/>
            <family val="2"/>
          </rPr>
          <t>Insight iXlW00003C0000145R0841462809S00000527P00712LAocjBAQBF1NjaVRlZ2ljLmRhdGEuTW9sZWN1bGUBbQF/ARJTY2lUZWdpYy5Nb2xlY3VsZQAAAQFkAv5qAQAAAAIAAiQcAAAA/AgA/AACAAAAAAAA8L8Cw/UoXI/CBcAC4noUrkfh6r8AAAAAGAAAAPwIAPwAAgAAAAAAAPC/Aj4K16NwPQzAAq5H4XoUrte/AAAAABgAAAD8CAD8AAIAAAAAAADwvwKQwvUoXI/+vwKuR+F6FK7XvwAAAAAYAAAA/AgA/AACAAAAAAAA8L8CPgrXo3A9DMACPgrXo3A94j8AAAAAGAAAAPwIAPwAAgAAAAAAAPC/ApDC9Shcj/6/Aj4K16NwPeI/AAAAACAAAAD8BAD8AAIAAAAAAADwvwJcj8L1KFwRwALiehSuR+HqvwAAAAAYAAAA/AgA/AACAAAAAAAA8L8Cw/UoXI/CBcACpHA9Ctej8D8AAAAAGAAAAPwEAPwAAgAAAAAAAPC/ApqZmZmZmfG/AqRwPQrXo/A/AAAAABgAAAD8BAD8AAIAAAAAAADwvwKQwvUoXI8UwAJSuB6F61HYvwAAAAAkBAAEAAQEAAAACAAICAQEAAAADAQICAQEAAAAEAgEAAQEAAAAFAQEAAAAAAAAGBAICAQEAAAAHBAEAAAAAAAAIBQEAAAAAAAADBgEAAQEAAAAAAABAAAAAAAAAAAAAAAAAAAAAAAAAAAA</t>
        </r>
      </text>
    </comment>
    <comment ref="C146" authorId="0">
      <text>
        <r>
          <rPr>
            <sz val="9"/>
            <color indexed="81"/>
            <rFont val="Tahoma"/>
            <family val="2"/>
          </rPr>
          <t>Insight iXlW00003C0000146R0841462809S00000528P00792LAocjBAQBF1NjaVRlZ2ljLmRhdGEuTW9sZWN1bGUBbQF/ARJTY2lUZWdpYy5Nb2xlY3VsZQAAAQFkAv5qAQAAAAIAAigYAAAA/AgA/AACAAAAAAAA8L8CE/JBz2bVtz8CBqOSOgFNtD8AAAAAGAAAAPwIAPwAAgAAAAAAAPC/AhPyQc9m1bc/ArKd76fGS/W/AAAAABgAAAD8CAD8AAIAAAAAAADwvwKyv+yePCz3PwLE0ytlGeLgPwAAAAAYAAAA/AgA/AACAAAAAAAA8L8CbHh6pSxD8r8CmpmZmZmZ6T8AAAAAGAAAAPwIAPwAAgAAAAAAAPC/AuXyH9JvX/K/AmRd3EYDeADAAAAAABwAAAD8CAD8AAIAAAAAAADwvwLFsS5uowH3PwLNzMzMzMz8vwAAAAAcAAAA/AgA/AACAAAAAAAA8L8CqTXNO05RAkACBhIUP8bc478AAAAAHAAAAPwEAPwAAgAAAAAAAPC/AmN/2T15WP4/Au7rwDkjSv4/AAAAABgAAAD8CAD8AAIAAAAAAADwvwL3deCcESUDwAIhQfFjzF27PwAAAAAYAAAA/AgA/AACAAAAAAAA8L8C93XgnBElA8ACsp3vp8ZL9b8AAAAALAAECAwEBAAAAAAIBAAEBAAAAAAMBAAEBAAAAAQQBAAEBAAAAAQUBAAEBAAAAAgYCAgEBAAAAAgcBAAAAAAAAAwgCAgEBAAAABAkCAgEBAAAABQYBAAEBAAAACAkBAAEBAAAAAAAAQAAAAAAAAAAAAAAAAAAAAAAAAAAAA==</t>
        </r>
      </text>
    </comment>
    <comment ref="C147" authorId="0">
      <text>
        <r>
          <rPr>
            <sz val="9"/>
            <color indexed="81"/>
            <rFont val="Tahoma"/>
            <family val="2"/>
          </rPr>
          <t>Insight iXlW00003C0000147R0841462809S00000529P00504LAocjBAQBF1NjaVRlZ2ljLmRhdGEuTW9sZWN1bGUBbQF/ARJTY2lUZWdpYy5Nb2xlY3VsZQAAAQFkAv5qAQAAAAIAAhgYAAAA/AgA/AACAAAAAAAA8L8Co5I6AU2E5b8Cf/s6cM6Isr8AAAAAGAAAAPwIAPwAAgAAAAAAAPC/AgTnjCjtDeg/An/7OnDOiLK/AAAAABgAAAD8BAD8AAIAAAAAAADwvwLrBDQRNjz2vwI6I0p7gy/1vwAAAAAgAAAA/AgA/AACAAAAAAAA8L8C6wQ0ETY89r8CYVRSJ6CJ8j8AAAAAGAAAAPwEAPwAAgAAAAAAAPC/Ah8Wak3zjvc/AjojSnuDL/W/AAAAACAAAAD8CAD8AAIAAAAAAADwvwIfFmpN8473PwJhVFInoInyPwAAAAAUAAQEAAAAAAAAAAgEAAAAAAAAAAwIAAAAAAAABBAEAAAAAAAABBQIAAAAAAAAAAABAAAAAAAAAAAAAAAAAAAAAAAAAAAA</t>
        </r>
      </text>
    </comment>
    <comment ref="C148" authorId="0">
      <text>
        <r>
          <rPr>
            <sz val="9"/>
            <color indexed="81"/>
            <rFont val="Tahoma"/>
            <family val="2"/>
          </rPr>
          <t>Insight iXlW00003C0000148R0841462809S00000530P00560LAocjBAQBF1NjaVRlZ2ljLmRhdGEuTW9sZWN1bGUBbQF/ARJTY2lUZWdpYy5Nb2xlY3VsZQAAAQFkAv5qAQAAAAIAAhwYAAAA/AgA/AACAAAAAAAA8L8AAuhqK/aX3cO/AAAAABgAAAD8CAD8AAIAAAAAAADwvwKBlUOLbOf1vwIIzhlR2hvQPwAAAAAgAAAA/AQA/AACAAAAAAAA8L8CT0ATYcPT8D8CoWez6nO16T8AAAAAIAAAAPwIAPwAAgAAAAAAAPC/AhUdyeU/pNM/AkA1XrpJDPm/AAAAABgAAAD8BAD8AAIAAAAAAADwvwLoaiv2l10DwAJuNIC3QILmvwAAAAAgAAAA/AgA/AACAAAAAAAA8L8Cx9y1hHzQ+r8CYVRSJ6CJ+j8AAAAAGAAAAPwEAPwAAgAAAAAAAPC/AuhqK/aXXQNAAjEIrBxaZNc/AAAAABgABAQAAAAAAAAACAQAAAAAAAAADAgAAAAAAAAEEAQAAAAAAAAEFAgAAAAAAAAIGAQAAAAAAAAAAAEAAAAAAAAAAAAAAAAAAAAAAAAAAAA=</t>
        </r>
      </text>
    </comment>
    <comment ref="C149" authorId="0">
      <text>
        <r>
          <rPr>
            <sz val="9"/>
            <color indexed="81"/>
            <rFont val="Tahoma"/>
            <family val="2"/>
          </rPr>
          <t>Insight iXlW00003C0000149R0841462809S00000531P00920LAocjBAQBF1NjaVRlZ2ljLmRhdGEuTW9sZWN1bGUBbQF/ARJTY2lUZWdpYy5Nb2xlY3VsZQAAAQFkAv5qAQAAAAIAAjAYAAAA/AgA/AACAAAAAAAA8L8CbqMBvAUS5r8CYcPTK2UZwr8AAAAAGAAAAPwIAPwAAgAAAAAAAPC/AoenV8oyxOE/AnicoiO5/OE/AAAAABgAAAD8CAD8AAIAAAAAAADwvwJuowG8BRLmvwIW+8vuycP5vwAAAAAYAAAA/AgA/AACAAAAAAAA8L8Cc2iR7Xw/AMACgNk9eVio0T8AAAAAGAAAAPwIAPwAAgAAAAAAAPC/AoenV8oyxOE/AnNoke18PwBAAAAAABgAAAD8CAD8AAIAAAAAAADwvwLNzMzMzMz8PwJhw9MrZRnCvwAAAAAcAAAA/AgA/AACAAAAAAAA8L8Cc2iR7Xw/AMACN6s+V1sxAMAAAAAAHAAAAPwEAPwAAgAAAAAAAPC/AraEfNCzWd0/Ag8LtaZ5xwPAAAAAABwAAAD8CAD8AAIAAAAAAADwvwKFDU+vlOUGwAK+wRcmUwXtvwAAAAAYAAAA/AgA/AACAAAAAAAA8L8CzczMzMzM/D8Cx0s3iUHgBUAAAAAAGAAAAPwIAPwAAgAAAAAAAPC/AuviNhrAWwhAAkM+6Nms+uI/AAAAABgAAAD8CAD8AAIAAAAAAADwvwLr4jYawFsIQAJzaJHtfD8AQAAAAAA0AAQEAAAAAAAAAAgIDAQEAAAAAAwEAAQEAAAABBAIDAQEAAAABBQEAAQEAAAACBgEAAQEAAAACBwEAAAAAAAADCAICAQEAAAAECQEAAQEAAAAFCgICAQEAAAAJCwICAQEAAAAGCAEAAQEAAAAKCwEAAQEAAAAAAABAAAAAAAAAAAAAAAAAAAAAAAAAAAA</t>
        </r>
      </text>
    </comment>
    <comment ref="C150" authorId="0">
      <text>
        <r>
          <rPr>
            <sz val="9"/>
            <color indexed="81"/>
            <rFont val="Tahoma"/>
            <family val="2"/>
          </rPr>
          <t>Insight iXlW00003C0000150R0841462809S00000532P01252LAocjBAQBF1NjaVRlZ2ljLmRhdGEuTW9sZWN1bGUBbQF/ARJTY2lUZWdpYy5Nb2xlY3VsZQAAAQFkAv5qAQAAAAIAAgERGAAAAPwIAPwAAgAAAAAAAPC/AvoP6bevA/a/AgJNhA1Pr8y/AAAAABgAAAD8CAD8AAIAAAAAAADwvwKFDU+vlOUCwAICTYQNT6/MvwAAAAAcAAAA/AgA/AACAAAAAAAA8L8CqaROQBNh6b8CWoY41sVt4j8AAAAAHAAAAPwIAPwAAgAAAAAAAPC/ApPLf0i/fem/Am1Wfa62YvC/AAAAABgAAAD8CAD8AAIAAAAAAADwvwLKw0Ktad4GwAKlvcEXJlPxvwAAAAAYAAAA/AgA/AACAAAAAAAA8L8CysNCrWneBsAC78nDQq1p5D8AAAAAHAAAAPwIAPwAAgAAAAAAAPC/An/7OnDOiMI/Ap7vp8ZLN9E/AAAAABwAAAD8CAD8AAIAAAAAAADwvwJ/+zpwzojCPwJQHhZqTfPmvwAAAAAYAAAA/AgA/AACAAAAAAAA8L8CjgbwFkjQDsACMSqpE9BE8b8AAAAAGAAAAPwIAPwAAgAAAAAAAPC/AgyTqYJRyQ7AAuj7qfHSTeQ/AAAAABgAAAD8BAD8AAIAAAAAAADwvwJ6WKg1zTvuPwIwTKYKRiXrPwAAAAAYAAAA/AgA/AACAAAAAAAA8L8CqaROQBNhEcACAk2EDU+vzL8AAAAAGAAAAPwIAPwAAgAAAAAAAPC/AqOSOgFNhP0/AvOwUGuad9w/AAAAACAAAAD8BAD8AAIAAAAAAADwvwK4rwPnjCgFQALi6ZWyDHHwPwAAAAAgAAAA/AgA/AACAAAAAAAA8L8Csr/snjws/z8CtMh2vp8a4b8AAAAAGAAAAPwEAPwAAgAAAAAAAPC/AuviNhrAWwxAAg3gLZCg+OM/AAAAABgAAAD8BAD8AAIAAAAAAADwvwKppE5AE2ERQAI3GsBbIEHzPwAAAAABEgAEBAAAAAAAAAAICAwEBAAAAAAMBAAEBAAAAAQQCAwEBAAAAAQUBAAEBAAAAAgYBAAEBAAAAAwcCAgEBAAAABAgBAAEBAAAABQkCAgEBAAAABgoBAAAAAAAACAsCAgEBAAAACgwBAAAAAAAADA0BAAAAAAAADA4CAAAAAAAADQ8BAAAAAAAADwBEAQAAAAAAAAYHAQABAQAAAAkLAQABAQAAAAAAAEAAAAAAAAAAAAAAAAAAAAAAAAAAAA=</t>
        </r>
      </text>
    </comment>
    <comment ref="C151" authorId="0">
      <text>
        <r>
          <rPr>
            <sz val="9"/>
            <color indexed="81"/>
            <rFont val="Tahoma"/>
            <family val="2"/>
          </rPr>
          <t>Insight iXlW00003C0000151R0841462809S00000533P00856LAocjBAQBF1NjaVRlZ2ljLmRhdGEuTW9sZWN1bGUBbQF/ARJTY2lUZWdpYy5Nb2xlY3VsZQAAAQFkAv5qAQAAAAIAAiwYAAAA/AgA/AACAAAAAAAA8L8CumsJ+aBno78CUdobfGEypb8AAAAAGAAAAPwIAPwAAgAAAAAAAPC/AnNoke18P/S/Au0NvjCZKui/AAAAABgAAAD8CAD8AAIAAAAAAADwvwLm0CLb+X7wPwIXSFD8GHPvvwAAAAAYAAAA/AgA/AACAAAAAAAA8L8CumsJ+aBno78CcoqO5PIf9j8AAAAAGAAAAPwIAPwAAgAAAAAAAPC/AnNoke18PwTAAm14eqUsQ6y/AAAAABgAAAD8BAD8AAIAAAAAAADwvwJMN4lBYOXuvwJt5/up8VIBwAAAAAAYAAAA/AQA/AACAAAAAAAA8L8CtoR80LNZ3T8C5fIf0m9fAsAAAAAAIAAAAPwIAPwAAgAAAAAAAPC/AiQofoy5awNAAn6utmJ/2eW/AAAAABgAAAD8CAD8AAIAAAAAAADwvwJVUiegibD0vwIPnDOitLcAQAAAAAAgAAAA/AQA/AACAAAAAAAA8L8CMzMzMzMz8z8CQDVeukkMAUAAAAAAGAAAAPwIAPwAAgAAAAAAAPC/AnNoke18PwTAAvoP6bevA/Y/AAAAADAABAgMBAQAAAAACAQABAAAAAAADAQABAQAAAAEEAQABAQAAAAEFAQABAAAAAAIGAQABAAAAAAIHAgAAAAAAAAMIAgIBAQAAAAMJAQAAAAAAAAQKAgIBAQAAAAUGAQABAAAAAAgKAQABAQAAAAAAAEAAAAAAAAAAAAAAAAAAAAAAAAAAAA=</t>
        </r>
      </text>
    </comment>
    <comment ref="C152" authorId="0">
      <text>
        <r>
          <rPr>
            <sz val="9"/>
            <color indexed="81"/>
            <rFont val="Tahoma"/>
            <family val="2"/>
          </rPr>
          <t>Insight iXlW00003C0000152R0841462809S00000534P00712LAocjBAQBF1NjaVRlZ2ljLmRhdGEuTW9sZWN1bGUBbQF/ARJTY2lUZWdpYy5Nb2xlY3VsZQAAAQFkAv5qAQAAAAIBAiQcAAAA/AgA/AACAAAAAAAA8L8CexSuR+F68L8C4noUrkfh2r8AAAAAGAAAAPwIAPwAAgAAAAAAAPC/AjMzMzMzM9M/AmdmZmZmZtY/AAAAABgMAAD8BAD8AAIAAAAAAADwvwIVrkfhehT6PwLiehSuR+HavwAAAAAgAAAA/AQA/AACAAAAAAAA8L8CFa5H4XoU+j8CNDMzMzMz/78AAAAAGAAAAPwIAPwAAgAAAAAAAPC/AuJ6FK5H4QLAAmdmZmZmZtY/AAAAABgAAAD8CAD8AAIAAAAAAADwvwIzMzMzMzPTPwI+CtejcD3+PwAAAAAYAAAA/AQA/AACAAAAAAAA8L8CrkfhehSuB0ACw/UoXI/C1T8AAAAAGAAAAPwIAPwAAgAAAAAAAPC/AuJ6FK5H4QLAAj4K16NwPf4/AAAAABgAAAD8CAD8AAIAAAAAAADwvwJ7FK5H4XrwvwJI4XoUrkcFQAAAAAAkBAAIDAQEAAAACAQEAAAAAAAACAwEEAAAAAAAEAAEAAQEAAAAFAQEAAQEAAAAGAgEAAAAAAAAHBAICAQEAAAAIBwEAAQEAAAAFCAICAQEAAAAAAABAAAAAAAAAAAAAAAAAAAAAAAAAAAA</t>
        </r>
      </text>
    </comment>
    <comment ref="C153" authorId="0">
      <text>
        <r>
          <rPr>
            <sz val="9"/>
            <color indexed="81"/>
            <rFont val="Tahoma"/>
            <family val="2"/>
          </rPr>
          <t>Insight iXlW00003C0000153R0841462809S00000535P01120LAocjBAQBF1NjaVRlZ2ljLmRhdGEuTW9sZWN1bGUBbQF/ARJTY2lUZWdpYy5Nb2xlY3VsZQAAAQFkAv5qAQAAAAIAAjwYAAAA/AgA/AACAAAAAAAA8L8CY3/ZPXlY/j8CAk2EDU+vzL8AAAAAGAAAAPwEAPwAAgAAAAAAAPC/AmN/2T15WP4/AuXyH9JvX/q/AAAAABgAAAD8CAD8AAIAAAAAAADwvwK+wRcmUwUJQAIfFmpN847fPwAAAAAYAAAA/AgA/AACAAAAAAAA8L8CwqikTkAT5T8CHxZqTfOO3z8AAAAAGAAAAPwEAPwAAgAAAAAAAPC/AsKopE5AE+U/AgyTqYJRyQLAAAAAACAAAAD8BAD8AAIAAAAAAADwvwK+wRcmUwUJQAK7uI0G8BYDwAAAAAAYAAAA/AgA/AACAAAAAAAA8L8CvsEXJlMFCUACxbEubqMB/z8AAAAAGAAAAPwIAPwAAgAAAAAAAPC/AsKopE5AE+U/AsWxLm6jAf8/AAAAABgAAAD8CAD8AAIAAAAAAADwvwJwXwfOGVHivwKLjuTyH9L5vwAAAAAYAAAA/AgA/AACAAAAAAAA8L8CY3/ZPXlY/j8Cc/kP6bcvBUAAAAAAGAAAAPwIAPwAAgAAAAAAAPC/AnBfB84ZUeK/An/7OnDOiMK/AAAAABwAAAD8CAD8AAIAAAAAAADwvwJJLv8h/fb8vwKjI7n8h3QCwAAAAAAYAAAA/AgA/AACAAAAAAAA8L8CSS7/If32/L8ClrIMcayL4T8AAAAAGAAAAPwIAPwAAgAAAAAAAPC/AqYsQxzrYgjAAouO5PIf0vm/AAAAABwAAAD8CAD8AAIAAAAAAADwvwKmLEMc62IIwAJ/+zpwzojCvwAAAAABEAAEBAAAAAAAAAAIBAAEBAAAAAAMCAwEBAAAAAQQBAAAAAAAAAQUBAAAAAAAAAgYCAgEBAAAAAwcBAAEBAAAABAgBAAAAAAAABgkBAAEBAAAACAoBAAEBAAAACAsCAwEBAAAACgwCAgEBAAAACw0BAAEBAAAADA4BAAEBAAAABwkCAgEBAAAADQ4CAgEBAAAAAAAAQAAAAAAAAAAAAAAAAAAAAAAAAAAAA==</t>
        </r>
      </text>
    </comment>
    <comment ref="C154" authorId="0">
      <text>
        <r>
          <rPr>
            <sz val="9"/>
            <color indexed="81"/>
            <rFont val="Tahoma"/>
            <family val="2"/>
          </rPr>
          <t>Insight iXlW00003C0000154R0841462809S00000536P00780LAocjBAQBF1NjaVRlZ2ljLmRhdGEuTW9sZWN1bGUBbQF/ARJTY2lUZWdpYy5Nb2xlY3VsZQAAAQFkAv5qAQAAAAIAAigYAAAA/AgA/AACAAAAAAAA8L8Cm+Ydp+jIF0ACAAAAAAAA6D8AAAAAGAAAAPwIAPwAAgAAAAAAAPC/Amb35GGhlhJAAgAAAAAAAPg/AAAAABwAAAD8CAD8AAIAAAAAAADwvwJm9+RhoZYSQAIAAAAAAAAIQAAAAAAYAAAA/AgA/AACAAAAAAAA8L8Cm+Ydp+jIF0ACAAAAAAAADkAAAAAAGAAAAPwIAPwAAgAAAAAAAPC/ArTqc7UV+xxAAgAAAAAAAAhAAAAAABgAAAD8CAD8AAIAAAAAAADwvwK06nO1FfscQAIAAAAAAAD4PwAAAAAYAAAA/AQA/AACAAAAAAAA8L8Cm+Ydp+jICkACAAAAAAAA6D8AAAAAGAAAAPwIAPwAAgAAAAAAAPC/AjEIrBxaZABAAgAAAAAAAPg/AAAAABgAAAD8CAD8AAIAAAAAAADwvwIAAAAAAADoPwIAAAAAAADoPwAAAAAYAAAA/AQA/AACAAAAAAAA8L8CZvfkYaEWIUACAAAAAAAA6D8AAAAAKAQIBAAEBAAAABAUCAgEBAAAABQABAAEBAAAAAAECAgEBAAAAAQYBAAAAAAAAAgMCAgEBAAAABgcBAAAAAAAABwgCAAAAAAAAAwQBAAEBAAAABQkBAAAAAAAAAAAAQAAAAAAAAAAAAAAAAAAAAAAAAAAAA==</t>
        </r>
      </text>
    </comment>
    <comment ref="C155" authorId="0">
      <text>
        <r>
          <rPr>
            <sz val="9"/>
            <color indexed="81"/>
            <rFont val="Tahoma"/>
            <family val="2"/>
          </rPr>
          <t>Insight iXlW00003C0000155R0841462809S00000537P00648LAocjBAQBF1NjaVRlZ2ljLmRhdGEuTW9sZWN1bGUBbQF/ARJTY2lUZWdpYy5Nb2xlY3VsZQAAAQFkAv5qAQAAAAIAAiAYAAAA/AwA/AACAAAAAAAA8L8CAAAAAAAAAkACMQisHFpkAEAAAAAAGAAAAPwIAPwAAgAAAAAAAPC/AgAAAAAAAA5AAjEIrBxaZABAAAAAABgAAAD8DAD8AAIAAAAAAADwvwIAAAAAAADoPwIxCKwcWmQAQAAAAAAcAAAA/AgA/AACAAAAAAAA8L8CAAAAAAAAEkACAAAAAAAA6D8AAAAAHAAAAPwIAPwAAgAAAAAAAPC/AgAAAAAAABJAApvmHafoyApAAAAAABgAAAD8CAD8AAIAAAAAAADwvwIAAAAAAAAbQAIxCKwcWmQAQAAAAAAYAAAA/AgA/AACAAAAAAAA8L8CAAAAAAAAGEACm+Ydp+jICkAAAAAAGAAAAPwIAPwAAgAAAAAAAPC/AgAAAAAAABhAAgAAAAAAAOg/AAAAACAEAAQAAAAAAAAIAAwAAAAAAAAMBAgMBAQAAAAQBAQABAQAAAAUGAQABAQAAAAYEAgIBAQAAAAcDAQABAQAAAAcFAgIBAQAAAAAAAEAAAAAAAAAAAAAAAAAAAAAAAAAAAA=</t>
        </r>
      </text>
    </comment>
    <comment ref="C156" authorId="0">
      <text>
        <r>
          <rPr>
            <sz val="9"/>
            <color indexed="81"/>
            <rFont val="Tahoma"/>
            <family val="2"/>
          </rPr>
          <t>Insight iXlW00003C0000156R0841462809S00000538P00712LAocjBAQBF1NjaVRlZ2ljLmRhdGEuTW9sZWN1bGUBbQF/ARJTY2lUZWdpYy5Nb2xlY3VsZQAAAQFkAv5qAQAAAAIAAiQYAAAA/AgA/AACAAAAAAAA8L8CvAUSFD/G0L8CumsJ+aBnoz8AAAAAGAAAAPwIAPwAAgAAAAAAAPC/AvOwUGuad9w/ArfRAN4CCfO/AAAAABwAAAD8CAD8AAIAAAAAAADwvwLzsFBrmnfcPwLZ8PRKWYb0PwAAAAAYAAAA/AgA/AACAAAAAAAA8L8CNxrAWyBB+78CumsJ+aBnoz8AAAAAGAAAAPwIAPwAAgAAAAAAAPC/AnKKjuTyH/4/ArfRAN4CCfO/AAAAABgAAAD8CAD8AAIAAAAAAADwvwJyio7k8h/+PwLZ8PRKWYb0PwAAAAAcAAAA/AgA/AACAAAAAAAA8L8C6Gor9pddA8AC2fD0SlmG9D8AAAAAIAAAAPwIAPwAAgAAAAAAAPC/AuhqK/aXXQPAArfRAN4CCfO/AAAAABgAAAD8CAD8AAIAAAAAAADwvwJPQBNhw9MEQAK6awn5oGejPwAAAAAkAAQEAAQEAAAAAAgICAQEAAAAAAwEAAAAAAAABBAICAQEAAAACBQEAAQEAAAADBgEAAAAAAAADBwIAAAAAAAAECAEAAQEAAAAFCAICAQEAAAAAAABAAAAAAAAAAAAAAAAAAAAAAAAAAAA</t>
        </r>
      </text>
    </comment>
    <comment ref="C157" authorId="0">
      <text>
        <r>
          <rPr>
            <sz val="9"/>
            <color indexed="81"/>
            <rFont val="Tahoma"/>
            <family val="2"/>
          </rPr>
          <t>Insight iXlW00003C0000157R0841462809S00000539P00780LAocjBAQBF1NjaVRlZ2ljLmRhdGEuTW9sZWN1bGUBbQF/ARJTY2lUZWdpYy5Nb2xlY3VsZQAAAQFkAv5qAQAAAAIAAigYAAAA/AgA/AACAAAAAAAA8L8C6Pup8dJN5D8CP1dbsb/s2r8AAAAAGAAAAPwIAPwAAgAAAAAAAPC/As3MzMzMzOw/AhdIUPwYc+8/AAAAABwAAAD8CAD8AAIAAAAAAADwvwIoDwu1pnn7PwKUh4Va07z1vwAAAAAYAAAA/AQA/AACAAAAAAAA8L8COUVHcvkP578C1QloImx47L8AAAAAGAAAAPwIAPwAAgAAAAAAAPC/AnyDL0ymCgJAArWmeccpOvc/AAAAABgAAAD8CAD8AAIAAAAAAADwvwJaZDvfT40IQALVCWgibHjsvwAAAAAYAAAA/AgA/AACAAAAAAAA8L8C0bNZ9bna/L8CXynLEMe6qD8AAAAAGAAAAPwIAPwAAgAAAAAAAPC/AtDVVuwvuwpAAuLplbIMceA/AAAAABwAAAD8CAD8AAIAAAAAAADwvwJaZDvfT434vwK1pnnHKTr3PwAAAAAgAAAA/AgA/AACAAAAAAAA8L8CMSqpE9BECcACP1dbsb/s2r8AAAAAKAAEBAAEBAAAAAAICAgEBAAAAAAMBAAAAAAAAAQQCAgEBAAAAAgUBAAEBAAAAAwYBAAAAAAAABAcBAAEBAAAABggBAAAAAAAABgkCAAAAAAAABQcCAgEBAAAAAAAAQAAAAAAAAAAAAAAAAAAAAAAAAAAAA==</t>
        </r>
      </text>
    </comment>
    <comment ref="C158" authorId="0">
      <text>
        <r>
          <rPr>
            <sz val="9"/>
            <color indexed="81"/>
            <rFont val="Tahoma"/>
            <family val="2"/>
          </rPr>
          <t>Insight iXlW00003C0000158R0841462809S00000540P00780LAocjBAQBF1NjaVRlZ2ljLmRhdGEuTW9sZWN1bGUBbQF/ARJTY2lUZWdpYy5Nb2xlY3VsZQAAAQFkAv5qAQAAAAIAAigYAAAA/AgA/AACAAAAAAAA8L8C/tR46SYx5D8CE/JBz2bV1z8AAAAAGAAAAPwIAPwAAgAAAAAAAPC/AtzXgXNGlOw/AvH0SlmGOPC/AAAAABwAAAD8CAD8AAIAAAAAAADwvwIkKH6MuWv7PwI6I0p7gy/1PwAAAAAcAAAA/AgA/AACAAAAAAAA8L8COUVHcvkP578CRiV1ApoI6z8AAAAAGAAAAPwIAPwAAgAAAAAAAPC/AsE5I0p7AwJAAoSezarP1fe/AAAAABgAAAD8CAD8AAIAAAAAAADwvwLc14FzRpQIQAJGJXUCmgjrPwAAAAAYAAAA/AgA/AACAAAAAAAA8L8CSS7/If32/L8Cf/s6cM6Isr8AAAAAGAAAAPwIAPwAAgAAAAAAAPC/AgyTqYJRyQpAAryWkA96NuG/AAAAABgAAAD8BAD8AAIAAAAAAADwvwLm0CLb+X74vwKEns2qz9X3vwAAAAAgAAAA/AgA/AACAAAAAAAA8L8C63O1FftLCcACE/JBz2bV1z8AAAAAKAAEBAAEBAAAAAAICAgEBAAAAAAMBAAAAAAAAAQQCAgEBAAAAAgUBAAEBAAAAAwYBAAAAAAAABAcBAAEBAAAABggBAAAAAAAABgkCAAAAAAAABQcCAgEBAAAAAAAAQAAAAAAAAAAAAAAAAAAAAAAAAAAAA==</t>
        </r>
      </text>
    </comment>
    <comment ref="C159" authorId="0">
      <text>
        <r>
          <rPr>
            <sz val="9"/>
            <color indexed="81"/>
            <rFont val="Tahoma"/>
            <family val="2"/>
          </rPr>
          <t>Insight iXlW00003C0000159R0841462809S00000541P00920LAocjBAQBF1NjaVRlZ2ljLmRhdGEuTW9sZWN1bGUBbQF/ARJTY2lUZWdpYy5Nb2xlY3VsZQAAAQFkAv5qAQAAAAIAAjAYAAAA/AgA/AACAAAAAAAA8L8Cpb3BFyZT4T8Ct9EA3gIJyr8AAAAAGAAAAPwIAPwAAgAAAAAAAPC/Au/Jw0KtaeS/AphuEoPAyt0/AAAAABgAAAD8CAD8AAIAAAAAAADwvwK0yHa+nxrhPwJANV66SQz5vwAAAAAYAAAA/AgA/AACAAAAAAAA8L8CdQKaCBseB0ACIUHxY8xdy78AAAAAGAAAAPwIAPwAAgAAAAAAAPC/Au/Jw0KtaeS/AsKopE5AE/0/AAAAABwAAAD8CAD8AAIAAAAAAADwvwJGR3L5D+n8vwK30QDeAgnKvwAAAAAgAAAA/AgA/AACAAAAAAAA8L8CNxrAWyBB+z8CAwmKH2PuAcAAAAAAHAAAAPwEAPwAAgAAAAAAAPC/Atnw9EpZhuS/Akm/fR045wHAAAAAABwAAAD8CAD8AAIAAAAAAADwvwK7uI0G8BYHQAK4rwPnjCj5vwAAAAAYAAAA/AgA/AACAAAAAAAA8L8CRkdy+Q/p/L8CgnNGlPYGBEAAAAAAGAAAAPwIAPwAAgAAAAAAAPC/AkLPZtXn6gfAAphuEoPAyt0/AAAAABgAAAD8CAD8AAIAAAAAAADwvwJCz2bV5+oHwALCqKROQBP9PwAAAAA0AAQEAAAAAAAAAAgIDAQEAAAAAAwEAAQEAAAABBAEAAQEAAAABBQIDAQEAAAACBgEAAQEAAAACBwEAAAAAAAADCAICAQEAAAAECQICAQEAAAAFCgEAAQEAAAAJCwEAAQEAAAAGCAEAAQEAAAAKCwICAQEAAAAAAABAAAAAAAAAAAAAAAAAAAAAAAAAAAA</t>
        </r>
      </text>
    </comment>
    <comment ref="C160" authorId="0">
      <text>
        <r>
          <rPr>
            <sz val="9"/>
            <color indexed="81"/>
            <rFont val="Tahoma"/>
            <family val="2"/>
          </rPr>
          <t>Insight iXlW00003C0000160R0841462809S00000542P00584LAocjBAQBF1NjaVRlZ2ljLmRhdGEuTW9sZWN1bGUBbQF/ARJTY2lUZWdpYy5Nb2xlY3VsZQAAAQFkAv5qAQAAAAIAAhwYAAAA/AgA/AACAAAAAAAA8L8CmpmZmZmZ2T8CuK8D54wo2T8AAAAAHAAAAPwIAPwAAgAAAAAAAPC/Av0Yc9cS8ue/AqjoSC7/Id2/AAAAABwAAAD8CAD8AAIAAAAAAADwvwLjWBe30QCuvwIZBFYOLbL7PwAAAAAcAAAA/AQA/AACAAAAAAAA8L8CSS7/If32/D8CbXh6pSxDfL8AAAAAGAAAAPwIAPwAAgAAAAAAAPC/Alhbsb/snv6/AsgpOpLLf9g/AAAAABgAAAD8BAD8AAIAAAAAAADwvwIbL90kBoHnvwJnZmZmZmb+vwAAAAAYAAAA/AgA/AACAAAAAAAA8L8CHxZqTfOO978CGQRWDi2y+z8AAAAAHAAEBAAEBAAAAAAICAgEBAAAAAAMBAAAAAAAAAQQBAAEBAAAAAQUBAAAAAAAAAgYBAAEBAAAABAYCAgEBAAAAAAAAQAAAAAAAAAAAAAAAAAAAAAAAAAAAA==</t>
        </r>
      </text>
    </comment>
    <comment ref="C161" authorId="0">
      <text>
        <r>
          <rPr>
            <sz val="9"/>
            <color indexed="81"/>
            <rFont val="Tahoma"/>
            <family val="2"/>
          </rPr>
          <t>Insight iXlW00003C0000161R0841462809S00000543P00920LAocjBAQBF1NjaVRlZ2ljLmRhdGEuTW9sZWN1bGUBbQF/ARJTY2lUZWdpYy5Nb2xlY3VsZQAAAQFkAv5qAQAAAAIAAjAYAAAA/AgA/AACAAAAAAAA8L8CQYLix5i71j8CDeAtkKD4478AAAAAGAAAAPwEAPwAAgAAAAAAAPC/AlAeFmpN89a/Ah3r4jYawOM/AAAAABgAAAD8CAD8AAIAAAAAAADwvwJRa5p3nKL8PwIN4C2QoPjjvwAAAAAcAAAA/AgA/AACAAAAAAAA8L8CUB4Wak3z1r8ClIeFWtO8/b8AAAAAGAAAAPwEAPwAAgAAAAAAAPC/AlVSJ6CJsPy/Ah3r4jYawOM/AAAAABwAAAD8BAD8AAIAAAAAAADwvwJBguLHmLvWPwKFfNCzWfX9PwAAAAAYAAAA/AgA/AACAAAAAAAA8L8CPL1SliEOBEAClIeFWtO8/b8AAAAAGAAAAPwIAPwAAgAAAAAAAPC/AkGC4seYu9Y/As3MzMzMzAjAAAAAABgAAAD8BAD8AAIAAAAAAADwvwI8vVKWIQ4EwAKFfNCzWfX9PwAAAAAYAAAA/AQA/AACAAAAAAAA8L8CUB4Wak3z1r8CzczMzMzMCEAAAAAAGAAAAPwIAPwAAgAAAAAAAPC/AlFrmnecovw/As3MzMzMzAjAAAAAABgAAAD8BAD8AAIAAAAAAADwvwJVUiegibD8vwLNzMzMzMwIQAAAAAA0AAQEAAAAAAAAAAgEAAQEAAAAAAwIDAQEAAAABBAEAAQAAAAABBQEAAQAAAAACBgICAQEAAAADBwEAAQEAAAAECAEAAQAAAAAFCQEAAQAAAAAGCgEAAQEAAAAICwEAAQAAAAAHCgICAQEAAAAJCwEAAQAAAAAAAABAAAAAAAAAAAAAAAAAAAAAAAAAAAA</t>
        </r>
      </text>
    </comment>
    <comment ref="C162" authorId="0">
      <text>
        <r>
          <rPr>
            <sz val="9"/>
            <color indexed="81"/>
            <rFont val="Tahoma"/>
            <family val="2"/>
          </rPr>
          <t>Insight iXlW00003C0000162R0841462809S00000544P01052LAocjBAQBF1NjaVRlZ2ljLmRhdGEuTW9sZWN1bGUBbQF/ARJTY2lUZWdpYy5Nb2xlY3VsZQAAAQFkAv5qAQAAAAIAAjgYAAAA/AgA/AACAAAAAAAA8L8CGQRWDi2y+78CJZf/kH770r8AAAAAGAAAAPwEAPwAAgAAAAAAAPC/Ai/dJAaBldu/AoenV8oyxOG/AAAAABgAAAD8CAD8AAIAAAAAAADwvwKL/WX35OEEwALJ5T+k3770vwAAAAAYAAAA/AgA/AACAAAAAAAA8L8C63O1FftLAcACcoqO5PIf7j8AAAAAHAAAAPwEAPwAAgAAAAAAAPC/Ai/dJAaBlds/Ai/dJAaBlds/AAAAABgAAAD8CAD8AAIAAAAAAADwvwKsrdhfdk8PwAJeS8gHPZvwvwAAAAAYAAAA/AgA/AACAAAAAAAA8L8C001iEFi5C8ACMzMzMzMz8z8AAAAAGAAAAPwIAPwAAgAAAAAAAPC/AhkEVg4tsvs/AoxK6gQ0EcY/AAAAABgAAAD8CAD8AAIAAAAAAADwvwKppE5AE2ERwAKamZmZmZnJPwAAAAAYAAAA/AgA/AACAAAAAAAA8L8C63O1FftLAUACQDVeukkM8b8AAAAAHAAAAPwIAPwAAgAAAAAAAPC/Aov9Zffk4QRAAlJJnYAmwvI/AAAAABgAAAD8CAD8AAIAAAAAAADwvwLTTWIQWLkLQAI6I0p7gy/1vwAAAAAYAAAA/AgA/AACAAAAAAAA8L8CrK3YX3ZPD0ACr7Zif9k97T8AAAAAGAAAAPwIAPwAAgAAAAAAAPC/AqmkTkATYRFAAueMKO0NvtS/AAAAADwABAQAAAAAAAAACAQABAQAAAAADAgMBAQAAAAEEAQAAAAAAAAIFAgIBAQAAAAMGAQABAQAAAAQHAQAAAAAAAAUIAQABAQAAAAcJAQABAQAAAAcKAgMBAQAAAAkLAgIBAQAAAAoMAQABAQAAAAsNAQABAQAAAAYIAgIBAQAAAAwNAgIBAQAAAAAAAEAAAAAAAAAAAAAAAAAAAAAAAAAAAA=</t>
        </r>
      </text>
    </comment>
    <comment ref="C163" authorId="0">
      <text>
        <r>
          <rPr>
            <sz val="9"/>
            <color indexed="81"/>
            <rFont val="Tahoma"/>
            <family val="2"/>
          </rPr>
          <t>Insight iXlW00003C0000163R0841462809S00000545P00988LAocjBAQBF1NjaVRlZ2ljLmRhdGEuTW9sZWN1bGUBbQF/ARJTY2lUZWdpYy5Nb2xlY3VsZQAAAQFkAv5qAQAAAAIAAjQYAAAA/AgA/AACAAAAAAAA8L8C1QloImx4qr8Ca7x0kxgEzr8AAAAAGAAAAPwIAPwAAgAAAAAAAPC/AlVSJ6CJsPS/Aj0s1JrmHd8/AAAAABgAAAD8CAD8AAIAAAAAAADwvwLVCWgibHiqvwLZzvdT46X6vwAAAAAcAAAA/AgA/AACAAAAAAAA8L8CQz7o2az68j8CPSzUmuYd3z8AAAAAGAAAAPwIAPwAAgAAAAAAAPC/AvH0SlmGOATAAnulLEMc68q/AAAAABgAAAD8CAD8AAIAAAAAAADwvwJVUiegibD0vwJMN4lBYOX+PwAAAAAcAAAA/AgA/AACAAAAAAAA8L8CQz7o2az68j8CdQKaCBseA8AAAAAAGAAAAPwIAPwAAgAAAAAAAPC/AmrecYqOZANAAmu8dJMYBM6/AAAAABgAAAD8CAD8AAIAAAAAAADwvwI6tMh2vh8OwAI9LNSa5h3fPwAAAAAYAAAA/AgA/AACAAAAAAAA8L8C8fRKWYY4BMAC9GxWfa42BUAAAAAAGAAAAPwIAPwAAgAAAAAAAPC/AmrecYqOZANAAtnO91Pjpfq/AAAAABgAAAD8CAD8AAIAAAAAAADwvwI6tMh2vh8OwAI9LNSa5h3/PwAAAAAcAAAA/AQA/AACAAAAAAAA8L8C63O1FftLDUACdQKaCBseA8AAAAAAOAAEBAAAAAAAAAAIBAAEBAAAAAAMCAwEBAAAAAQQBAAEBAAAAAQUCAwEBAAAAAgYCAgEBAAAAAwcBAAEBAAAABAgCAgEBAAAABQkBAAEBAAAABgoBAAEBAAAACAsBAAEBAAAACgwBAAAAAAAABwoCAgEBAAAACQsCAgEBAAAAAAAAQAAAAAAAAAAAAAAAAAAAAAAAAAAAA==</t>
        </r>
      </text>
    </comment>
    <comment ref="C164" authorId="0">
      <text>
        <r>
          <rPr>
            <sz val="9"/>
            <color indexed="81"/>
            <rFont val="Tahoma"/>
            <family val="2"/>
          </rPr>
          <t>Insight iXlW00003C0000164R0841462809S00000546P00648LAocjBAQBF1NjaVRlZ2ljLmRhdGEuTW9sZWN1bGUBbQF/ARJTY2lUZWdpYy5Nb2xlY3VsZQAAAQFkAv5qAQAAAAIAAiAYAAAA/AgA/AACAAAAAAAA8L8CbVZ9rrZi+D8CBqOSOgFNtL8AAAAAGAAAAPwIAPwAAgAAAAAAAPC/AouO5PIf0uk/AjY8vVKWIfW/AAAAABgAAAD8CAD8AAIAAAAAAADwvwKLjuTyH9LpPwJdbcX+snvyPwAAAAAYAAAA/AQA/AACAAAAAAAA8L8CjpduEoPAB0ACBqOSOgFNtL8AAAAAGAAAAPwIAPwAAgAAAAAAAPC/AhUdyeU/pOO/AjY8vVKWIfW/AAAAABwAAAD8CAD8AAIAAAAAAADwvwIVHcnlP6TjvwJdbcX+snvyPwAAAAAYAAAA/AgA/AACAAAAAAAA8L8Co5I6AU2E9b8CBqOSOgFNtL8AAAAAHAAAAPwEAPwAAgAAAAAAAPC/Amx4eqUsQwbAAgajkjoBTbS/AAAAACAABAQABAQAAAAACAgIBAQAAAAADAQAAAAAAAAEEAgIBAQAAAAIFAQABAQAAAAQGAQABAQAAAAYHAQAAAAAAAAUGAgIBAQAAAAAAAEAAAAAAAAAAAAAAAAAAAAAAAAAAAA=</t>
        </r>
      </text>
    </comment>
    <comment ref="C165" authorId="0">
      <text>
        <r>
          <rPr>
            <sz val="9"/>
            <color indexed="81"/>
            <rFont val="Tahoma"/>
            <family val="2"/>
          </rPr>
          <t>Insight iXlW00003C0000165R0841462809S00000547P00648LAocjBAQBF1NjaVRlZ2ljLmRhdGEuTW9sZWN1bGUBbQF/ARJTY2lUZWdpYy5Nb2xlY3VsZQAAAQFkAv5qAQAAAAIAAiAYAAAA/AgA/AACAAAAAAAA8L8Ct9EA3gIJyr8C5BQdyeU/zD8AAAAAGAAAAPwIAPwAAgAAAAAAAPC/ArfRAN4CCco/AvjkYaHWNPK/AAAAABwAAAD8CAD8AAIAAAAAAADwvwLtDb4wmSroPwJRa5p3nKL0PwAAAAAcAAAA/AQA/AACAAAAAAAA8L8CnoAmwoan+b8CvJaQD3o24T8AAAAAGAAAAPwIAPwAAgAAAAAAAPC/Ap6AJsKGp/k/Aio6kst/SPe/AAAAABgAAAD8CAD8AAIAAAAAAADwvwKvtmJ/2T0BQAJbQj7o2azuPwAAAAAYAAAA/AQA/AACAAAAAAAA8L8CVVInoImwBMACCM4ZUdob4L8AAAAAGAAAAPwIAPwAAgAAAAAAAPC/AlVSJ6CJsARAAqoT0ETY8Ni/AAAAACAABAQABAQAAAAACAgIBAQAAAAADAQAAAAAAAAEEAgIBAQAAAAIFAQABAQAAAAMGAQAAAAAAAAQHAQABAQAAAAUHAgIBAQAAAAAAAEAAAAAAAAAAAAAAAAAAAAAAAAAAAA=</t>
        </r>
      </text>
    </comment>
    <comment ref="C166" authorId="0">
      <text>
        <r>
          <rPr>
            <sz val="9"/>
            <color indexed="81"/>
            <rFont val="Tahoma"/>
            <family val="2"/>
          </rPr>
          <t>Insight iXlW00003C0000166R0841462809S00000548P00716LAocjBAQBF1NjaVRlZ2ljLmRhdGEuTW9sZWN1bGUBbQF/ARJTY2lUZWdpYy5Nb2xlY3VsZQAAAQFkAv5qAQAAAAIAAiQYAAAA/AgA/AACAAAAAAAA8L8CUB4Wak3z5j8CrYvbaABv0T8AAAAAGAAAAPwIAPwAAgAAAAAAAPC/AuC+DpwzouS/Ap7vp8ZLN8G/AAAAABwAAAD8CAD8AAIAAAAAAADwvwJSSZ2AJsLyPwJ8gy9Mpgr6PwAAAAABEAAAAPwEAPwAAgAAAAAAAPC/AmN/2T15WP4/AlqGONbFbeK/AAAAABgAAAD8BAD8AAIAAAAAAADwvwIwTKYKRiX7vwIhQfFjzF3rPwAAAAAgAAAA/AgA/AACAAAAAAAA8L8CW0I+6Nms7r8CWmQ730+N+L8AAAAAGAAAAPwIAPwAAgAAAAAAAPC/ArivA+eMKAVAAnyDL0ymCvo/AAAAABgAAAD8CAD8AAIAAAAAAADwvwKmLEMc62IIQAKcxCCwcmjVPwAAAAAYAAAA/AQA/AACAAAAAAAA8L8CpixDHOtiCMACxv6ye/Kw3D8AAAAAJAAEBAAAAAAAAAAICAwEBAAAAAAMBAAEBAAAAAQQBAAAAAAAAAQUCAAAAAAAAAgYBAAEBAAAAAwcBAAEBAAAABAgBAAAAAAAABgcCAgEBAAAAAAAAQAAAAAAAAAAAAAAAAAAAAAAAAAAAA==</t>
        </r>
      </text>
    </comment>
    <comment ref="C167" authorId="0">
      <text>
        <r>
          <rPr>
            <sz val="9"/>
            <color indexed="81"/>
            <rFont val="Tahoma"/>
            <family val="2"/>
          </rPr>
          <t>Insight iXlW00003C0000167R0841462809S00000549P00976LAocjBAQBF1NjaVRlZ2ljLmRhdGEuTW9sZWN1bGUBbQF/ARJTY2lUZWdpYy5Nb2xlY3VsZQAAAQFkAv5qAQAAAAIAAjQYAAAA/AgA/AACAAAAAAAA8L8CkX77OnDO8z8C9wZfmEwV5D8AAAAAHAAAAPwEAPwAAgAAAAAAAPC/AAIYJlMFo5L1PwAAAAAYAAAA/AgA/AACAAAAAAAA8L8CkX77OnDO8z8CuK8D54wo6b8AAAAAHAAAAPwIAPwAAgAAAAAAAPC/AsRCrWne8QNAAhgmUwWjkvU/AAAAABgAAAD8CAD8AAIAAAAAAADwvwKRfvs6cM7zvwL3Bl+YTBXkPwAAAAAYAAAA/AgA/AACAAAAAAAA8L8CxEKtad7xA0AC8fRKWYY4+L8AAAAAGAAAAPwIAPwAAgAAAAAAAPC/Ag0CK4cW2Q1AAvcGX5hMFeQ/AAAAABgAAAD8CAD8AAIAAAAAAADwvwLEQq1p3vEDwAIYJlMFo5L1PwAAAAAcAAAA/AgA/AACAAAAAAAA8L8CkX77OnDO878CuK8D54wo6b8AAAAAGAAAAPwIAPwAAgAAAAAAAPC/Ag0CK4cW2Q1AArivA+eMKOm/AAAAABgAAAD8CAD8AAIAAAAAAADwvwINAiuHFtkNwAL3Bl+YTBXkPwAAAAAYAAAA/AgA/AACAAAAAAAA8L8CxEKtad7xA8AC8fRKWYY4+L8AAAAAGAAAAPwIAPwAAgAAAAAAAPC/Ag0CK4cW2Q3AArivA+eMKOm/AAAAADgABAQAAAAAAAAACAQABAQAAAAADAgMBAQAAAAEEAQAAAAAAAAIFAgIBAQAAAAMGAQABAQAAAAQHAQABAQAAAAQIAgMBAQAAAAUJAQABAQAAAAcKAgIBAQAAAAgLAQABAQAAAAoMAQABAQAAAAYJAgIBAQAAAAsMAgIBAQAAAAAAAEAAAAAAAAAAAAAAAAAAAAAAAAAAAA=</t>
        </r>
      </text>
    </comment>
    <comment ref="C168" authorId="0">
      <text>
        <r>
          <rPr>
            <sz val="9"/>
            <color indexed="81"/>
            <rFont val="Tahoma"/>
            <family val="2"/>
          </rPr>
          <t>Insight iXlW00003C0000168R0841462809S00000550P01052LAocjBAQBF1NjaVRlZ2ljLmRhdGEuTW9sZWN1bGUBbQF/ARJTY2lUZWdpYy5Nb2xlY3VsZQAAAQFkAv5qAQAAAAIAAjgYAAAA/AgA/AACAAAAAAAA8L8CXtxGA3iLAcACGCZTBaOS9T8AAAAAGAAAAPwIAPwAAgAAAAAAAPC/AmPuWkI+aAHAAtUJaCJseLo/AAAAABwAAAD8CAD8AAIAAAAAAADwvwLVCWgibHiqvwL6D+m3rwP2PwAAAAAYAAAA/AgA/AACAAAAAAAA8L8CbHh6pSxDCsACKjqSy39I/z8AAAAAARAAAAD8BAD8AAIAAAAAAADwvwKWsgxxrIvxvwLyY8xdS8jfvwAAAAAYAAAA/AgA/AACAAAAAAAA8L8CbHh6pSxDCsAC6bevA+eM4L8AAAAAGAAAAPwIAPwAAgAAAAAAAPC/Am14eqUsQ5y/Ap7vp8ZLN8E/AAAAABgAAAD8CAD8AAIAAAAAAADwvwKppE5AE2ERwAIYJlMFo5L1PwAAAAAYAAAA/AgA/AACAAAAAAAA8L8CqaROQBNhEcAC1QloImx4uj8AAAAAGAAAAPwEAPwAAgAAAAAAAPC/AtbFbTSAt/A/Ai6QoPgx5t6/AAAAABgAAAD8BAD8AAIAAAAAAADwvwKL/WX35OEAQAKe76fGSzfBPwAAAAAYAAAA/AgA/AACAAAAAAAA8L8CoKut2F92CUACLpCg+DHm3r8AAAAAIAAAAPwEAPwAAgAAAAAAAPC/AuGcEaW9ARFAAp7vp8ZLN8E/AAAAACAAAAD8CAD8AAIAAAAAAADwvwKgq63YX3YJQAIoDwu1pnn7vwAAAAA8AAQICAQEAAAAAAgEAAQEAAAAAAwEAAQEAAAABBAEAAQEAAAABBQEAAQEAAAACBgIDAQEAAAADBwICAQEAAAAFCAICAQEAAAAGCQEAAAAAAAAJCgEAAAAAAAAKCwEAAAAAAAALDAEAAAAAAAALDQIAAAAAAAAEBgEAAQEAAAAHCAEAAQEAAAAAAABAAAAAAAAAAAAAAAAAAAAAAAAAAAA</t>
        </r>
      </text>
    </comment>
    <comment ref="C169" authorId="0">
      <text>
        <r>
          <rPr>
            <sz val="9"/>
            <color indexed="81"/>
            <rFont val="Tahoma"/>
            <family val="2"/>
          </rPr>
          <t>Insight iXlW00003C0000169R0841462809S00000551P00988LAocjBAQBF1NjaVRlZ2ljLmRhdGEuTW9sZWN1bGUBbQF/ARJTY2lUZWdpYy5Nb2xlY3VsZQAAAQFkAv5qAQAAAAIAAjQYAAAA/AgA/AACAAAAAAAA8L8CBqOSOgFNxL8CjErqBDQR1j8AAAAAGAAAAPwIAPwAAgAAAAAAAPC/AvoP6bevA/a/AiNseHqlLNe/AAAAABwAAAD8CAD8AAIAAAAAAADwvwIxKqkT0ETxPwIjbHh6pSzXvwAAAAAYAAAA/AgA/AACAAAAAAAA8L8CBqOSOgFNxL8CYHZPHhZq/D8AAAAAGAAAAPwIAPwAAgAAAAAAAPC/AktZhjjWxQTAAoxK6gQ0EdY/AAAAABwAAAD8CAD8AAIAAAAAAADwvwL6D+m3rwP2vwJgdk8eFmr8vwAAAAAYAAAA/AgA/AACAAAAAAAA8L8C3+ALk6mCAkACjErqBDQR1j8AAAAAGAAAAPwIAPwAAgAAAAAAAPC/AjEqqRPQRPE/AoiFWtO84wNAAAAAABgAAAD8CAD8AAIAAAAAAADwvwJhVFInoIkOwAIjbHh6pSzXvwAAAAAYAAAA/AgA/AACAAAAAAAA8L8CS1mGONbFBMACiIVa07zjA8AAAAAAHAAAAPwIAPwAAgAAAAAAAPC/At/gC5OpggJAAmB2Tx4Wavw/AAAAABwAAAD8BAD8AAIAAAAAAADwvwISFD/G3LUNQALVmuYdp+jcvwAAAAAYAAAA/AgA/AACAAAAAAAA8L8CYVRSJ6CJDsACYHZPHhZq/L8AAAAAOAAEBAAAAAAAAAAIBAAEBAAAAAAMCAwEBAAAAAQQBAAEBAAAAAQUCAwEBAAAAAgYCAgEBAAAAAwcBAAEBAAAABAgCAgEBAAAABQkBAAEBAAAABgoBAAEBAAAABgsBAAAAAAAACAwBAAEBAAAABwoCAgEBAAAACQwCAgEBAAAAAAAAQAAAAAAAAAAAAAAAAAAAAAAAAAAAA==</t>
        </r>
      </text>
    </comment>
    <comment ref="C170" authorId="0">
      <text>
        <r>
          <rPr>
            <sz val="9"/>
            <color indexed="81"/>
            <rFont val="Tahoma"/>
            <family val="2"/>
          </rPr>
          <t>Insight iXlW00003C0000170R0841462809S00000552P00768LAocjBAQBF1NjaVRlZ2ljLmRhdGEuTW9sZWN1bGUBbQF/ARJTY2lUZWdpYy5Nb2xlY3VsZQAAAQFkAv5qAQAAAAIAAigYAAAA/AQA/AACAAAAAAAA8L8CPSzUmuZdHEAC0NVW7C+7AkAAAAAAGAAAAPwEAPwAAgAAAAAAAPC/Ao4G8BZIkCBAAu9aQj7o2fY/AAAAABgAAAD8BAD8AAIAAAAAAADwvwKEns2qzzUgQAKkAbwFEpQLQAAAAAAYAAAA/AQA/AACAAAAAAAA8L8CchsN4C1QGEACpAG8BRKUC0AAAAAAGAAAAPwEAPwAAgAAAAAAAPC/AgAAAAAAAOg/AgAAAAAAAOg/AAAAABwAAAD8CAD8AAIAAAAAAADwvwJeS8gHPZsKQAJ3LSEf9GzxPwAAAAAcAAAA/AQA/AACAAAAAAAA8L8CC9ejcD0K/z8CQKTfvg6c+j8AAAAAGAAAAPwIAPwAAgAAAAAAAPC/Ao4G8BZIEBJAAhQ/xty1BABAAAAAACAAAAD8CAD8AAIAAAAAAADwvwJkzF1LyEcRQAKZTBWMSuoLQAAAAAAgAAAA/AQA/AACAAAAAAAA8L8CejarPlebF0AC71pCPujZ9j8AAAAAJAAEBAAAAAAAAAAIBAAAAAAAAAAMBAAAAAAAABQYBAAAAAAAABwgCAAAAAAAABwkBAAAAAAAABQcBAAAAAAAAAAkBAAAAAAAABAYBAAAAAAAAAAAAQAAAAAAAAAAAAAAAAAAAAAAAAAAAA==</t>
        </r>
      </text>
    </comment>
    <comment ref="C171" authorId="0">
      <text>
        <r>
          <rPr>
            <sz val="9"/>
            <color indexed="81"/>
            <rFont val="Tahoma"/>
            <family val="2"/>
          </rPr>
          <t>Insight iXlW00003C0000171R0841462809S00000553P00780LAocjBAQBF1NjaVRlZ2ljLmRhdGEuTW9sZWN1bGUBbQF/ARJTY2lUZWdpYy5Nb2xlY3VsZQAAAQFkAv5qAQAAAAIAAigYAAAA/AgA/AACAAAAAAAA8L8CIUHxY8xd2z8Cf/s6cM6Isr8AAAAAGAAAAPwIAPwAAgAAAAAAAPC/AidTBaOSOu+/ApqZmZmZmbk/AAAAABgAAAD8CAD8AAIAAAAAAADwvwInUwWjkjrvPwLf4AuTqYL2vwAAAAAcAAAA/AgA/AACAAAAAAAA8L8CvsEXJlMF9T8C1sVtNIC38D8AAAAAIAAAAPwEAPwAAgAAAAAAAPC/ApSHhVrTvP2/Am1Wfa62YvC/AAAAACAAAAD8CAD8AAIAAAAAAADwvwLi6ZWyDHH4vwJIUPwYc9f2PwAAAAAYAAAA/AgA/AACAAAAAAAA8L8CcPCFyVRBA0ACIh/0bFZ9+b8AAAAAGAAAAPwIAPwAAgAAAAAAAPC/AgMJih9j7gVAAiFB8WPMXes/AAAAABgAAAD8BAD8AAIAAAAAAADwvwJseHqlLEMKwAJdbcX+snvqvwAAAAAYAAAA/AgA/AACAAAAAAAA8L8CbHh6pSxDCkACqOhILv8h3b8AAAAAKAAEBAAAAAAAAAAIBAAEBAAAAAAMCAwEBAAAAAQQBAAAAAAAAAQUCAAAAAAAAAgYCAgEBAAAAAwcBAAEBAAAABAgBAAAAAAAABgkBAAEBAAAABwkCAgEBAAAAAAAAQAAAAAAAAAAAAAAAAAAAAAAAAAAAA==</t>
        </r>
      </text>
    </comment>
    <comment ref="C172" authorId="0">
      <text>
        <r>
          <rPr>
            <sz val="9"/>
            <color indexed="81"/>
            <rFont val="Tahoma"/>
            <family val="2"/>
          </rPr>
          <t>Insight iXlW00003C0000172R0841462809S00000554P00844LAocjBAQBF1NjaVRlZ2ljLmRhdGEuTW9sZWN1bGUBbQF/ARJTY2lUZWdpYy5Nb2xlY3VsZQAAAQFkAv5qAQAAAAIAAiwYAAAA/AQA/AACAAAAAAAA8L8CZvfkYaGWEkACAAAAAAAA6D8AAAAAGAAAAPwIAPwAAgAAAAAAAPC/ApvmHafoyApAAgAAAAAAAPg/AAAAABwAAAD8CAD8AAIAAAAAAADwvwK06nO1FfscQAIAAAAAAADoPwAAAAAcAAAA/AgA/AACAAAAAAAA8L8CZvfkYaEWIUACAAAAAAAACEAAAAAAGAAAAPwIAPwAAgAAAAAAAPC/ApvmHafoyBdAAgAAAAAAAPg/AAAAACAAAAD8CAD8AAIAAAAAAADwvwKb5h2n6MgKQAIAAAAAAAAIQAAAAAAYAAAA/AgA/AACAAAAAAAA8L8CZvfkYaEWIUACAAAAAAAA+D8AAAAAIAAAAPwEAPwAAgAAAAAAAPC/AjEIrBxaZABAAgAAAAAAAOg/AAAAABgAAAD8CAD8AAIAAAAAAADwvwKb5h2n6MgXQAIAAAAAAAAIQAAAAAAYAAAA/AgA/AACAAAAAAAA8L8CtOpztRX7HEACAAAAAAAADkAAAAAAGAAAAPwEAPwAAgAAAAAAAPC/AgAAAAAAAOg/AgAAAAAAAPg/AAAAACwEAAQAAAAAAAAIEAgMBAQAAAAMJAQABAQAAAAQAAQAAAAAAAAUBAgAAAAAAAAYCAQABAQAAAAcBAQAAAAAAAAgEAQABAQAAAAkIAgIBAQAAAAoHAQAAAAAAAAYDAgIBAQAAAAAAAEAAAAAAAAAAAAAAAAAAAAAAAAAAAA=</t>
        </r>
      </text>
    </comment>
    <comment ref="C173" authorId="0">
      <text>
        <r>
          <rPr>
            <sz val="9"/>
            <color indexed="81"/>
            <rFont val="Tahoma"/>
            <family val="2"/>
          </rPr>
          <t>Insight iXlW00003C0000173R0841462809S00000555P00856LAocjBAQBF1NjaVRlZ2ljLmRhdGEuTW9sZWN1bGUBbQF/ARJTY2lUZWdpYy5Nb2xlY3VsZQAAAQFkAv5qAQAAAAIAAiwYAAAA/AgA/AACAAAAAAAA8L8CYxBYObQIFkACm+Ydp+jICkAAAAAAGAAAAPwIAPwAAgAAAAAAAPC/AmMQWDm0CBxAApvmHafoyApAAAAAABgAAAD8CAD8AAIAAAAAAADwvwJjEFg5tAgfQAIxCKwcWmQAQAAAAAAYAAAA/AgA/AACAAAAAAAA8L8CYxBYObQIHEACAAAAAAAA6D8AAAAAGAAAAPwIAPwAAgAAAAAAAPC/AmMQWDm0CBZAAgAAAAAAAOg/AAAAABgAAAD8CAD8AAIAAAAAAADwvwJjEFg5tAgTQAIxCKwcWmQAQAAAAAAYAAAA/AgA/AACAAAAAAAA8L8CMZkqGJVUCkAC3gIJih/jAkAAAAAAHAAAAPwIAPwAAgAAAAAAAPC/Avp+arx0EwlAAsNkqmBU0g5AAAAAABwAAAD8CAD8AAIAAAAAAADwvwJNFYxK6gQSQALvWkI+6NkRQAAAAAAYAAAA/AQA/AACAAAAAAAA8L8CAAAAAAAA6D8CNjy9UpYh/T8AAAAAIAAAAPwEAPwAAgAAAAAAAPC/Au/Jw0KtaQFAAmUZ4lgXt/U/AAAAADAABAgIBAQAAAAAFAQABAQAAAAAIAQABAQAAAAECAQABAQAAAAIDAgIBAQAAAAMEAQABAQAAAAQFAgIBAQAAAAUGAQABAQAAAAYHAgIBAQAAAAYKAQAAAAAAAAcIAQABAQAAAAkKAQAAAAAAAAAAAEAAAAAAAAAAAAAAAAAAAAAAAAAAAA=</t>
        </r>
      </text>
    </comment>
    <comment ref="C174" authorId="0">
      <text>
        <r>
          <rPr>
            <sz val="9"/>
            <color indexed="81"/>
            <rFont val="Tahoma"/>
            <family val="2"/>
          </rPr>
          <t>Insight iXlW00003C0000174R0841462809S00000556P00856LAocjBAQBF1NjaVRlZ2ljLmRhdGEuTW9sZWN1bGUBbQF/ARJTY2lUZWdpYy5Nb2xlY3VsZQAAAQFkAv5qAQAAAAIAAiwYAAAA/AgA/AACAAAAAAAA8L8CGy/dJAaB578C0bNZ9bna5D8AAAAAGAAAAPwIAPwAAgAAAAAAAPC/Aru4jQbwFvu/AnyDL0ymCtq/AAAAABgAAAD8CAD8AAIAAAAAAADwvwLRs1n1udrkPwIjbHh6pSzXPwAAAAAcAAAA/AgA/AACAAAAAAAA8L8Co7Q3+MJk978C7uvAOSNK/j8AAAAAGAAAAPwIAPwAAgAAAAAAAPC/ArU3+MJkKgjAAuhqK/aX3cM/AAAAABgAAAD8CAD8AAIAAAAAAADwvwJ+jLlrCfnzvwLo+6nx0k38vwAAAAAYAAAA/AgA/AACAAAAAAAA8L8ClrIMcayL8T8CHxZqTfOO778AAAAAIAAAAPwEAPwAAgAAAAAAAPC/ApqZmZmZmfk/Akw3iUFg5fY/AAAAABgAAAD8CAD8AAIAAAAAAADwvwJDPujZrPoGwAKppE5AE2H5PwAAAAAYAAAA/AgA/AACAAAAAAAA8L8CuycPC7WmwT8CZF3cRgN4AMAAAAAAGAAAAPwEAPwAAgAAAAAAAPC/ArU3+MJkKghAAvT91HjpJvI/AAAAADAABAgMBAQAAAAACAQABAQAAAAADAQABAQAAAAEEAQABAQAAAAEFAQABAQAAAAIGAgIBAQAAAAIHAQAAAAAAAAMIAQABAQAAAAUJAgIBAQAAAAcKAQAAAAAAAAQIAgIBAQAAAAYJAQABAQAAAAAAAEAAAAAAAAAAAAAAAAAAAAAAAAAAAA=</t>
        </r>
      </text>
    </comment>
    <comment ref="C175" authorId="0">
      <text>
        <r>
          <rPr>
            <sz val="9"/>
            <color indexed="81"/>
            <rFont val="Tahoma"/>
            <family val="2"/>
          </rPr>
          <t>Insight iXlW00003C0000175R0841462809S00000557P00780LAocjBAQBF1NjaVRlZ2ljLmRhdGEuTW9sZWN1bGUBbQF/ARJTY2lUZWdpYy5Nb2xlY3VsZQAAAQFkAv5qAQAAAAIAAigcAAAA/AgA/AACAAAAAAAA8L8CzczMzMzM9L8CAAAAAAAA6L8AAAAAGAAAAPwEAPwAAgAAAAAAAPC/AtDVVuwvu9u/AgAAAAAAAOg/AAAAABwAAAD8CAD8AAIAAAAAAADwvwJkXdxGA3jbPwJ0tRX7y+77vwAAAAAYAAAA/AgA/AACAAAAAAAA8L8CZF3cRgN42z8CAAAAAAAA9D8AAAAAIAAAAPwIAPwAAgAAAAAAAPC/AkGC4seYu/Q/AhiV1AloIug/AAAAABgAAAD8CAD8AAIAAAAAAADwvwLQ1VbsL7vbvwIAAAAAAADQvwAAAAAYAAAA/AgA/AACAAAAAAAA8L8CZF3cRgN42z8C6Gor9pfd578AAAAAGAAAAPwIAPwAAgAAAAAAAPC/As3MzMzMzPS/AnS1FfvL7vu/AAAAABgAAAD8CAD8AAIAAAAAAADwvwLQ1VbsL7vbvwIAAAAAAAACwAAAAAAYAAAA/AQA/AACAAAAAAAA8L8CZF3cRgN42z8CRiV1ApoIAkAAAAAAKAQUBAAAAAAAAAgYCAgEBAAAAAwEBAAAAAAAABAMCAAAAAAAABQACAwEBAAAABgUBAAEBAAAABwABAAEBAAAACAcCAgEBAAAACQMBAAAAAAAACAIBAAEBAAAAAAAAQAAAAAAAAAAAAAAAAAAAAAAAAAAAA==</t>
        </r>
      </text>
    </comment>
    <comment ref="C176" authorId="0">
      <text>
        <r>
          <rPr>
            <sz val="9"/>
            <color indexed="81"/>
            <rFont val="Tahoma"/>
            <family val="2"/>
          </rPr>
          <t>Insight iXlW00003C0000176R0841462809S00000558P00712LAocjBAQBF1NjaVRlZ2ljLmRhdGEuTW9sZWN1bGUBbQF/ARJTY2lUZWdpYy5Nb2xlY3VsZQAAAQFkAv5qAQAAAAIAAiQYAAAA/AgA/AACAAAAAAAA8L8CvAUSFD/G0L8CumsJ+aBnoz8AAAAAGAAAAPwIAPwAAgAAAAAAAPC/AvOwUGuad9w/ArfRAN4CCfO/AAAAABwAAAD8CAD8AAIAAAAAAADwvwLzsFBrmnfcPwLZ8PRKWYb0PwAAAAAYAAAA/AgA/AACAAAAAAAA8L8CNxrAWyBB+78CumsJ+aBnoz8AAAAAGAAAAPwIAPwAAgAAAAAAAPC/AnKKjuTyH/4/ArfRAN4CCfO/AAAAABgAAAD8CAD8AAIAAAAAAADwvwJyio7k8h/+PwLZ8PRKWYb0PwAAAAAYAAAA/AQA/AACAAAAAAAA8L8C6Gor9pddA8AC2fD0SlmG9D8AAAAAIAAAAPwIAPwAAgAAAAAAAPC/AuhqK/aXXQPAArfRAN4CCfO/AAAAABgAAAD8CAD8AAIAAAAAAADwvwJPQBNhw9MEQAK6awn5oGejPwAAAAAkAAQEAAQEAAAAAAgICAQEAAAAAAwEAAAAAAAABBAICAQEAAAACBQEAAQEAAAADBgEAAAAAAAADBwIAAAAAAAAECAEAAQEAAAAFCAICAQEAAAAAAABAAAAAAAAAAAAAAAAAAAAAAAAAAAA</t>
        </r>
      </text>
    </comment>
    <comment ref="C177" authorId="0">
      <text>
        <r>
          <rPr>
            <sz val="9"/>
            <color indexed="81"/>
            <rFont val="Tahoma"/>
            <family val="2"/>
          </rPr>
          <t>Insight iXlW00003C0000177R0841462809S00000559P00648LAocjBAQBF1NjaVRlZ2ljLmRhdGEuTW9sZWN1bGUBbQF/ARJTY2lUZWdpYy5Nb2xlY3VsZQAAAQFkAv5qAQAAAAIAAiAYAAAA/AgA/AACAAAAAAAA8L8CjErqBDQRtj8Cf/s6cM6Isr8AAAAAGAAAAPwIAPwAAgAAAAAAAPC/AqFns+pztek/AjY8vVKWIfW/AAAAABwAAAD8CAD8AAIAAAAAAADwvwKhZ7Pqc7XpPwLo2az6XG3yPwAAAAAYAAAA/AwA/AACAAAAAAAA8L8CJzEIrBxa9b8Cf/s6cM6Isr8AAAAAGAAAAPwIAPwAAgAAAAAAAPC/AgMJih9j7gFAAjY8vVKWIfW/AAAAABgAAAD8CAD8AAIAAAAAAADwvwIDCYofY+4BQALo2az6XG3yPwAAAAAcAAAA/AwA/AACAAAAAAAA8L8CMLsnDws1BsACf/s6cM6Isr8AAAAAGAAAAPwIAPwAAgAAAAAAAPC/AlHaG3xhsgdAAn/7OnDOiLK/AAAAACAABAQABAQAAAAACAgIBAQAAAAADAQAAAAAAAAEEAgIBAQAAAAIFAQABAQAAAAMGAwAAAAAAAAQHAQABAQAAAAUHAgIBAQAAAAAAAEAAAAAAAAAAAAAAAAAAAAAAAAAAAA=</t>
        </r>
      </text>
    </comment>
    <comment ref="C178" authorId="0">
      <text>
        <r>
          <rPr>
            <sz val="9"/>
            <color indexed="81"/>
            <rFont val="Tahoma"/>
            <family val="2"/>
          </rPr>
          <t>Insight iXlW00003C0000178R0841462809S00000560P00988LAocjBAQBF1NjaVRlZ2ljLmRhdGEuTW9sZWN1bGUBbQF/ARJTY2lUZWdpYy5Nb2xlY3VsZQAAAQFkAv5qAQAAAAIAAjQcAAAA/AgA/AACAAAAAAAA8L8CAAAAAAAAGEACAAAAAAAA6D8AAAAAHAAAAPwIAPwAAgAAAAAAAPC/AgAAAAAAAB5AAgAAAAAAAOg/AAAAABgAAAD8CAD8AAIAAAAAAADwvwIAAAAAAIAgQAJq3nGKjmQAQAAAAAAcAAAA/AgA/AACAAAAAAAA8L8CAAAAAAAAHkACm+Ydp+jICkAAAAAAGAAAAPwIAPwAAgAAAAAAAPC/AgAAAAAAABVAAjEIrBxaZABAAAAAABgAAAD8CAD8AAIAAAAAAADwvwIAAAAAAAAYQAKb5h2n6MgKQAAAAAAYAAAA/AgA/AACAAAAAAAA8L8CAAAAAAAADkACMQisHFpkAEAAAAAAIAAAAPwEAPwAAgAAAAAAAPC/AgAAAAAAgCNAAmrecYqOZABAAAAAABgAAAD8CAD8AAIAAAAAAADwvwIAAAAAAAAIQAKb5h2n6MgKQAAAAAAYAAAA/AgA/AACAAAAAAAA8L8CAAAAAAAACEACAAAAAAAA6D8AAAAAGAAAAPwIAPwAAgAAAAAAAPC/AgAAAAAAAPg/AgAAAAAAAOg/AAAAABgAAAD8CAD8AAIAAAAAAADwvwIAAAAAAAD4PwKb5h2n6MgKQAAAAAAYAAAA/AgA/AACAAAAAAAA8L8CAAAAAAAA6D8CMQisHFpkAEAAAAAAOAQABAAEBAAAAAgECAwEBAAAAAwUCAgEBAAAABAACAgEBAAAABQQBAAEBAAAABgQBAAAAAAAABwIBAAAAAAAACAYBAAEBAAAACQYCAwEBAAAACgkBAAEBAAAACwgCAgEBAAAADAoCAgEBAAAAAgMBAAEBAAAADAsBAAEBAAAAAAAAQAAAAAAAAAAAAAAAAAAAAAAAAAAAA==</t>
        </r>
      </text>
    </comment>
    <comment ref="C179" authorId="0">
      <text>
        <r>
          <rPr>
            <sz val="9"/>
            <color indexed="81"/>
            <rFont val="Tahoma"/>
            <family val="2"/>
          </rPr>
          <t>Insight iXlW00003C0000179R0841462809S00000561P01064LAocjBAQBF1NjaVRlZ2ljLmRhdGEuTW9sZWN1bGUBbQF/ARJTY2lUZWdpYy5Nb2xlY3VsZQAAAQFkAv5qAQAAAAIAAjgYAAAA/AgA/AACAAAAAAAA8L8C097gC5Op4D8CYAfOGVHaaz8AAAAAGAAAAPwEAPwAAgAAAAAAAPC/Ai4hH/RsVv8/AmAHzhlR2ms/AAAAABgAAAD8CAD8AAIAAAAAAADwvwLZ8PRKWYbUvwLW52or9pfyvwAAAAAcAAAA/AgA/AACAAAAAAAA8L8C2fD0SlmG1L8C1udqK/aX8j8AAAAAGAAAAPwEAPwAAgAAAAAAAPC/AuXyH9JvXwZAAtbnaiv2l/K/AAAAABwAAAD8BAD8AAIAAAAAAADwvwLl8h/Sb18GQALW52or9pfyPwAAAAAYAAAA/AgA/AACAAAAAAAA8L8CysNCrWne+r8CSFD8GHPX5r8AAAAAGAAAAPwIAPwAAgAAAAAAAPC/AsrDQq1p3vq/Aio6kst/SOc/AAAAABgAAAD8BAD8AAIAAAAAAADwvwIYldQJaKIQQAJIUPwYc9fmvwAAAAAYAAAA/AQA/AACAAAAAAAA8L8CGJXUCWiiEEACKjqSy39I5z8AAAAAGAAAAPwIAPwAAgAAAAAAAPC/AiQofoy5awfAAkhQ/Bhz1/a/AAAAABgAAAD8CAD8AAIAAAAAAADwvwIkKH6MuWsHwAJIUPwYc9f2PwAAAAAYAAAA/AgA/AACAAAAAAAA8L8CGJXUCWiiEMACSFD8GHPX5r8AAAAAGAAAAPwIAPwAAgAAAAAAAPC/AhiV1AloohDAAio6kst/SOc/AAAAAAEQAAQEAAAAAAAAAAgIDAQEAAAAAAwEAAQEAAAABBAEAAQAAAAABBQEAAQAAAAACBgEAAQEAAAADBwEAAQEAAAAECAEAAQAAAAAFCQEAAQAAAAAGCgEAAQEAAAAHCwEAAQEAAAAKDAICAQEAAAALDQICAQEAAAAGBwICAQEAAAAICQEAAQAAAAAMDQEAAQEAAAAAAABAAAAAAAAAAAAAAAAAAAAAAAAAAAA</t>
        </r>
      </text>
    </comment>
    <comment ref="C180" authorId="0">
      <text>
        <r>
          <rPr>
            <sz val="9"/>
            <color indexed="81"/>
            <rFont val="Tahoma"/>
            <family val="2"/>
          </rPr>
          <t>Insight iXlW00003C0000180R0841462809S00000562P00856LAocjBAQBF1NjaVRlZ2ljLmRhdGEuTW9sZWN1bGUBbQF/ARJTY2lUZWdpYy5Nb2xlY3VsZQAAAQFkAv5qAQAAAAIAAiwYAAAA/AgA/AACAAAAAAAA8L8Cx7q4jQbwpj8Cu7iNBvAW878AAAAAGAAAAPwIAPwAAgAAAAAAAPC/AkSLbOf7qaE/Asl2vp8aL9U/AAAAABgAAAD8CAD8AAIAAAAAAADwvwIVHcnlP6TzvwI9LNSa5h3/vwAAAAAcAAAA/AgA/AACAAAAAAAA8L8C2fD0SlmG9D8C3+ALk6mC/r8AAAAAGAAAAPwIAPwAAgAAAAAAAPC/An6MuWsJ+fO/AkA1XrpJDPE/AAAAABwAAAD8CAD8AAIAAAAAAADwvwIK+aBns+rzPwLT3uALk6nwPwAAAAAYAAAA/AgA/AACAAAAAAAA8L8Cam/whclUBMACMzMzMzMz878AAAAAGAAAAPwIAPwAAgAAAAAAAPC/AqYsQxzrYgRAAtbnaiv2l/K/AAAAABgAAAD8CAD8AAIAAAAAAADwvwKmLEMc62IEwAJCz2bV52rTPwAAAAAgAAAA/AQA/AACAAAAAAAA8L8Cfoy5awn5878CgnNGlPYGAEAAAAAAGAAAAPwIAPwAAgAAAAAAAPC/Aq8l5IOeTQRAAkLPZtXnatM/AAAAADAABAgIBAQAAAAACAQABAQAAAAADAQABAQAAAAEEAQABAQAAAAEFAQABAQAAAAIGAgIBAQAAAAMHAgIBAQAAAAQIAgIBAQAAAAQJAQAAAAAAAAUKAgIBAQAAAAYIAQABAQAAAAcKAQABAQAAAAAAAEAAAAAAAAAAAAAAAAAAAAAAAAAAAA=</t>
        </r>
      </text>
    </comment>
    <comment ref="C181" authorId="0">
      <text>
        <r>
          <rPr>
            <sz val="9"/>
            <color indexed="81"/>
            <rFont val="Tahoma"/>
            <family val="2"/>
          </rPr>
          <t>Insight iXlW00003C0000181R0841462809S00000563P00648LAocjBAQBF1NjaVRlZ2ljLmRhdGEuTW9sZWN1bGUBbQF/ARJTY2lUZWdpYy5Nb2xlY3VsZQAAAQFkAv5qAQAAAAIAAiAcAAAA/AgA/AACAAAAAAAA8L8CjnVxGw3g4T8CmpmZmZmZ2b8AAAAAGAAAAPwIAPwAAgAAAAAAAPC/AixlGeJYF+O/Ak7zjlN0JNs/AAAAABwAAAD8CAD8AAIAAAAAAADwvwLjWBe30QC+PwJzaJHtfD/8vwAAAAAYAAAA/AQA/AACAAAAAAAA8L8C0NVW7C+7/j8CUdobfGEypT8AAAAAHAAAAPwIAPwAAgAAAAAAAPC/AuviNhrAW/y/AnyDL0ymCtq/AAAAACAAAAD8CAD8AAIAAAAAAADwvwIsZRniWBfjvwKUh4Va07z9PwAAAAAcAAAA/AgA/AACAAAAAAAA8L8Co5I6AU2E9b8CCvmgZ7Pq+78AAAAAGAAAAPwEAPwAAgAAAAAAAPC/Aio6kst/SP8/ApOpglFJnfc/AAAAACAABAQABAAAAAAACAQABAAAAAAADAQAAAAAAAAEEAQABAAAAAAEFAgAAAAAAAAIGAgIBAAAAAAMHAQAAAAAAAAQGAQABAAAAAAAAAEAAAAAAAAAAAAAAAAAAAAAAAAAAAA=</t>
        </r>
      </text>
    </comment>
    <comment ref="C182" authorId="0">
      <text>
        <r>
          <rPr>
            <sz val="9"/>
            <color indexed="81"/>
            <rFont val="Tahoma"/>
            <family val="2"/>
          </rPr>
          <t>Insight iXlW00003C0000182R0841462809S00000564P00844LAocjBAQBF1NjaVRlZ2ljLmRhdGEuTW9sZWN1bGUBbQF/ARJTY2lUZWdpYy5Nb2xlY3VsZQAAAQFkAv5qAQAAAAIAAiwYAAAA/AgA/AACAAAAAAAA8L8CDr4wmSoYhb8Co7Q3+MJk9z8AAAAAGAAAAPwIAPwAAgAAAAAAAPC/AAJfKcsQx7qovwAAAAAYAAAA/AgA/AACAAAAAAAA8L8C2fD0SlmG9L8CIR/0bFZ9AUAAAAAAGAAAAPwIAPwAAgAAAAAAAPC/AkM+6Nms+vI/AutztRX7SwFAAAAAABgAAAD8CAD8AAIAAAAAAADwvwL77evAOSP0vwKi1jTvOEXpvwAAAAAcAAAA/AgA/AACAAAAAAAA8L8CoImw4emV8z8CBOeMKO0N6L8AAAAAGAAAAPwIAPwAAgAAAAAAAPC/AmRd3EYDeATAAsWxLm6jAfc/AAAAABwAAAD8CAD8AAIAAAAAAADwvwIVHcnlP6QDQALFsS5uowH3PwAAAAAYAAAA/AgA/AACAAAAAAAA8L8CKKCJsOFpBMACbXh6pSxDrL8AAAAAIAAAAPwEAPwAAgAAAAAAAPC/AisYldQJaPW/AtS84xQdyf6/AAAAABgAAAD8CAD8AAIAAAAAAADwvwLTTWIQWLkDQAIi/fZ14JyRvwAAAAAwAAQICAQEAAAAAAgEAAQEAAAAAAwEAAQEAAAABBAEAAQEAAAABBQEAAQEAAAACBgICAQEAAAADBwICAQEAAAAECAICAQEAAAAECQEAAAAAAAAFCgICAQEAAAAGCAEAAQEAAAAHCgEAAQEAAAAAAABAAAAAAAAAAAAAAAAAAAAAAAAAAAA</t>
        </r>
      </text>
    </comment>
    <comment ref="C183" authorId="0">
      <text>
        <r>
          <rPr>
            <sz val="9"/>
            <color indexed="81"/>
            <rFont val="Tahoma"/>
            <family val="2"/>
          </rPr>
          <t>Insight iXlW00003C0000183R0841462809S00000565P00988LAocjBAQBF1NjaVRlZ2ljLmRhdGEuTW9sZWN1bGUBbQF/ARJTY2lUZWdpYy5Nb2xlY3VsZQAAAQFkAv5qAQAAAAIAAjQgAAAA/AQA/AACAAAAAAAA8L8CAAAAAAAAFUACZvfkYaGWEkAAAAAAGAAAAPwIAPwAAgAAAAAAAPC/AgAAAAAAABVAAjEIrBxaZABAAAAAABgAAAD8CAD8AAIAAAAAAADwvwIAAAAAAAAYQAKb5h2n6MgKQAAAAAAYAAAA/AgA/AACAAAAAAAA8L8CAAAAAAAAHkACm+Ydp+jICkAAAAAAGAAAAPwIAPwAAgAAAAAAAPC/AgAAAAAAgCBAAjEIrBxaZABAAAAAABgAAAD8CAD8AAIAAAAAAADwvwIAAAAAAAAeQAIAAAAAAADoPwAAAAAYAAAA/AgA/AACAAAAAAAA8L8CAAAAAAAAGEACAAAAAAAA6D8AAAAAHAAAAPwIAPwAAgAAAAAAAPC/AgAAAAAAAAhAApvmHafoyApAAAAAABgAAAD8CAD8AAIAAAAAAADwvwIAAAAAAAAOQAIxCKwcWmQAQAAAAAAYAAAA/AgA/AACAAAAAAAA8L8CAAAAAAAACEACAAAAAAAA6D8AAAAAGAAAAPwIAPwAAgAAAAAAAPC/AgAAAAAAAPg/AgAAAAAAAOg/AAAAABgAAAD8CAD8AAIAAAAAAADwvwIAAAAAAADoPwIxCKwcWmQAQAAAAAAYAAAA/AgA/AACAAAAAAAA8L8CAAAAAAAA+D8Cm+Ydp+jICkAAAAAAOAQICAgEBAAAAAgMBAAEBAAAAAwQCAgEBAAAABAUBAAEBAAAABQYCAgEBAAAAAQYBAAEBAAAAAAIBAAAAAAAABwgCAgEBAAAACAkBAAEBAAAACQoCAgEBAAAACgsBAAEBAAAACwwCAgEBAAAABwwBAAEBAAAAAQgBAAAAAAAAAAAAQAAAAAAAAAAAAAAAAAAAAAAAAAAAA==</t>
        </r>
      </text>
    </comment>
    <comment ref="C184" authorId="0">
      <text>
        <r>
          <rPr>
            <sz val="9"/>
            <color indexed="81"/>
            <rFont val="Tahoma"/>
            <family val="2"/>
          </rPr>
          <t>Insight iXlW00003C0000184R0841462809S00000566P00912LAocjBAQBF1NjaVRlZ2ljLmRhdGEuTW9sZWN1bGUBbQF/ARJTY2lUZWdpYy5Nb2xlY3VsZQAAAQFkAv5qAQAAAAIAAjABEAAAAPwEAPwAAgAAAAAAAPC/AqAaL90kBgBAAnZxGw3gLfe/AAAAABgAAAD8CAD8AAIAAAAAAADwvwK6awn5oGflPwIVHcnlP6TlvwAAAAAYAAAA/AQA/AACAAAAAAAA8L8C++3rwDmjCkACTmIQWDm0AMAAAAAAIAAAAPwIAPwAAgAAAAAAAPC/AgMJih9j7vQ/Akp7gy9MJgfAAAAAACAAAAD8CAD8AAIAAAAAAADwvwJsmnecoiMFQAIuIR/0bFa9vwAAAAAcAAAA/AgA/AACAAAAAAAA8L8CDJOpglFJ5b8CdnEbDeAt978AAAAAHAAAAPwIAPwAAgAAAAAAAPC/ArprCfmgZ+U/AkZHcvkP6es/AAAAABgAAAD8CAD8AAIAAAAAAADwvwKSXP5D+u3/vwIVHcnlP6TlvwAAAAAYAAAA/AgA/AACAAAAAAAA8L8CDJOpglFJ5b8CHVpkO99P+j8AAAAAGAAAAPwIAPwAAgAAAAAAAPC/ApJc/kP67f+/AkZHcvkP6es/AAAAABgAAAD8BAD8AAIAAAAAAADwvwL77evAOaMKwAJ2cRsN4C33vwAAAAAYAAAA/AQA/AACAAAAAAAA8L8CDJOpglFJ5b8CTDeJQWBlCUAAAAAAMAAEBAAAAAAAAAAIBAAAAAAAAAAMCAAAAAAAAAAQCAAAAAAAAAQUBAAEBAAAAAQYCAwEBAAAABQcCAgEBAAAABggBAAEBAAAABwkBAAEBAAAABwoBAAAAAAAACAsBAAAAAAAACAkCAgEBAAAAAAAAQAAAAAAAAAAAAAAAAAAAAAAAAAAAA==</t>
        </r>
      </text>
    </comment>
    <comment ref="C185" authorId="0">
      <text>
        <r>
          <rPr>
            <sz val="9"/>
            <color indexed="81"/>
            <rFont val="Tahoma"/>
            <family val="2"/>
          </rPr>
          <t>Insight iXlW00003C0000185R0841462809S00000567P00844LAocjBAQBF1NjaVRlZ2ljLmRhdGEuTW9sZWN1bGUBbQF/ARJTY2lUZWdpYy5Nb2xlY3VsZQAAAQFkAv5qAQAAAAIAAiwBEAAAAPwEAPwAAgAAAAAAAPC/As3MzMzMzPw/AoV80LNZ9eW/AAAAABgAAAD8CAD8AAIAAAAAAADwvwJ4nKIjufzhPwJR2ht8YTKlPwAAAAAcAAAA/AgA/AACAAAAAAAA8L8C6+I2GsBbCEAC48eYu5aQ9r8AAAAAIAAAAPwIAPwAAgAAAAAAAPC/ArivA+eMKPE/Akw3iUFg5f6/AAAAACAAAAD8CAD8AAIAAAAAAADwvwI3qz5XWzEEQAJ4nKIjufzhPwAAAAAYAAAA/AgA/AACAAAAAAAA8L8CeJyiI7n84T8CGy/dJAaB9z8AAAAAHAAAAPwIAPwAAgAAAAAAAPC/AqOSOgFNhOW/ApzEILByaOW/AAAAABgAAAD8CAD8AAIAAAAAAADwvwKjkjoBTYTlvwLlYaHWNG8BQAAAAAAYAAAA/AgA/AACAAAAAAAA8L8CWFuxv+ye/r8CUdobfGEypT8AAAAAGAAAAPwIAPwAAgAAAAAAAPC/Alhbsb/snv6/Ahsv3SQGgfc/AAAAABgAAAD8BAD8AAIAAAAAAADwvwJz+Q/pty8JwAJe3EYDeIsBQAAAAAAsAAQEAAAAAAAAAAgEAAAAAAAAAAwIAAAAAAAAABAIAAAAAAAABBQIDAQEAAAABBgEAAQEAAAAFBwEAAQEAAAAGCAICAQEAAAAHCQIDAQEAAAAJCgEAAAAAAAAICQEAAQEAAAAAAABAAAAAAAAAAAAAAAAAAAAAAAAAAAA</t>
        </r>
      </text>
    </comment>
    <comment ref="C186" authorId="0">
      <text>
        <r>
          <rPr>
            <sz val="9"/>
            <color indexed="81"/>
            <rFont val="Tahoma"/>
            <family val="2"/>
          </rPr>
          <t>Insight iXlW00003C0000186R0841462809S00000568P01104LAocjBAQBF1NjaVRlZ2ljLmRhdGEuTW9sZWN1bGUBbQF/ARJTY2lUZWdpYy5Nb2xlY3VsZQAAAQFkAv5qAQAAAAIAAjwYAAAA/AgA/AACAAAAAAAA8L8C16NwPQrX8z8CexSuR+F6pL8AAAAAHAAAAPwIAPwAAgAAAAAAAPC/AoXrUbgehds/AoXrUbgehds/AAAAACAAAAD8BAD8AAIAAAAAAADwvwJnZmZmZmYAQAKF61G4HoXbPwAAAAAcAAAA/AgA/AACAAAAAAAA8L8CAAAAAAAAAMACexSuR+F6pL8AAAAAIAAAAPwIAPwAAgAAAAAAAPC/AtejcD0K1/M/AgvXo3A9Cu+/AAAAABgAAAD8BAD8AAIAAAAAAADwvwLiehSuR+EGQAJ7FK5H4XqkvwAAAAAYAAAA/AgA/AACAAAAAAAA8L8CCtejcD0K878ChetRuB6F2z8AAAAAGAAAAPwEAPwAAgAAAAAAAPC/AlK4HoXrUdi/AnsUrkfheqS/AAAAABgAAAD8CAD8AAIAAAAAAADwvwJ7FK5H4XoGwAKF61G4HoXbPwAAAAAYAAAA/AQA/AACAAAAAAAA8L8CXY/C9ShcDUAChetRuB6F2z8AAAAAGAAAAPwEAPwAAgAAAAAAAPC/Aj4K16NwPQRAAs3MzMzMzOy/AAAAABgAAAD8BAD8AAIAAAAAAADwvwJI4XoUrkcJQAIfhetRuB7tvwAAAAAYAAAA/AgA/AACAAAAAAAA8L8CCtejcD0K878C7FG4HoXr9T8AAAAAGAAAAPwIAPwAAgAAAAAAAPC/AnsUrkfhegbAAuxRuB6F6/U/AAAAABgAAAD8CAD8AAIAAAAAAADwvwIAAAAAAAAAwAJxPQrXo3D9PwAAAAA8BAAEAAAAAAAACAAEAAAAAAAADBgEAAQEAAAAEAAIAAAAAAAAFAgEAAAAAAAAGBwEAAAAAAAAHAQEAAAAAAAAIAwICAQEAAAAJBQEAAAAAAAAKBQEAAAAAAAALBQEAAAAAAAAMBgICAQEAAAANCAEAAQEAAAAODAEAAQEAAAANDgICAQEAAAAAAABAAAAAAAAAAAAAAAAAAAAAAAAAAAA</t>
        </r>
      </text>
    </comment>
    <comment ref="C187" authorId="0">
      <text>
        <r>
          <rPr>
            <sz val="9"/>
            <color indexed="81"/>
            <rFont val="Tahoma"/>
            <family val="2"/>
          </rPr>
          <t>Insight iXlW00003C0000187R0841462809S00000569P00780LAocjBAQBF1NjaVRlZ2ljLmRhdGEuTW9sZWN1bGUBbQF/ARJTY2lUZWdpYy5Nb2xlY3VsZQAAAQFkAv5qAQAAAAIAAigYAAAA/AgA/AACAAAAAAAA8L8CAAAAAAAAGEACMQisHFpkAEAAAAAAGAAAAPwIAPwAAgAAAAAAAPC/AgAAAAAAABVAAgAAAAAAAOg/AAAAABwAAAD8CAD8AAIAAAAAAADwvwIAAAAAAAAOQAIAAAAAAADoPwAAAAAYAAAA/AgA/AACAAAAAAAA8L8CAAAAAAAACEACMQisHFpkAEAAAAAAGAAAAPwIAPwAAgAAAAAAAPC/AgAAAAAAAA5AApvmHafoyApAAAAAABgAAAD8CAD8AAIAAAAAAADwvwIAAAAAAAAVQAKb5h2n6MgKQAAAAAAYAAAA/AQA/AACAAAAAAAA8L8CAAAAAAAAHkACat5xio5kAEAAAAAAGAAAAPwIAPwAAgAAAAAAAPC/AgAAAAAAAPg/AjEIrBxaZABAAAAAAAEQAAAA/AgA/AACAAAAAAAA8L8CAAAAAAAA6D8Cm+Ydp+jICkAAAAAAHAAAAPwIAPwAAgAAAAAAAPC/AgAAAAAAAOg/AgAAAAAAAOg/AAAAACgECAQABAQAAAAQFAgIBAQAAAAUAAQABAQAAAAABAgIBAQAAAAAGAQAAAAAAAAIDAgMBAQAAAAMHAQAAAAAAAAcIAgAAAAAAAAMEAQABAQAAAAcJAQAAAAAAAAAAAEAAAAAAAAAAAAAAAAAAAAAAAAAAAA=</t>
        </r>
      </text>
    </comment>
    <comment ref="C188" authorId="0">
      <text>
        <r>
          <rPr>
            <sz val="9"/>
            <color indexed="81"/>
            <rFont val="Tahoma"/>
            <family val="2"/>
          </rPr>
          <t>Insight iXlW00003C0000188R0841462809S00000570P00584LAocjBAQBF1NjaVRlZ2ljLmRhdGEuTW9sZWN1bGUBbQF/ARJTY2lUZWdpYy5Nb2xlY3VsZQAAAQFkAv5qAQAAAAIAAhwYAAAA/AgA/AACAAAAAAAA8L8CLPaX3ZOH478Cf/s6cM6Isr8AAAAAGAAAAPwIAPwAAgAAAAAAAPC/AoxK6gQ0EbY/AjojSnuDL/W/AAAAABwAAAD8CAD8AAIAAAAAAADwvwKMSuoENBG2PwJdbcX+snvyPwAAAAABEAAAAPwEAPwAAgAAAAAAAPC/AmRd3EYDeADAAn/7OnDOiLK/AAAAABgAAAD8CAD8AAIAAAAAAADwvwJtVn2utmL4PwI6I0p7gy/1vwAAAAAYAAAA/AgA/AACAAAAAAAA8L8CbVZ9rrZi+D8CXW3F/rJ78j8AAAAAGAAAAPwIAPwAAgAAAAAAAPC/AgMJih9j7gFAAn/7OnDOiLK/AAAAABwABAQABAQAAAAACAgIBAQAAAAADAQAAAAAAAAEEAgIBAQAAAAIFAQABAQAAAAQGAQABAQAAAAUGAgIBAQAAAAAAAEAAAAAAAAAAAAAAAAAAAAAAAAAAAA=</t>
        </r>
      </text>
    </comment>
    <comment ref="C189" authorId="0">
      <text>
        <r>
          <rPr>
            <sz val="9"/>
            <color indexed="81"/>
            <rFont val="Tahoma"/>
            <family val="2"/>
          </rPr>
          <t>Insight iXlW00003C0000189R0841462809S00000571P00780LAocjBAQBF1NjaVRlZ2ljLmRhdGEuTW9sZWN1bGUBbQF/ARJTY2lUZWdpYy5Nb2xlY3VsZQAAAQFkAv5qAQAAAAIAAigYAAAA/AgA/AACAAAAAAAA8L8C/tR46SYx5D8C8fRKWYY44D8AAAAAGAAAAPwIAPwAAgAAAAAAAPC/AtzXgXNGlOw/Avvt68A5I+y/AAAAABwAAAD8CAD8AAIAAAAAAADwvwIkKH6MuWv7PwK1pnnHKTr3PwAAAAAcAAAA/AgA/AACAAAAAAAA8L8COUVHcvkP578CLiEf9GxW7z8AAAAAGAAAAPwIAPwAAgAAAAAAAPC/AnyDL0ymCgJAApCg+DHmrvW/AAAAABgAAAD8CAD8AAIAAAAAAADwvwIYldQJaKIIQAIuIR/0bFbvPwAAAAAYAAAA/AgA/AACAAAAAAAA8L8CSS7/If32/L8CumsJ+aBnoz8AAAAAGAAAAPwIAPwAAgAAAAAAAPC/AgyTqYJRyQpAAl1txf6ye9q/AAAAABwAAAD8CAD8AAIAAAAAAADwvwLrc7UV+0sJwALx9EpZhjjgPwAAAAABEAAAAPwIAPwAAgAAAAAAAPC/AubQItv5fvi/ApCg+DHmrvW/AAAAACgABAQABAQAAAAACAgIBAQAAAAADAQAAAAAAAAEEAgIBAQAAAAIFAQABAQAAAAMGAQAAAAAAAAQHAQABAQAAAAYIAQAAAAAAAAYJAgAAAAAAAAUHAgIBAQAAAAAAAEAAAAAAAAAAAAAAAAAAAAAAAAAAAA=</t>
        </r>
      </text>
    </comment>
    <comment ref="C190" authorId="0">
      <text>
        <r>
          <rPr>
            <sz val="9"/>
            <color indexed="81"/>
            <rFont val="Tahoma"/>
            <family val="2"/>
          </rPr>
          <t>Insight iXlW00003C0000190R0841462809S00000572P00780LAocjBAQBF1NjaVRlZ2ljLmRhdGEuTW9sZWN1bGUBbQF/ARJTY2lUZWdpYy5Nb2xlY3VsZQAAAQFkAv5qAQAAAAIAAigcAAAA/AgA/AACAAAAAAAA8L8C7FG4HoXrwb8CexSuR+F6pL8AAAAAGAAAAPwIAPwAAgAAAAAAAPC/AnE9CtejcOU/AuJ6FK5H4do/AAAAABgAAAD8CAD8AAIAAAAAAADwvwJnZmZmZmbuvwKF61G4HoXbPwAAAAAcAAAA/AgA/AACAAAAAAAA8L8CKVyPwvUo/L8CexSuR+F6pL8AAAAAIAAAAPwIAPwAAgAAAAAAAPC/AnE9CtejcOU/ApqZmZmZmfU/AAAAABwAAAD8CAD8AAIAAAAAAADwvwKuR+F6FK73PwKamZmZmZmpvwAAAAAYAAAA/AgA/AACAAAAAAAA8L8CkML1KFyPBMAChetRuB6F2z8AAAAAGAAAAPwIAPwAAgAAAAAAAPC/AmdmZmZmZu6/AuxRuB6F6/U/AAAAABgAAAD8CAD8AAIAAAAAAADwvwKQwvUoXI8EwALsUbgehev1PwAAAAAYAAAA/AgA/AACAAAAAAAA8L8CKVyPwvUo/L8CcT0K16Nw/T8AAAAAKAQABAAAAAAAAAgABAAAAAAAAAwIBAAEBAAAABAECAAAAAAAABQEBAAAAAAAABgMCAgEBAAAABwICAwEBAAAACAYBAAEBAAAACQcBAAEBAAAACQgCAgEBAAAAAAAAQAAAAAAAAAAAAAAAAAAAAAAAAAAAA==</t>
        </r>
      </text>
    </comment>
    <comment ref="C191" authorId="0">
      <text>
        <r>
          <rPr>
            <sz val="9"/>
            <color indexed="81"/>
            <rFont val="Tahoma"/>
            <family val="2"/>
          </rPr>
          <t>Insight iXlW00003C0000191R0841462809S00000573P00716LAocjBAQBF1NjaVRlZ2ljLmRhdGEuTW9sZWN1bGUBbQF/ARJTY2lUZWdpYy5Nb2xlY3VsZQAAAQFkAv5qAQAAAAIAAiQcAAAA/AgA/AACAAAAAAAA8L8C16NwPQrX0z8CC9ejcD0K5z8AAAAAGAAAAPwIAPwAAgAAAAAAAPC/Aj4K16NwPeI/ApqZmZmZmbm/AAAAAAEQAAAA/AQA/AACAAAAAAAA8L8C7FG4HoXrwb8CKVyPwvUo5L8AAAAAGAAAAPwIAPwAAgAAAAAAAPC/AuJ6FK5H4eK/AgvXo3A9Cuc/AAAAABgAAAD8CAD8AAIAAAAAAADwvwKF61G4HoXrvwKamZmZmZm5vwAAAAAYAAAA/AgA/AACAAAAAAAA8L8CZ2ZmZmZm9j8Cw/UoXI/C1b8AAAAAIAAAAPwIAPwAAgAAAAAAAPC/ApqZmZmZmfk/AuJ6FK5H4fK/AAAAABgAAAD8BAD8AAIAAAAAAADwvwLsUbgehevxvwKQwvUoXI/2PwAAAAAYAAAA/AQA/AACAAAAAAAA8L8CPgrXo3A9AEACpHA9Ctej0D8AAAAAJAQACAgEBAAAAAgEBAAEBAAAAAwABAAEBAAAABAMCAgEBAAAABQEBAAAAAAAABgUCAAAAAAAABwMBAAAAAAAACAUBAAAAAAAABAIBAAEBAAAAAAAAQAAAAAAAAAAAAAAAAAAAAAAAAAAAA==</t>
        </r>
      </text>
    </comment>
    <comment ref="C192" authorId="0">
      <text>
        <r>
          <rPr>
            <sz val="9"/>
            <color indexed="81"/>
            <rFont val="Tahoma"/>
            <family val="2"/>
          </rPr>
          <t>Insight iXlW00003C0000192R0841462809S00000574P00724LAocjBAQBF1NjaVRlZ2ljLmRhdGEuTW9sZWN1bGUBbQF/ARJTY2lUZWdpYy5Nb2xlY3VsZQAAAQFkAv5qAQAAAAIAAiQYAAAA/AgA/AACAAAAAAAA8L8Cqz5XW7G/xD8CNxrAWyBB6z8AAAAAGAAAAPwIAPwAAgAAAAAAAPC/Aqs+V1uxv8Q/AixlGeJYF+O/AAAAABwAAAD8CAD8AAIAAAAAAADwvwJqb/CFyVT4PwJkXdxGA3j0PwAAAAAYAAAA/AgA/AACAAAAAAAA8L8CLUMc6+I28b8Ctch2vp8a+T8AAAAAHAAAAPwIAPwAAgAAAAAAAPC/Ampv8IXJVPg/Amlv8IXJVPC/AAAAABwAAAD8CAD8AAIAAAAAAADwvwItQxzr4jbxvwLRs1n1udr0vwAAAAAYAAAA/AgA/AACAAAAAAAA8L8CFoxK6gS0AkAC6Gor9pfdwz8AAAAAGAAAAPwIAPwAAgAAAAAAAPC/AhaMSuoEtALAAjcawFsgQes/AAAAABgAAAD8CAD8AAIAAAAAAADwvwIWjErqBLQCwAIsZRniWBfjvwAAAAAoAAQICAQEAAAAAAgEAAQEAAAAAAwEAAQEAAAABBAEAAQEAAAABBQEAAQEAAAACBgICAQEAAAADBwICAQEAAAAFCAICAQEAAAAEBgEAAQEAAAAHCAEAAQEAAAAAAABAAAAAAAAAAAAAAAAAAAAAAAAAAAA</t>
        </r>
      </text>
    </comment>
    <comment ref="C193" authorId="0">
      <text>
        <r>
          <rPr>
            <sz val="9"/>
            <color indexed="81"/>
            <rFont val="Tahoma"/>
            <family val="2"/>
          </rPr>
          <t>Insight iXlW00003C0000193R0841462809S00000575P01120LAocjBAQBF1NjaVRlZ2ljLmRhdGEuTW9sZWN1bGUBbQF/ARJTY2lUZWdpYy5Nb2xlY3VsZQAAAQFkAv5qAQAAAAIAAjwcAAAA/AQA/AACAAAAAAAA8L8ClfYGX5hM1b8CeXqlLEMc1z8AAAAAGAAAAPwIAPwAAgAAAAAAAPC/ApX2Bl+YTNW/AlVSJ6CJsN2/AAAAABgAAAD8BAD8AAIAAAAAAADwvwIGo5I6AU3YPwIiH/RsVn3oPwAAAAAYAAAA/AgA/AACAAAAAAAA8L8CtFn1udqK8T8C3NeBc0aU1j8AAAAAHAAAAPwIAPwAAgAAAAAAAPC/ArMMcayL2/C/Al7cRgN4C+y/AAAAABwAAAD8CAD8AAIAAAAAAADwvwIGo5I6AU3YPwJe3EYDeAvsvwAAAAAgAAAA/AgA/AACAAAAAAAA8L8CKA8LtaZ58T8C8fRKWYY43r8AAAAAIAAAAPwEAPwAAgAAAAAAAPC/AhvAWyBB8fw/AiIf9GxWfeg/AAAAABgAAAD8BAD8AAIAAAAAAADwvwKA2T15WKjwvwIiH/RsVn3oPwAAAAAYAAAA/AgA/AACAAAAAAAA8L8ClfYGX5hM1b8Cfh04Z0TpAMAAAAAAGAAAAPwIAPwAAgAAAAAAAPC/AjbNO07Rkdg/AtZW7C+7J/u/AAAAABgAAAD8CAD8AAIAAAAAAADwvwKzDHGsi9vwvwJiodY07zj7vwAAAAAYAAAA/AQA/AACAAAAAAAA8L8CBqOSOgFN2D8CxEKtad5x+T8AAAAAGAAAAPwEAPwAAgAAAAAAAPC/AoDZPXlYqPC/AsRCrWnecfk/AAAAABgAAAD8BAD8AAIAAAAAAADwvwKV9gZfmEzVvwKC4seYuxYAQAAAAAABEAQABAAAAAAAAAgABAAEAAAAAAgMBAAAAAAAABAECAwEBAAAABQEBAAEBAAAABgMCAAAAAAAABwMBAAAAAAAACAABAAEAAAAACQoBAAEBAAAACgUCAgEBAAAACwQBAAEBAAAADAIBAAEAAAAADQgBAAEAAAAADg0BAAEAAAAADA4BAAEAAAAACwkCAgEBAAAAAAAAQAAAAAAAAAAAAAAAAAAAAAAAAAAAA==</t>
        </r>
      </text>
    </comment>
    <comment ref="C194" authorId="0">
      <text>
        <r>
          <rPr>
            <sz val="9"/>
            <color indexed="81"/>
            <rFont val="Tahoma"/>
            <family val="2"/>
          </rPr>
          <t>Insight iXlW00003C0000194R0841462809S00000576P01120LAocjBAQBF1NjaVRlZ2ljLmRhdGEuTW9sZWN1bGUBbQF/ARJTY2lUZWdpYy5Nb2xlY3VsZQAAAQFkAv5qAQAAAAIAAjwcAAAA/AgA/AACAAAAAAAA8L8Cm+Ydp+jIF0ACAAAAAAAADkAAAAAAGAAAAPwIAPwAAgAAAAAAAPC/Amb35GGhlhJAAgAAAAAAAAhAAAAAABwAAAD8BAD8AAIAAAAAAADwvwKb5h2n6MgKQAIAAAAAAAAOQAAAAAAYAAAA/AgA/AACAAAAAAAA8L8CtOpztRX7HEACAAAAAAAACEAAAAAAGAAAAPwIAPwAAgAAAAAAAPC/Amb35GGhFiFAAgAAAAAAAA5AAAAAACAAAAD8CAD8AAIAAAAAAADwvwIBb4EExa8jQAIAAAAAAAAIQAAAAAAgAAAA/AQA/AACAAAAAAAA8L8CZvfkYaEWIUACAAAAAAAAFUAAAAAAGAAAAPwIAPwAAgAAAAAAAPC/Amb35GGhlhJAAgAAAAAAAPg/AAAAABgAAAD8BAD8AAIAAAAAAADwvwKb5h2n6MgKQAIAAAAAAAAVQAAAAAAYAAAA/AQA/AACAAAAAAAA8L8CMQisHFpkAEACAAAAAAAACEAAAAAAGAAAAPwIAPwAAgAAAAAAAPC/ArTqc7UV+xxAAgAAAAAAAPg/AAAAABgAAAD8CAD8AAIAAAAAAADwvwKb5h2n6MgXQAIAAAAAAADoPwAAAAAYAAAA/AQA/AACAAAAAAAA8L8CAAAAAAAA6D8CAAAAAAAADkAAAAAAGAAAAPwEAPwAAgAAAAAAAPC/AjEIrBxaZABAAgAAAAAAABhAAAAAABgAAAD8BAD8AAIAAAAAAADwvwIAAAAAAADoPwIAAAAAAAAVQAAAAAABEAQABAAEBAAAAAgEBAAAAAAAAAwACAwEBAAAABAMBAAAAAAAABQQCAAAAAAAABgQBAAAAAAAABwECAgEBAAAACAIBAAEAAAAACQIBAAEAAAAACgMBAAEBAAAACwcBAAEBAAAADAkBAAEAAAAADQgBAAEAAAAADgwBAAEAAAAACgsCAgEBAAAADQ4BAAEAAAAAAAAAQAAAAAAAAAAAAAAAAAAAAAAAAAAAA==</t>
        </r>
      </text>
    </comment>
    <comment ref="C195" authorId="0">
      <text>
        <r>
          <rPr>
            <sz val="9"/>
            <color indexed="81"/>
            <rFont val="Tahoma"/>
            <family val="2"/>
          </rPr>
          <t>Insight iXlW00003C0000195R0841462809S00000577P01132LAocjBAQBF1NjaVRlZ2ljLmRhdGEuTW9sZWN1bGUBbQF/ARJTY2lUZWdpYy5Nb2xlY3VsZQAAAQFkAv5qAQAAAAIAAjwYAAAA/AgA/AACAAAAAAAA8L8CUB4Wak3zxr8CbXh6pSxDnD8AAAAAGAAAAPwIAPwAAgAAAAAAAPC/AjxO0ZFc/vi/Am14eqUsQ5w/AAAAABwAAAD8CAD8AAIAAAAAAADwvwIGEhQ/xtzjPwJseHqlLEPyPwAAAAAcAAAA/AgA/AACAAAAAAAA8L8CBhIUP8bc4z8CLUMc6+I28b8AAAAAGAAAAPwIAPwAAgAAAAAAAPC/AnyDL0ymCgLAAqCJsOHplfM/AAAAABwAAAD8CAD8AAIAAAAAAADwvwJ8gy9MpgoCwAJhVFInoInyvwAAAAAYAAAA/AgA/AACAAAAAAAA8L8CTDeJQWDl/j8COUVHcvkP5z8AAAAAGAAAAPwIAPwAAgAAAAAAAPC/Akw3iUFg5f4/Arraiv1l9+S/AAAAABgAAAD8CAD8AAIAAAAAAADwvwI2PL1SliENwAKgibDh6ZXzPwAAAAAYAAAA/AgA/AACAAAAAAAA8L8CNjy9UpYhDcACYVRSJ6CJ8r8AAAAAGAAAAPwIAPwAAgAAAAAAAPC/AnzysFBrGglAAuPHmLuWkPY/AAAAABgAAAD8CAD8AAIAAAAAAADwvwJ88rBQaxoJQAKjkjoBTYT1vwAAAAAYAAAA/AgA/AACAAAAAAAA8L8CqaROQBNhEcACbXh6pSxDnD8AAAAAGAAAAPwIAPwAAgAAAAAAAPC/AqmkTkATYRFAAjlFR3L5D+c/AAAAABgAAAD8CAD8AAIAAAAAAADwvwKppE5AE2ERQAK62or9ZffkvwAAAAABEQAEBAAAAAAAAAAIBAAEBAAAAAAMCAwEBAAAAAQQBAAEBAAAAAQUCAwEBAAAAAgYBAAEBAAAAAwcBAAEBAAAABAgCAgEBAAAABQkBAAEBAAAABgoBAAEBAAAABwsBAAEBAAAACAwBAAEBAAAACg0CAgEBAAAACw4CAgEBAAAABgcCAgEBAAAACQwCAgEBAAAADQ4BAAEBAAAAAAAAQAAAAAAAAAAAAAAAAAAAAAAAAAAAA==</t>
        </r>
      </text>
    </comment>
    <comment ref="C196" authorId="0">
      <text>
        <r>
          <rPr>
            <sz val="9"/>
            <color indexed="81"/>
            <rFont val="Tahoma"/>
            <family val="2"/>
          </rPr>
          <t>Insight iXlW00003C0000196R0841462809S00000578P00724LAocjBAQBF1NjaVRlZ2ljLmRhdGEuTW9sZWN1bGUBbQF/ARJTY2lUZWdpYy5Nb2xlY3VsZQAAAQFkAv5qAQAAAAIAAiQYAAAA/AgA/AACAAAAAAAA8L8C2xt8YTJVwL8CmpmZmZmZ6b8AAAAAGAAAAPwIAPwAAgAAAAAAAPC/AtsbfGEyVcC/Auj7qfHSTeQ/AAAAABgAAAD8CAD8AAIAAAAAAADwvwIAAAAAAAD4vwKOl24Sg8DzvwAAAAAYAAAA/AgA/AACAAAAAAAA8L8ClrIMcayL8T8C8fRKWYY4+L8AAAAAHAAAAPwIAPwAAgAAAAAAAPC/AgAAAAAAAPi/ArivA+eMKPE/AAAAABwAAAD8CAD8AAIAAAAAAADwvwKWsgxxrIvxPwKjkjoBTYT1PwAAAAAYAAAA/AgA/AACAAAAAAAA8L8CDJOpglHJAsACRIts5/upsb8AAAAAGAAAAPwIAPwAAgAAAAAAAPC/AgyTqYJRyQJAApqZmZmZmem/AAAAABgAAAD8CAD8AAIAAAAAAADwvwIMk6mCUckCQALo+6nx0k3kPwAAAAAoAAQICAQEAAAAAAgEAAQEAAAAAAwEAAQEAAAABBAEAAQEAAAABBQEAAQEAAAACBgICAQEAAAADBwICAQEAAAAFCAICAQEAAAAEBgEAAQEAAAAHCAEAAQEAAAAAAABAAAAAAAAAAAAAAAAAAAAAAAAAAAA</t>
        </r>
      </text>
    </comment>
    <comment ref="C197" authorId="0">
      <text>
        <r>
          <rPr>
            <sz val="9"/>
            <color indexed="81"/>
            <rFont val="Tahoma"/>
            <family val="2"/>
          </rPr>
          <t>Insight iXlW00003C0000197R0841462809S00000579P00724LAocjBAQBF1NjaVRlZ2ljLmRhdGEuTW9sZWN1bGUBbQF/ARJTY2lUZWdpYy5Nb2xlY3VsZQAAAQFkAv5qAQAAAAIAAiQYAAAA/AgA/AACAAAAAAAA8L8C2xt8YTJVwL8CmpmZmZmZ6b8AAAAAGAAAAPwIAPwAAgAAAAAAAPC/AtsbfGEyVcC/Auj7qfHSTeQ/AAAAABgAAAD8CAD8AAIAAAAAAADwvwIAAAAAAAD4vwKOl24Sg8DzvwAAAAAYAAAA/AgA/AACAAAAAAAA8L8ClrIMcayL8T8C8fRKWYY4+L8AAAAAHAAAAPwIAPwAAgAAAAAAAPC/AgAAAAAAAPi/ArivA+eMKPE/AAAAABwAAAD8CAD8AAIAAAAAAADwvwKWsgxxrIvxPwKjkjoBTYT1PwAAAAAYAAAA/AgA/AACAAAAAAAA8L8CDJOpglHJAsACRIts5/upsb8AAAAAGAAAAPwIAPwAAgAAAAAAAPC/AgyTqYJRyQJAApqZmZmZmem/AAAAABgAAAD8CAD8AAIAAAAAAADwvwIMk6mCUckCQALo+6nx0k3kPwAAAAAoAAQICAQEAAAAAAgEAAQEAAAAAAwEAAQEAAAABBAEAAQEAAAABBQEAAQEAAAACBgICAQEAAAADBwICAQEAAAAFCAICAQEAAAAEBgEAAQEAAAAHCAEAAQEAAAAAAABAAAAAAAAAAAAAAAAAAAAAAAAAAAA</t>
        </r>
      </text>
    </comment>
    <comment ref="C198" authorId="0">
      <text>
        <r>
          <rPr>
            <sz val="9"/>
            <color indexed="81"/>
            <rFont val="Tahoma"/>
            <family val="2"/>
          </rPr>
          <t>Insight iXlW00003C0000198R0841462809S00000580P01052LAocjBAQBF1NjaVRlZ2ljLmRhdGEuTW9sZWN1bGUBbQF/ARJTY2lUZWdpYy5Nb2xlY3VsZQAAAQFkAv5qAQAAAAIAAjgcAAAA/AgA/AACAAAAAAAA8L8CNDMzMzMzyz8CZ2ZmZmZm9z8AAAAAHAAAAPwIAPwAAgAAAAAAAPC/AjQzMzMzM8s/AgAAAAAAAMA/AAAAABgAAAD8CAD8AAIAAAAAAADwvwIYldQJaCLmPwKCBMWPMXfpPwAAAAAYAAAA/AgA/AACAAAAAAAA8L8CZ2ZmZmZm4r8CnaIjufyH2D8AAAAAGAAAAPwIAPwAAgAAAAAAAPC/AmdmZmZmZuK/AtsbfGEyVfM/AAAAABgAAAD8BAD8AAIAAAAAAADwvwLKw0Ktad7dPwLlYaHWNO/kvwAAAAAYAAAA/AQA/AACAAAAAAAA8L8CZ2ZmZmZm9D8Cf/s6cM6I6r8AAAAAGAAAAPwIAPwAAgAAAAAAAPC/AvOwUGuad/g/As3MzMzMzPm/AAAAACAAAAD8CAD8AAIAAAAAAADwvwLgvg6cM6ICQAKamZmZmZn8vwAAAAAYAAAA/AgA/AACAAAAAAAA8L8CmpmZmZmZ9L8Cnzws1Jrmnb8AAAAAGAAAAPwIAPwAAgAAAAAAAPC/ApqZmZmZmfS/AnS1FfvL7vk/AAAAABgAAAD8BAD8AAIAAAAAAADwvwI0MzMzMzPvPwIT8kHPZtUBwAAAAAAYAAAA/AgA/AACAAAAAAAA8L8CVHQkl/8QAMACnaIjufyH2D8AAAAAGAAAAPwIAPwAAgAAAAAAAPC/AlR0JJf/EADAAtsbfGEyVfM/AAAAADwECAQABAQAAAAIAAgIBAQAAAAMEAgMBAQAAAAQAAQABAQAAAAUBAQAAAAAAAAYFAQAAAAAAAAcGAQAAAAAAAAgHAgAAAAAAAAkDAQABAQAAAAoEAQABAQAAAAsHAQAAAAAAAAwNAQABAQAAAA0KAgIBAQAAAAMBAQABAQAAAAwJAgIBAQAAAAAAAEAAAAAAAAAAAAAAAAAAAAAAAAAAAA=</t>
        </r>
      </text>
    </comment>
    <comment ref="C199" authorId="0">
      <text>
        <r>
          <rPr>
            <sz val="9"/>
            <color indexed="81"/>
            <rFont val="Tahoma"/>
            <family val="2"/>
          </rPr>
          <t>Insight iXlW00003C0000199R0841462809S00000581P00924LAocjBAQBF1NjaVRlZ2ljLmRhdGEuTW9sZWN1bGUBbQF/ARJTY2lUZWdpYy5Nb2xlY3VsZQAAAQFkAv5qAQAAAAIAAjAYAAAA/AgA/AACAAAAAAAA8L8CnMQgsHJo1T8CXynLEMe6qL8AAAAAGAAAAPwIAPwAAgAAAAAAAPC/Ah44Z0Rpb/G/Al8pyxDHurg/AAAAAAEQAAAA/AQA/AACAAAAAAAA8L8CUWuad5yi9D8CaW/whclU8D8AAAAAHAAAAPwIAPwAAgAAAAAAAPC/AsTTK2UZ4vA/AtzXgXNGlPS/AAAAABgAAAD8CAD8AAIAAAAAAADwvwJJUPwYc9f+vwJANV66SQzxvwAAAAAYAAAA/AgA/AACAAAAAAAA8L8CysNCrWne+r8Cak3zjlN09j8AAAAAGAAAAPwIAPwAAgAAAAAAAPC/As3MzMzMzARAAuQUHcnlP9w/AAAAABwAAAD8CAD8AAIAAAAAAADwvwIVHcnlP6QDQAIXSFD8GHPvvwAAAAAYAAAA/AgA/AACAAAAAAAA8L8CSFD8GHPXCsACoKut2F927b8AAAAAGAAAAPwIAPwAAgAAAAAAAPC/Ak9AE2HD0wjAAktZhjjWxfg/AAAAACAAAAD8CAD8AAIAAAAAAADwvwIWjErqBLQOQALW52or9pfyPwAAAAAYAAAA/AgA/AACAAAAAAAA8L8CnaIjufyHD8AC18VtNIC32D8AAAAANAAEBAAAAAAAAAAIBAAEAAAAAAAMCAwEAAAAAAQQBAAEBAAAAAQUCAwEBAAAAAgYBAAEAAAAAAwcBAAEAAAAABAgCAgEBAAAABQkBAAEBAAAABgoCAAAAAAAACAsBAAEBAAAABgcBAAEAAAAACQsCAgEBAAAAAAAAQAAAAAAAAAAAAAAAAAAAAAAAAAAAA==</t>
        </r>
      </text>
    </comment>
    <comment ref="C200" authorId="0">
      <text>
        <r>
          <rPr>
            <sz val="9"/>
            <color indexed="81"/>
            <rFont val="Tahoma"/>
            <family val="2"/>
          </rPr>
          <t>Insight iXlW00003C0000200R0841462809S00000582P00920LAocjBAQBF1NjaVRlZ2ljLmRhdGEuTW9sZWN1bGUBbQF/ARJTY2lUZWdpYy5Nb2xlY3VsZQAAAQFkAv5qAQAAAAIAAjAYAAAA/AQA/AACAAAAAAAA8L8CAAAAAAAAAkACPN9PjZdu7j8AAAAAGAAAAPwEAPwAAgAAAAAAAPC/AgAAAAAAAOg/AlqGONbFbe4/AAAAACAAAAD8BAD8AAIAAAAAAADwvwIAAAAAAAAIQAIAAAAAAAACQAAAAAAYAAAA/AgA/AACAAAAAAAA8L8CXW3F/rI7G0ACAAAAAAAA+D8AAAAAGAAAAPwIAPwAAgAAAAAAAPC/Al1txf6yOxtAAgAAAAAAAAhAAAAAABwAAAD8CAD8AAIAAAAAAADwvwJmiGNd3IYVQAJpke18P7ULQAAAAAAYAAAA/AgA/AACAAAAAAAA8L8CAAAAAAAAEkACAAAAAAAAAkAAAAAAHAAAAPwIAPwAAgAAAAAAAPC/AmaIY13chhVAAi/dJAaBlfA/AAAAABgAAAD8CAD8AAIAAAAAAADwvwK7uI0G8DYgQAIAAAAAAADoPwAAAAAYAAAA/AgA/AACAAAAAAAA8L8Cx7q4jQbQIkACAAAAAAAA+D8AAAAAGAAAAPwIAPwAAgAAAAAAAPC/Ase6uI0G0CJAAgAAAAAAAAhAAAAAABgAAAD8CAD8AAIAAAAAAADwvwK7uI0G8DYgQAIAAAAAAAAOQAAAAAA0AAQEAAAAAAAAAAgEAAAAAAAADBAIDAQEAAAAFBgEAAQEAAAAGBwICAQEAAAADBwEAAQEAAAADCAEAAQEAAAAICQICAQEAAAAJCgEAAQEAAAAKCwICAQEAAAAECwEAAQEAAAAEBQEAAQEAAAACBgEAAAAAAAAAAABAAAAAAAAAAAAAAAAAAAAAAAAAAAA</t>
        </r>
      </text>
    </comment>
    <comment ref="C201" authorId="0">
      <text>
        <r>
          <rPr>
            <sz val="9"/>
            <color indexed="81"/>
            <rFont val="Tahoma"/>
            <family val="2"/>
          </rPr>
          <t>Insight iXlW00003C0000201R0841462809S00000583P00636LAocjBAQBF1NjaVRlZ2ljLmRhdGEuTW9sZWN1bGUBbQF/ARJTY2lUZWdpYy5Nb2xlY3VsZQAAAQFkAv5qAQAAAAIAAiAYAAAA/AgA/AACAAAAAAAA8L8CwcqhRbbz/j8CumsJ+aBnoz8AAAAAGAAAAPwEAPwAAgAAAAAAAPC/AnBfB84ZUeI/Al1txf6ye9q/AAAAACAAAAD8BAD8AAIAAAAAAADwvwLWVuwvu6cBQAK1pnnHKTr3PwAAAAAgAAAA/AgA/AACAAAAAAAA8L8CN6s+V1sxCEAC3NeBc0aU7L8AAAAAGAAAAPwEAPwAAgAAAAAAAPC/Ah8Wak3zjt+/AuLplbIMceA/AAAAABwABAD8CAD8AAIAAAAAAADwvwKRoPgx5q79vwK6awn5oGejPwAAAAAgAAAA/AgA/AACAAAAAAAA8L8CHxZqTfOOB8ACLiEf9GxW7z8AAAAAIAD8APwIAPwAAgAAAAAAAPC/Ar7BFyZTBQHAApSHhVrTvPW/AAAAABwABAQAAAAAAAAACAQAAAAAAAAADAgAAAAAAAAEEAQAAAAAAAAQFAQAAAAAAAAUGAgAAAAAAAAUHAQAAAAAAAAAAAEAAAAAAAAAAAAAAAAAAAAAAAAAAAA=</t>
        </r>
      </text>
    </comment>
    <comment ref="C202" authorId="0">
      <text>
        <r>
          <rPr>
            <sz val="9"/>
            <color indexed="81"/>
            <rFont val="Tahoma"/>
            <family val="2"/>
          </rPr>
          <t>Insight iXlW00003C0000202R0841462809S00000584P01176LAocjBAQBF1NjaVRlZ2ljLmRhdGEuTW9sZWN1bGUBbQF/ARJTY2lUZWdpYy5Nb2xlY3VsZQAAAQFkAv5qAQAAAAIAAgEQGAAAAPwIAPwAAgAAAAAAAPC/AoGVQ4ts5+0/AonS3uALk90/AAAAAAEQAAAA/AQA/AACAAAAAAAA8L8Ct9EA3gIJyr8Cak3zjlN07j8AAAAAGAAAAPwIAPwAAgAAAAAAAPC/AklQ/Bhz1/4/AjcawFsgQfM/AAAAABgAAAD8CAD8AAIAAAAAAADwvwIxKqkT0ETxPwLm0CLb+X7ovwAAAAAcAAAA/AgA/AACAAAAAAAA8L8CNl66SQwC778CIv32deCckb8AAAAAIAAAAPwIAPwAAgAAAAAAAPC/AtfFbTSAt9g/Amlv8IXJVABAAAAAACAAAAD8CAD8AAIAAAAAAADwvwKRfvs6cM7zvwJ/arx0kxj6PwAAAAAYAAAA/AgA/AACAAAAAAAA8L8CHqfoSC5/CEACSFD8GHPX5j8AAAAAGAAAAPwIAPwAAgAAAAAAAPC/AhIUP8bctQFAAvcGX5hMFfS/AAAAABgAAAD8BAD8AAIAAAAAAADwvwJe3EYDeIsBwAKrPldbsb/EPwAAAAAYAAAA/AgA/AACAAAAAAAA8L8C1lbsL7unCUAC6bevA+eM4L8AAAAAGAAAAPwIAPwAAgAAAAAAAPC/AlHaG3xhsgfAApJc/kP67em/AAAAABgAAAD8BAD8AAIAAAAAAADwvwL0bFZ9rjYFwAJJLv8h/fb0PwAAAAAYAAAA/AQA/AACAAAAAAAA8L8CqaROQBNhEUACeXqlLEMc8L8AAAAAIAAAAPwEAPwAAgAAAAAAAPC/ApEPejarvhDAAv7UeOkmMeS/AAAAACAAAAD8CAD8AAIAAAAAAADwvwKCc0aU9gYEwAKjtDf4wmT/vwAAAAABEAAEBAAAAAAAAAAICAwEBAAAAAAMBAAEBAAAAAQQBAAAAAAAAAQUCAAAAAAAAAQYCAAAAAAAAAgcBAAEBAAAAAwgCAgEBAAAABAkBAAAAAAAABwoCAwEBAAAACQsBAAAAAAAACQwBAAAAAAAACg0BAAAAAAAACw4BAAAAAAAACw8CAAAAAAAACAoBAAEBAAAAAAAAQAAAAAAAAAAAAAAAAAAAAAAAAAAAA==</t>
        </r>
      </text>
    </comment>
    <comment ref="C203" authorId="0">
      <text>
        <r>
          <rPr>
            <sz val="9"/>
            <color indexed="81"/>
            <rFont val="Tahoma"/>
            <family val="2"/>
          </rPr>
          <t>Insight iXlW00003C0000203R0841462809S00000585P00988LAocjBAQBF1NjaVRlZ2ljLmRhdGEuTW9sZWN1bGUBbQF/ARJTY2lUZWdpYy5Nb2xlY3VsZQAAAQFkAv5qAQAAAAIAAjQYAAAA/AgA/AACAAAAAAAA8L8CIUHxY8xduz8CI2x4eqUs1z8AAAAAGAAAAPwIAPwAAgAAAAAAAPC/AqOSOgFNhPU/AlAeFmpN89a/AAAAABwAAAD8CAD8AAIAAAAAAADwvwL0/dR46SbyvwJfmEwVjErWvwAAAAAYAAAA/AgA/AACAAAAAAAA8L8CIUHxY8xduz8CRkdy+Q/p/D8AAAAAGAAAAPwIAPwAAgAAAAAAAPC/Aq+2Yn/ZPfU/AtGzWfW52vy/AAAAABwAAAD8CAD8AAIAAAAAAADwvwJPQBNhw9MEQAKMSuoENBHWPwAAAAAYAAAA/AgA/AACAAAAAAAA8L8CBoGVQ4vsAsAC9dvXgXNG2D8AAAAAGAAAAPwIAPwAAgAAAAAAAPC/AvT91HjpJvK/Ar4wmSoYFQRAAAAAABgAAAD8CAD8AAIAAAAAAADwvwJaZDvfT40EQAK+MJkqGBUEwAAAAAAYAAAA/AgA/AACAAAAAAAA8L8CG55eKcuQDkAC5j+k374O2L8AAAAAGAAAAPwIAPwAAgAAAAAAAPC/AlJJnYAmwgLAArOd76fGS/0/AAAAABwAAAD8BAD8AAIAAAAAAADwvwJ88rBQaxoNwAKcxCCwcmjVvwAAAAAYAAAA/AgA/AACAAAAAAAA8L8C6dms+lxtDkACwqikTkAT/b8AAAAAOAAEBAAAAAAAAAAIBAAEBAAAAAAMCAwEBAAAAAQQCAwEBAAAAAQUBAAEBAAAAAgYCAgEBAAAAAwcBAAEBAAAABAgBAAEBAAAABQkCAgEBAAAABgoBAAEBAAAABgsBAAAAAAAACAwCAgEBAAAABwoCAgEBAAAACQwBAAEBAAAAAAAAQAAAAAAAAAAAAAAAAAAAAAAAAAAAA==</t>
        </r>
      </text>
    </comment>
    <comment ref="C204" authorId="0">
      <text>
        <r>
          <rPr>
            <sz val="9"/>
            <color indexed="81"/>
            <rFont val="Tahoma"/>
            <family val="2"/>
          </rPr>
          <t>Insight iXlW00003C0000204R0841462809S00000586P00648LAocjBAQBF1NjaVRlZ2ljLmRhdGEuTW9sZWN1bGUBbQF/ARJTY2lUZWdpYy5Nb2xlY3VsZQAAAQFkAv5qAQAAAAIAAiAYAAAA/AgA/AACAAAAAAAA8L8CUkmdgCbC4j8CaZHtfD814j8AAAAAHAAAAPwIAPwAAgAAAAAAAPC/AuviNhrAW+y/AmmR7Xw/NeI/AAAAABwAAAD8CAD8AAIAAAAAAADwvwJ8YTJVMCrwPwJseHqlLEPqvwAAAAAgAAAA/AQA/AACAAAAAAAA8L8CTDeJQWDl9j8CsJRliGNd+z8AAAAAGAAAAPwIAPwAAgAAAAAAAPC/Aq+2Yn/ZPfW/At4CCYofY+i/AAAAAAEQAAAA/AQA/AACAAAAAAAA8L8CJZf/kH77wr8Ci47k8h/S+b8AAAAAGAAAAPwEAPwAAgAAAAAAAPC/AoUNT6+U5QZAAlpkO99Pjfg/AAAAABwAAAD8BAD8AAIAAAAAAADwvwLlYaHWNG8FwALl8h/Sb1/yvwAAAAAgAAQEAAQEAAAAAAgICAQEAAAAAAwEAAAAAAAABBAIDAQEAAAACBQEAAQEAAAADBgEAAAAAAAAEBwEAAAAAAAAEBQEAAQEAAAAAAABAAAAAAAAAAAAAAAAAAAAAAAAAAAA</t>
        </r>
      </text>
    </comment>
    <comment ref="C205" authorId="0">
      <text>
        <r>
          <rPr>
            <sz val="9"/>
            <color indexed="81"/>
            <rFont val="Tahoma"/>
            <family val="2"/>
          </rPr>
          <t>Insight iXlW00003C0000205R0841462809S00000587P00964LAocjBAQBF1NjaVRlZ2ljLmRhdGEuTW9sZWN1bGUBbQF/ARJTY2lUZWdpYy5Nb2xlY3VsZQAAAQFkAv5qAQAAAAIAAjQcAAAA/AgA/AACAAAAAAAA8L8C7Q2+MJmqAUACAAAAAAAAwL8AAAAAGAAAAPwEAPwAAgAAAAAAAPC/Aov9ZffkYQdAAmdmZmZmZtI/AAAAABgIAAD8BAD8AAIAAAAAAADwvwIp7Q2+MBkNQAIAAAAAAADAvwAAAAAYAAAA/AgA/AACAAAAAAAA8L8CEOm3rwPn9z8CZ2ZmZmZm0j8AAAAAIAAAAPwIAPwAAgAAAAAAAPC/Ah+F61G4Huk/ApkqGJXUCcC/AAAAACAAAAD8BAD8AAIAAAAAAADwvwJ0tRX7y+73PwKsHFpkO9/xPwAAAAAYAAAA/AQA/AACAAAAAAAA8L8CMnctIR/06D8CWmQ730+N+D8AAAAAGAAAAPwEAPwAAgAAAAAAAPC/Aq36XG3F/ug/Ao51cRsN4AJAAAAAABgAAAD8BAD8AAIAAAAAAADwvwIi/fZ14JyxPwI1XrpJDALyPwAAAAAYAAAA/AQA/AACAAAAAAAA8L8CN6s+V1uxrz8C8x/Sb18H/z8AAAAABAAAAPwEAPwAAgAAAAAAAPC/AiFB8WPMXQhAAn/7OnDOiOa/AAAAACAAAAD8BAD8AAIAAAAAAADwvwI9LNSa5t0QQAJ/+zpwzojmvwAAAAAYAAAA/AQA/AACAAAAAAAA8L8CxNMrZRliEUACAwmKH2Pu0j8AAAAAMBQYBAAAAAAAAAAMBAAAAAAAABgcBAAAAAAAABggBAAAAAAAAAwQCAAAAAAAABgkBAAAAAAAAAQIBAAAAAAAAAgoBBAAAAAAAAwUBAAAAAAAAAgsBBQAAAAAAAAEBAAAAAAAAAgwBAAAAAAAAAAAAQAAAAAAAAAAAAAAAAAAAAAAAAAAAA==</t>
        </r>
      </text>
    </comment>
    <comment ref="C206" authorId="0">
      <text>
        <r>
          <rPr>
            <sz val="9"/>
            <color indexed="81"/>
            <rFont val="Tahoma"/>
            <family val="2"/>
          </rPr>
          <t>Insight iXlW00003C0000206R0841462809S00000588P01040LAocjBAQBF1NjaVRlZ2ljLmRhdGEuTW9sZWN1bGUBbQF/ARJTY2lUZWdpYy5Nb2xlY3VsZQAAAQFkAv5qAQAAAAIAAjgYAAAA/AgA/AACAAAAAAAA8L8CkaD4MebuF0ACRiV1ApqICcAAAAAAHAAAAPwIAPwAAgAAAAAAAPC/AnBfB84ZERVAAhPyQc9m1QzAAAAAABgIAAD8BAD8AAIAAAAAAADwvwLWxW00gDcSQAJGJXUCmogJwAAAAAAgAAAA/AQA/AACAAAAAAAA8L8CKjqSy3/IGkACE/JBz2bVDMAAAAAAIAAAAPwIAPwAAgAAAAAAAPC/ApGg+DHm7hdAAq2L22gA7wLAAAAAABgAAAD8BAD8AAIAAAAAAADwvwJnZmZmZqYdQAJGJXUCmogJwAAAAAAYCAAA/AQA/AACAAAAAAAA8L8CIUHxY8xdDkACelioNc07DMAAAAAAIAAAAPwEAPwAAgAAAAAAAPC/AgAAAAAAAA1AAvcGX5hMVRHAAAAAABgAAAD8BAD8AAIAAAAAAADwvwKamZmZmdkRQAK62or9ZfcCwAAAAAAYAAAA/AQA/AACAAAAAAAA8L8Ch6dXyjJEDUACmpmZmZmZAcAAAAAAGAAAAPwEAPwAAgAAAAAAAPC/Arraiv1l9wlAAhPyQc9mVQfAAAAAABgAAAD8BAD8AAIAAAAAAADwvwIAAAAAAEAgQAIT8kHPZtUMwAAAAAAYAAAA/AQA/AACAAAAAAAA8L8Co5I6AU3EHEACmpmZmZkZA8AAAAAAGAAAAPwEAPwAAgAAAAAAAPC/AgAAAAAAgB5AApqZmZmZGQPAAAAAADgEAAQAAAAAAAAIBAQQAAAAAAAMAAQAAAAAAAAQAAgAAAAAAAAUDAQAAAAAAAAYCAQABAAAAAAYHAQQAAAAAAAgCAQABAAAAAAkIAQABAAAAAAoGAQABAAAAAAsFAQAAAAAAAAwFAQAAAAAAAA0FAQAAAAAAAAoJAQABAAAAAAAAAEAAAAAAAAAAAAAAAAAAAAAAAAAAAA=</t>
        </r>
      </text>
    </comment>
    <comment ref="C207" authorId="0">
      <text>
        <r>
          <rPr>
            <sz val="9"/>
            <color indexed="81"/>
            <rFont val="Tahoma"/>
            <family val="2"/>
          </rPr>
          <t>Insight iXlW00003C0000207R0841462809S00000589P00712LAocjBAQBF1NjaVRlZ2ljLmRhdGEuTW9sZWN1bGUBbQF/ARJTY2lUZWdpYy5Nb2xlY3VsZQAAAQFkAv5qAQAAAAIAAiQYCAAA/AQA/AACAAAAAAAA8L8CRIts5/upob8C+FPjpZvEsL8AAAAAGAgAAPwEAPwAAgAAAAAAAPC/AuviNhrAW/S/AsnlP6TfvuQ/AAAAABgAAAD8BAD8AAIAAAAAAADwvwJEi2zn+6mhvwLi6ZWyDHH4vwAAAAAYAAAA/AwA/AACAAAAAAAA8L8CQz7o2az68j8Csp3vp8ZL5T8AAAAAGAAAAPwEAPwAAgAAAAAAAPC/Ar4wmSoYFQTAAtUJaCJseLq/AAAAACAAAAD8BAD8AAIAAAAAAADwvwLr4jYawFv0vwLc14FzRpQAQAAAAAAYAAAA/AQA/AACAAAAAAAA8L8C6+I2GsBb9L8CAwmKH2PuAcAAAAAAHAAAAPwMAPwAAgAAAAAAAPC/AnDwhclUQQNAAmN/2T15WPY/AAAAABgAAAD8BAD8AAIAAAAAAADwvwK+MJkqGBUEwALi6ZWyDHH4vwAAAAAkAAQEAAQAAAAAAAgEAAQAAAAAAAwEFAAAAAAABBAEAAQAAAAABBQEEAAAAAAACBgEAAQAAAAADBwMAAAAAAAAECAEAAQAAAAAGCAEAAQAAAAAAAABAAAAAAAAAAAAAAAAAAAAAAAAAAAA</t>
        </r>
      </text>
    </comment>
    <comment ref="C208" authorId="0">
      <text>
        <r>
          <rPr>
            <sz val="9"/>
            <color indexed="81"/>
            <rFont val="Tahoma"/>
            <family val="2"/>
          </rPr>
          <t>Insight iXlW00003C0000208R0841462809S00000590P00844LAocjBAQBF1NjaVRlZ2ljLmRhdGEuTW9sZWN1bGUBbQF/ARJTY2lUZWdpYy5Nb2xlY3VsZQAAAQFkAv5qAQAAAAIAAiwYAAAA/AgA/AACAAAAAAAA8L8CWDm0yHa+n78CnMQgsHJo1T8AAAAAGAAAAPwIAPwAAgAAAAAAAPC/Alg5tMh2vp+/Ahb7y+7Jw/G/AAAAABgAAAD8CAD8AAIAAAAAAADwvwJkXdxGA3j0vwJeS8gHPZvwPwAAAAAYAAAA/AQA/AACAAAAAAAA8L8Cx9y1hHzQ8j8CXkvIBz2b8D8AAAAAGAAAAPwIAPwAAgAAAAAAAPC/AmRd3EYDePS/Ar7BFyZTBf2/AAAAACAAAAD8BAD8AAIAAAAAAADwvwLH3LWEfNDyPwK+wRcmUwX9vwAAAAAYAAAA/AgA/AACAAAAAAAA8L8Cc2iR7Xw/BMACnMQgsHJo1T8AAAAAGAAAAPwEAPwAAgAAAAAAAPC/AmPuWkI+aAFAApchjnVxmwBAAAAAABgAAAD8BAD8AAIAAAAAAADwvwJCz2bV52rDPwKXIY51cZsAQAAAAAAgAAAA/AQA/AACAAAAAAAA8L8CJCh+jLlrA0ACnMQgsHJo1T8AAAAAGAAAAPwIAPwAAgAAAAAAAPC/AnNoke18PwTAAhb7y+7Jw/G/AAAAACwABAgIBAQAAAAACAQABAQAAAAADAQAAAAAAAAEEAQABAQAAAAEFAQAAAAAAAAIGAgIBAQAAAAMHAQAAAAAAAAMIAQAAAAAAAAMJAQAAAAAAAAQKAgIBAQAAAAYKAQABAQAAAAAAAEAAAAAAAAAAAAAAAAAAAAAAAAAAAA=</t>
        </r>
      </text>
    </comment>
    <comment ref="C209" authorId="0">
      <text>
        <r>
          <rPr>
            <sz val="9"/>
            <color indexed="81"/>
            <rFont val="Tahoma"/>
            <family val="2"/>
          </rPr>
          <t>Insight iXlW00003C0000209R0841462809S00000591P00636LAocjBAQBF1NjaVRlZ2ljLmRhdGEuTW9sZWN1bGUBbQF/ARJTY2lUZWdpYy5Nb2xlY3VsZQAAAQFkAv5qAQAAAAIAAiAYAAAA/AQA/AACAAAAAAAA8L8CYHZPHhZq9L8CUdobfGEypb8AAAAAGAAAAPwEAPwAAgAAAAAAAPC/Al8pyxDHuqi/AvXb14FzRui/AAAAABgAAAD8BAD8AAIAAAAAAADwvwKti9toAG/hvwIwTKYKRiXzPwAAAAAYAAAA/AQA/AACAAAAAAAA8L8CtTf4wmQqBMAChXzQs1n15T8AAAAAIAAAAPwEAPwAAgAAAAAAAPC/Ar4wmSoYFQDAAlFrmnecovS/AAAAABgAAAD8CAD8AAIAAAAAAADwvwK30QDeAgnzPwJR2ht8YTKlvwAAAAAgAAAA/AQA/AACAAAAAAAA8L8CLiEf9GxWA0AC9dvXgXNG6L8AAAAAIAAAAPwIAPwAAgAAAAAAAPC/ArfRAN4CCfM/AnKKjuTyH/Y/AAAAABwABAQAAAAAAAAACAQAAAAAAAAADAQAAAAAAAAAEAQAAAAAAAAEFAQAAAAAAAAUGAQAAAAAAAAUHAgAAAAAAAAAAAEAAAAAAAAAAAAAAAAAAAAAAAAAAAA=</t>
        </r>
      </text>
    </comment>
    <comment ref="C210" authorId="0">
      <text>
        <r>
          <rPr>
            <sz val="9"/>
            <color indexed="81"/>
            <rFont val="Tahoma"/>
            <family val="2"/>
          </rPr>
          <t>Insight iXlW00003C0000210R0841462809S00000592P01596LAocjBAQBF1NjaVRlZ2ljLmRhdGEuTW9sZWN1bGUBbQF/ARJTY2lUZWdpYy5Nb2xlY3VsZQAAAQFkAv5qAQAAAAIBAgEWGAAAAPwEAPwAAgAAAAAAAPC/AAI5RUdy+Q/nPwAAAAAYAAAA/AgA/AACAAAAAAAA8L8CNxrAWyBB678CLUMc6+I2+T8AAAAAGAAAAPwIAPwAAgAAAAAAAPC/AjcawFsgQes/Ai1DHOviNvk/AAAAABgMAAD8BAD8AAIAAAAAAADwvwI3GsBbIEHrPwLbG3xhMlXAvwAAAAAgAAAA/AQA/AACAAAAAAAA8L8CNxrAWyBB678C2xt8YTJVwL8AAAAAGAAAAPwIAPwAAgAAAAAAAPC/AsuhRbbz/eC/AgMJih9j7gVAAAAAABgAAAD8CAD8AAIAAAAAAADwvwL67evAOSMAwAJvgQTFjzH0PwAAAAAYAAAA/AgA/AACAAAAAAAA8L8C+u3rwDkjAEAC9wZfmEwV9D8AAAAAGAAAAPwIAPwAAgAAAAAAAPC/AryWkA96NuE/AsdLN4lB4AVAAAAAABgAAAD8CAD8AAIAAAAAAADwvwLLoUW28/3gPwJRa5p3nKL0vwAAAAAgAAAA/AQA/AACAAAAAAAA8L8CvjCZKhgVAEAC9rnaiv1lxz8AAAAAGAAAAPwIAPwAAgAAAAAAAPC/AoV80LNZ9fW/ApEPejarvgxAAAAAABgAAAD8CAD8AAIAAAAAAADwvwLByqFFtvMGwAKCBMWPMfcAQAAAAAAYAAAA/AgA/AACAAAAAAAA8L8CwcqhRbbzBkACzczMzMzMAEAAAAAAGAAAAPwIAPwAAgAAAAAAAPC/Au7rwDkjSvY/AlVSJ6CJsAxAAAAAABgAAAD8CAD8AAIAAAAAAADwvwIGEhQ/xtzjvwIiH/RsVn35vwAAAAAYAAAA/AgA/AACAAAAAAAA8L8ChXzQs1n19T8CuK8D54woAcAAAAAAGAAAAPwIAPwAAgAAAAAAAPC/AmRd3EYDeATAAnZxGw3gLQpAAAAAABgAAAD8CAD8AAIAAAAAAADwvwKmLEMc62IEQAJ2cRsN4C0KQAAAAAAYAAAA/AgA/AACAAAAAAAA8L8Cak3zjlN07r8CAwmKH2PuBcAAAAAAGAAAAPwIAPwAAgAAAAAAAPC/AjxO0ZFc/vA/Amx4eqUsQwrAAAAAABgAAAD8CAD8AAIAAAAAAADwvwKamZmZmZm5vwKRD3o2q74MwAAAAAABGAAEBAAAAAAAAAAIBAAAAAAAAAAMBAAAAAAAAAAQBAAAAAAAAAQUCAwEBAAAAAQYBAAEBAAAAAgcCAwEBAAAAAggBAAEBAAAAAwkBAAAAAAAAAwoBBAAAAAAABQsBAAEBAAAABgwCAgEBAAAABw0BAAEBAAAACA4CAgEBAAAACQ8CAwEBAAAACQBEAQABAQAAAAsAREICAQEAAAANAESCAgEBAAAADwBEwQABAQAAAABEAEUCAgEBAAAAAETARUICAQEAAAAMAERBAAEBAAAADgBEgQABAQAAAABFAEVBAAEBAAAAAAAAQAAAAAAAAAAAAAAAAAAAAAAAAAAAA==</t>
        </r>
      </text>
    </comment>
    <comment ref="C211" authorId="0">
      <text>
        <r>
          <rPr>
            <sz val="9"/>
            <color indexed="81"/>
            <rFont val="Tahoma"/>
            <family val="2"/>
          </rPr>
          <t>Insight iXlW00003C0000211R0841462809S00000593P00648LAocjBAQBF1NjaVRlZ2ljLmRhdGEuTW9sZWN1bGUBbQF/ARJTY2lUZWdpYy5Nb2xlY3VsZQAAAQFkAv5qAQAAAAIAAiAYAAAA/AQA/AACAAAAAAAA8L8C2qz6XG3F4L8Csp3vp8ZL5b8AAAAAGAAAAPwIAPwAAgAAAAAAAPC/Atqs+lxtxeC/Au0NvjCZKug/AAAAABgAAAD8BAD8AAIAAAAAAADwvwJYW7G/7J7mPwJyio7k8h/2vwAAAAAgAAAA/AQA/AACAAAAAAAA8L8C6+I2GsBb/L8CcoqO5PIf9r8AAAAAGAAAAPwEAPwAAgAAAAAAAPC/Alhbsb/snuY/ApeQD3o2q/c/AAAAACAAAAD8CAD8AAIAAAAAAADwvwLr4jYawFv8vwKXkA96Nqv3PwAAAAAYAAAA/AQA/AACAAAAAAAA8L8CKjqSy39I/z8Csp3vp8ZL5b8AAAAAGAAAAPwEAPwAAgAAAAAAAPC/Aio6kst/SP8/Au0NvjCZKug/AAAAACAABAQABAAAAAAACAQABAAAAAAADAQAAAAAAAAEEAQABAAAAAAEFAgAAAAAAAAIGAQABAAAAAAQHAQABAAAAAAYHAQABAAAAAAAAAEAAAAAAAAAAAAAAAAAAAAAAAAAAAA=</t>
        </r>
      </text>
    </comment>
    <comment ref="C212" authorId="0">
      <text>
        <r>
          <rPr>
            <sz val="9"/>
            <color indexed="81"/>
            <rFont val="Tahoma"/>
            <family val="2"/>
          </rPr>
          <t>Insight iXlW00003C0000212R0841462809S00000594P00780LAocjBAQBF1NjaVRlZ2ljLmRhdGEuTW9sZWN1bGUBbQF/ARJTY2lUZWdpYy5Nb2xlY3VsZQAAAQFkAv5qAQAAAAIAAigYAAAA/AgA/AACAAAAAAAA8L8CuK8D54wo8T8CqOhILv8h3b8AAAAAGAAAAPwIAPwAAgAAAAAAAPC/AvRsVn2uNgFAAmdmZmZmZva/AAAAABgAAAD8CAD8AAIAAAAAAADwvwIcDeAtkKD1PwJyio7k8h/uPwAAAAAcAAAA/AQA/AACAAAAAAAA8L8C6bevA+eM0L8Cr7Zif9k97b8AAAAAGAAAAPwIAPwAAgAAAAAAAPC/AjerPldbMQxAAnKKjuTyH+6/AAAAABgAAAD8CAD8AAIAAAAAAADwvwJP0ZFc/sMFQAJnZmZmZmb2PwAAAAAYAAAA/AQA/AACAAAAAAAA8L8Co5I6AU2E9b8CbXh6pSxDfD8AAAAAGAAAAPwIAPwAAgAAAAAAAPC/AqMjufyHdA5AAqjoSC7/Id0/AAAAABgAAAD8CAD8AAIAAAAAAADwvwJYyjLEsa4FwAIhQfFjzF3bvwAAAAAYAAAA/AgA/AACAAAAAAAA8L8CoyO5/Id0DsACCM4ZUdob4D8AAAAAKAAECAgEBAAAAAAIBAAEBAAAAAAMBAAAAAAAAAQQBAAEBAAAAAgUCAgEBAAAAAwYBAAAAAAAABAcCAgEBAAAABggBAAAAAAAACAkCAAAAAAAABQcBAAEBAAAAAAAAQAAAAAAAAAAAAAAAAAAAAAAAAAAAA==</t>
        </r>
      </text>
    </comment>
    <comment ref="C213" authorId="0">
      <text>
        <r>
          <rPr>
            <sz val="9"/>
            <color indexed="81"/>
            <rFont val="Tahoma"/>
            <family val="2"/>
          </rPr>
          <t>Insight iXlW00003C0000213R0841462809S00000595P00896LAocjBAQBF1NjaVRlZ2ljLmRhdGEuTW9sZWN1bGUBbQF/ARJTY2lUZWdpYy5Nb2xlY3VsZQAAAQFkAv5qAQAAAAIAAjAYAAAA/AgA/AACAAAAAAAA8L8CZ2ZmZmYmHUACFD/G3LUEAEAAAAAAGAAAAPwMAPwAAgAAAAAAAPC/Atlfdk8eFgFAAsl2vp8aL/U/AAAAABgAAAD8DAD8AAIAAAAAAADwvwIAAAAAAADoPwKS7Xw/NV7+PwAAAAAgAAAA/AQA/AACAAAAAAAA8L8CKssQx7pYIUAC71pCPujZ9j8AAAAAIAAAAPwIAPwAAgAAAAAAAPC/Aj0s1JrmXRxAAplMFYxK6gtAAAAAABgAAAD8BAD8AAIAAAAAAADwvwKZu5aQD7ojQALQ1VbsL7sCQAAAAAAcAAAA/AgA/AACAAAAAAAA8L8CpHA9CtdjGEACdy0hH/Rs8T8AAAAAGAAAAPwEAPwAAgAAAAAAAPC/ArK/7J48LAxAAgAAAAAAAOg/AAAAABgAAAD8BAD8AAIAAAAAAADwvwK4QILix9gSQAJApN++Dpz6PwAAAAAYAAAA/AQA/AACAAAAAAAA8L8CejarPlcbJkAC71pCPujZ9j8AAAAAGAAAAPwEAPwAAgAAAAAAAPC/AnHOiNLewCVAAqQBvAUSlAtAAAAAABgAAAD8BAD8AAIAAAAAAADwvwIzMzMzM7MhQAKkAbwFEpQLQAAAAAAsBBwEAAAAAAAACAQMAAAAAAAADAAEAAAAAAAAEAAIAAAAAAAAFAwEAAAAAAAAGAAEAAAAAAAAHCAEAAAAAAAAIBgEAAAAAAAAJBQEAAAAAAAAKBQEAAAAAAAALBQEAAAAAAAAAAABAAAAAAAAAAAAAAAAAAAAAAAAAAAA</t>
        </r>
      </text>
    </comment>
    <comment ref="C214" authorId="0">
      <text>
        <r>
          <rPr>
            <sz val="9"/>
            <color indexed="81"/>
            <rFont val="Tahoma"/>
            <family val="2"/>
          </rPr>
          <t>Insight iXlW00003C0000214R0841462809S00000596P00560LAocjBAQBF1NjaVRlZ2ljLmRhdGEuTW9sZWN1bGUBbQF/ARJTY2lUZWdpYy5Nb2xlY3VsZQAAAQFkAv5qAQAAAAIAAhwYAAAA/AgA/AACAAAAAAAA8L8CMzMzMzMz5b8CAAAAAAAAIEAAAAAAIAAAAPwIAPwAAgAAAAAAAPC/Aj0s1JrmHRXAAgAAAAAAADBAAAAAABgAAAD8BAD8AAIAAAAAAADwvwI9LNSa5h0VwAAAAAAAHAAAAPwEAPwAAgAAAAAAAPC/AjMzMzMzM+W/AgAAAAAAACDAAAAAABwAAAD8CAD8AAIAAAAAAADwvwJnZmZmZiYhQAIAAAAAAAAgQAAAAAAYAAAA/AQA/AACAAAAAAAA8L8CPSzUmuYdFcACAAAAAAAAMMAAAAAAGAAAAPwEAPwAAgAAAAAAAPC/AmdmZmZmJiFAAgAAAAAAACDAAAAAABgEAAgAAAAAAAAIAAQAAAAAAAAMCAQAAAAAAAAQAAQAAAAAAAAUDAQAAAAAAAAYDAQAAAAAAAAAAAEAAAAAAAAAAAAAAAAAAAAAAAAAAAA=</t>
        </r>
      </text>
    </comment>
    <comment ref="C215" authorId="0">
      <text>
        <r>
          <rPr>
            <sz val="9"/>
            <color indexed="81"/>
            <rFont val="Tahoma"/>
            <family val="2"/>
          </rPr>
          <t>Insight iXlW00003C0000215R0841462809S00000597P00768LAocjBAQBF1NjaVRlZ2ljLmRhdGEuTW9sZWN1bGUBbQF/ARJTY2lUZWdpYy5Nb2xlY3VsZQAAAQFkAv5qAQAAAAIAAigYAAAA/AgA/AACAAAAAAAA8L8CFR3J5T+k478CJZf/kH770r8AAAAAGAAAAPwIAPwAAgAAAAAAAPC/AhUdyeU/pOM/AqoT0ETY8Ng/AAAAABwAAAD8CAD8AAIAAAAAAADwvwIYJlMFo5L9vwJ8gy9MpgraPwAAAAAgAAAA/AgA/AACAAAAAAAA8L8CBhIUP8bc478CkX77OnDO+78AAAAAHAAAAPwIAPwAAgAAAAAAAPC/AhgmUwWjkv0/AueMKO0NvtS/AAAAACAAAAD8CAD8AAIAAAAAAADwvwIGEhQ/xtzjPwKzne+nxkv9PwAAAAAYAAAA/AQA/AACAAAAAAAA8L8CCYofY+7aCMACjnVxGw3g0b8AAAAAGAAAAPwEAPwAAgAAAAAAAPC/AgmKH2Pu2ghAAgRWDi2yndc/AAAAABgAAAD8BAD8AAIAAAAAAADwvwKppE5AE2ERwAJO845TdCTbPwAAAAAYAAAA/AQA/AACAAAAAAAA8L8CqaROQBNhEUACnMQgsHJo1b8AAAAAJAAEBAAAAAAAAAAIBAAAAAAAAAAMCAAAAAAAAAQQBAAAAAAAAAQUCAAAAAAAAAgYBAAAAAAAABAcBAAAAAAAABggBAAAAAAAABwkBAAAAAAAAAAAAQAAAAAAAAAAAAAAAAAAAAAAAAAAAA==</t>
        </r>
      </text>
    </comment>
    <comment ref="C216" authorId="0">
      <text>
        <r>
          <rPr>
            <sz val="9"/>
            <color indexed="81"/>
            <rFont val="Tahoma"/>
            <family val="2"/>
          </rPr>
          <t>Insight iXlW00003C0000216R0841462809S00000598P01084LAocjBAQBF1NjaVRlZ2ljLmRhdGEuTW9sZWN1bGUBbQF/ARJTY2lUZWdpYy5Nb2xlY3VsZQAAAQFkAv5qAQAAAAIBAjwYCAAA/AQA/AACAAAAAAAA8L8AAidTBaOSOu8/AAAAABgAAAD8CAD8AAIAAAAAAADwvwAC87BQa5p33L8AAAAAGAAAAPwIAPwAAgAAAAAAAPC/AnNoke18P/Q/AigPC7Wmefs/AAAAABwAAAD8CAD8AAIAAAAAAADwvwJzaJHtfD/0vwKOl24Sg8D7PwAAAAAYAAAA/AgA/AACAAAAAAAA8L8CrK3YX3ZP878C2c73U+Ol8r8AAAAAGAAAAPwIAPwAAgAAAAAAAPC/Aqyt2F92T/M/AhIUP8bctfG/AAAAACAAAAD8BAD8AAIAAAAAAADwvwJzaJHtfD8EQAJaZDvfT43wPwAAAAAgAAAA/AgA/AACAAAAAAAA8L8Cc2iR7Xw/9D8CfPKwUGsaCUAAAAAAGAAAAPwIAPwAAgAAAAAAAPC/AkLPZtXn6gPAAlpkO99PjfA/AAAAABgAAAD8CAD8AAIAAAAAAADwvwKsrdhfdk/zvwKgGi/dJIYEwAAAAAAYAAAA/AgA/AACAAAAAAAA8L8Cc2iR7Xw/9D8C097gC5OpBMAAAAAAGAAAAPwEAPwAAgAAAAAAAPC/Akm/fR045w1AAmB2Tx4Wavw/AAAAABgAAAD8BAD8AAIAAAAAAADwvwJJv30dOOcNwAKOl24Sg8D7PwAAAAAgAAAA/AgA/AACAAAAAAAA8L8CQs9m1efqA8AC87BQa5p33L8AAAAAGAAAAPwIAPwAAgAAAAAAAPC/ArprCfmgZ6M/AunZrPpcbQrAAAAAADwABAQAAAAAAAAACAQAAAAAAAAADAQUAAAAAAAEEAQABAQAAAAEFAgMBAQAAAAIGAQAAAAAAAAIHAgAAAAAAAAMIAQAAAAAAAAQJAgIBAQAAAAUKAQABAQAAAAYLAQAAAAAAAAgMAQAAAAAAAAgNAgAAAAAAAAkOAQABAQAAAAoOAgIBAQAAAAAAAEAAAAAAAAAAAAAAAAAAAAAAAAAAAA=</t>
        </r>
      </text>
    </comment>
    <comment ref="C217" authorId="0">
      <text>
        <r>
          <rPr>
            <sz val="9"/>
            <color indexed="81"/>
            <rFont val="Tahoma"/>
            <family val="2"/>
          </rPr>
          <t>Insight iXlW00003C0000217R0841462809S00000599P01184LAocjBAQBF1NjaVRlZ2ljLmRhdGEuTW9sZWN1bGUBbQF/ARJTY2lUZWdpYy5Nb2xlY3VsZQAAAQFkAv5qAQAAAAIBAgEQGAwAAPwEAPwAAgAAAAAAAPC/AqtgVFInoNU/AgajkjoBTbS/AAAAABwAAAD8CAD8AAIAAAAAAADwvwJwXwfOGVH6PwIGo5I6AU20vwAAAAAYAAAA/AQA/AACAAAAAAAA8L8CEce6uI0G3L8CLiEf9GxW7z8AAAAAGAAAAPwEAPwAAgAAAAAAAPC/AuNYF7fRAK6/AhgmUwWjkvW/AAAAABgAAAD8CAD8AAIAAAAAAADwvwItsp3vp0YAQAI2PL1SliH1vwAAAAAYAAAA/AgA/AACAAAAAAAA8L8Cat5xio5kA0ACF0hQ/Bhz7z8AAAAAGAAAAPwIAPwAAgAAAAAAAPC/AgYSFD/G3Pu/Ak5iEFg5tOo/AAAAACAAAAD8BAD8AAIAAAAAAADwvwInUwWjkjrvPwJLWYY41sUAwAAAAAAgAAAA/AgA/AACAAAAAAAA8L8CZ2ZmZmZmCkACjpduEoPA+78AAAAAGAAAAPwEAPwAAgAAAAAAAPC/AouO5PIf0g1AAj9XW7G/7Oo/AAAAACAAAAD8CAD8AAIAAAAAAADwvwJjf9k9eVj+PwKgq63YX3YBQAAAAAAYAAAA/AgA/AACAAAAAAAA8L8COrTIdr4fAsACMQisHFpk178AAAAAGAAAAPwIAPwAAgAAAAAAAPC/Avvt68A5IwTAAusENBE2PP4/AAAAABgAAAD8CAD8AAIAAAAAAADwvwJaZDvfT40MwALx9EpZhjjgvwAAAAAYAAAA/AgA/AACAAAAAAAA8L8CYVRSJ6CJDsACf4y5awn5+z8AAAAAGAAAAPwIAPwAAgAAAAAAAPC/AqmkTkATYRHAApayDHGsi+E/AAAAAAERAAQEAAQAAAAAAAgEEAAAAAAAAAwEAAQAAAAABBAEAAQAAAAABBQEAAAAAAAACBgEAAAAAAAADBwEAAQAAAAAECAIAAAAAAAAFCQEAAAAAAAAFCgIAAAAAAAAGCwEAAQEAAAAGDAIDAQEAAAALDQICAQEAAAAMDgEAAQEAAAANDwEAAQEAAAAEBwEAAQAAAAAODwICAQEAAAAAAABAAAAAAAAAAAAAAAAAAAAAAAAAAAA</t>
        </r>
      </text>
    </comment>
    <comment ref="C218" authorId="0">
      <text>
        <r>
          <rPr>
            <sz val="9"/>
            <color indexed="81"/>
            <rFont val="Tahoma"/>
            <family val="2"/>
          </rPr>
          <t>Insight iXlW00003C0000218R0841462809S00000600P00700LAocjBAQBF1NjaVRlZ2ljLmRhdGEuTW9sZWN1bGUBbQF/ARJTY2lUZWdpYy5Nb2xlY3VsZQAAAQFkAv5qAQAAAAIAAiQYAAAA/AQA/AACAAAAAAAA8L8CMzMzMzMz478C54wo7Q2+1L8AAAAAHAAAAPwIAPwAAgAAAAAAAPC/AvJjzF1LyN8/AlJJnYAmwuI/AAAAABgAAAD8CAD8AAIAAAAAAADwvwI9LNSa5h3/vwIGo5I6AU3EPwAAAAAYAAAA/AQA/AACAAAAAAAA8L8CbjSAt0CC1r8CkX77OnDO+78AAAAAGAAAAPwIAPwAAgAAAAAAAPC/AqOSOgFNhP0/AhPyQc9m1bc/AAAAABgAAAD8BAD8AAIAAAAAAADwvwKmLEMc62IIwALtDb4wmSrovwAAAAAgAAAA/AgA/AACAAAAAAAA8L8CXtxGA3iLAcACuK8D54wo+T8AAAAAGAAAAPwEAPwAAgAAAAAAAPC/Ag+cM6K0twBAAr7BFyZTBfW/AAAAACAAAAD8CAD8AAIAAAAAAADwvwIfFmpN844HQALx9EpZhjjwPwAAAAAgAAQEAAAAAAAAAAgEAAAAAAAAAAwEAAAAAAAABBAEAAAAAAAACBQEAAAAAAAACBgIAAAAAAAAEBwEAAAAAAAAECAIAAAAAAAAAAABAAAAAAAAAAAAAAAAAAAAAAAAAAAA</t>
        </r>
      </text>
    </comment>
    <comment ref="C219" authorId="0">
      <text>
        <r>
          <rPr>
            <sz val="9"/>
            <color indexed="81"/>
            <rFont val="Tahoma"/>
            <family val="2"/>
          </rPr>
          <t>Insight iXlW00003C0000219R0841462809S00000601P00624LAocjBAQBF1NjaVRlZ2ljLmRhdGEuTW9sZWN1bGUBbQF/ARJTY2lUZWdpYy5Nb2xlY3VsZQAAAQFkAv5qAQAAAAIAAiAcAAQA/AgA/AACAAAAAAAA8L8C7FG4HoXr6b8CexSuR+F6lD8AAAAAGAAAAPwEAPwAAgAAAAAAAPC/ApqZmZmZmbk/AlK4HoXrUeC/AAAAABgAAAD8CAD8AAIAAAAAAADwvwL2KFyPwvXwPwAAAAAAIAD8APwIAPwAAgAAAAAAAPC/As3MzMzMzPy/AlK4HoXrUeC/AAAAACAAAAD8CAD8AAIAAAAAAADwvwLsUbgehevpvwIVrkfhehTyPwAAAAAgAAAA/AgA/AACAAAAAAAA8L8C9ihcj8L18D8Cw/UoXI/C8T8AAAAAHAAAAPwIAPwAAgAAAAAAAPC/Ailcj8L1KABAAvYoXI/C9eC/AAAAABgAAAD8BAD8AAIAAAAAAADwvwKuR+F6FK4HQAJ7FK5H4XqUPwAAAAAcBAAEAAAAAAAACAQEAAAAAAAADAAEAAAAAAAAEAAIAAAAAAAAFAgIAAAAAAAAGAgEAAAAAAAAHBgEAAAAAAAAAAABAAAAAAAAAAAAAAAAAAAAAAAAAAAA</t>
        </r>
      </text>
    </comment>
    <comment ref="C220" authorId="0">
      <text>
        <r>
          <rPr>
            <sz val="9"/>
            <color indexed="81"/>
            <rFont val="Tahoma"/>
            <family val="2"/>
          </rPr>
          <t>Insight iXlW00003C0000220R0841462809S00000602P00920LAocjBAQBF1NjaVRlZ2ljLmRhdGEuTW9sZWN1bGUBbQF/ARJTY2lUZWdpYy5Nb2xlY3VsZQAAAQFkAv5qAQAAAAIAAjAYAAAA/AgA/AACAAAAAAAA8L8Cr7Zif9k91b8CYcPTK2UZyr8AAAAAGAgAAPwEAPwAAgAAAAAAAPC/Aiz2l92Th90/AjnWxW00gKc/AAAAABgAAAD8CAD8AAIAAAAAAADwvwKvtmJ/2T3VvwKgq63YX3bwvwAAAAAYCAAA/AQA/AACAAAAAAAA8L8COWdEaW/w7T8CRWlv8IXJ5L8AAAAAGAAAAPwEAPwAAgAAAAAAAPC/Aiz2l92Th90/Av2H9NvXgfS/AAAAABwAAAD8BAD8AAIAAAAAAADwvwLKw0Ktad7nPwLRs1n1udrqPwAAAAAgAAAA/AQA/AACAAAAAAAA8L8C/vZ14JwR/D8CRWlv8IXJ5L8AAAAAGAAAAPwIAPwAAgAAAAAAAPC/At4CCYofY/C/AmHD0ytlGco/AAAAABgAAAD8CAD8AAIAAAAAAADwvwLeAgmKH2PwvwIH8BZIUPz2vwAAAAAYAAAA/AQA/AACAAAAAAAA8L8CbAn5oGezyj8CB/AWSFD89j8AAAAAGAAAAPwIAPwAAgAAAAAAAPC/Av72deCcEfy/AmHD0ytlGcq/AAAAABgAAAD8CAD8AAIAAAAAAADwvwL+9nXgnBH8vwKgq63YX3bwvwAAAAA0BAAEAAQAAAAACAAICAQEAAAADAQEAAQAAAAAEAgEAAQAAAAABBQEFAAAAAAADBgEEAAAAAAAHAAEAAQEAAAAIAgEAAQEAAAAJBQEAAAAAAAAKBwICAQEAAAALCgEAAQEAAAAEAwEAAQAAAAAICwICAQEAAAAAAABAAAAAAAAAAAAAAAAAAAAAAAAAAAA</t>
        </r>
      </text>
    </comment>
    <comment ref="C221" authorId="0">
      <text>
        <r>
          <rPr>
            <sz val="9"/>
            <color indexed="81"/>
            <rFont val="Tahoma"/>
            <family val="2"/>
          </rPr>
          <t>Insight iXlW00003C0000221R0841462809S00000603P01052LAocjBAQBF1NjaVRlZ2ljLmRhdGEuTW9sZWN1bGUBbQF/ARJTY2lUZWdpYy5Nb2xlY3VsZQAAAQFkAv5qAQAAAAIAAjgYAAAA/AgA/AACAAAAAAAA8L8CE/JBz2bVC0ACzczMzMzMCcAAAAAAHAAAAPwIAPwAAgAAAAAAAPC/AgAAAAAAABBAAgAAAAAAgAfAAAAAABwAAAD8BAD8AAIAAAAAAADwvwIT8kHPZlUDQAIT8kHPZtUIwAAAAAAYAAAA/AQA/AACAAAAAAAA8L8CzczMzMzMB0ACZ2ZmZmZmB8AAAAAAIAAAAPwIAPwAAgAAAAAAAPC/As3MzMzMzAtAAkYldQKaiA7AAAAAABgAAAD8CAD8AAIAAAAAAADwvwLNzMzMzAwSQAJnZmZmZuYJwAAAAAAYAAAA/AQA/AACAAAAAAAA8L8CRiV1ApqIAEACRiV1ApoIBcAAAAAAGAAAAPwEAPwAAgAAAAAAAPC/AhPyQc9m1QdAAjMzMzMzswLAAAAAABgAAAD8CAD8AAIAAAAAAADwvwJwXwfOGREUQAJGJXUCmogHwAAAAAAYAAAA/AgA/AACAAAAAAAA8L8CzczMzMwMEkACmpmZmZmZDsAAAAAAGAAAAPwEAPwAAgAAAAAAAPC/AmdmZmZmZgNAAnlYqDXNOwHAAAAAABgAAAD8CAD8AAIAAAAAAADwvwI9LNSa5h0WQAJnZmZmZuYJwAAAAAAYAAAA/AgA/AACAAAAAAAA8L8CcF8HzhkRFEAC1sVtNIB3EMAAAAAAGAAAAPwIAPwAAgAAAAAAAPC/Aj0s1JrmHRZAApqZmZmZmQ7AAAAAADwEAAQAAAAAAAAIDAQABAAAAAAMAAQAAAAAAAAQAAgAAAAAAAAUBAQAAAAAAAAYCAQABAAAAAAcDAQABAAAAAAgFAQABAQAAAAkFAgMBAQAAAAoHAQABAAAAAAsIAgIBAQAAAAwJAQABAQAAAA0MAgIBAQAAAAoGAQABAAAAAAsNAQABAQAAAAAAAEAAAAAAAAAAAAAAAAAAAAAAAAAAAA=</t>
        </r>
      </text>
    </comment>
    <comment ref="C222" authorId="0">
      <text>
        <r>
          <rPr>
            <sz val="9"/>
            <color indexed="81"/>
            <rFont val="Tahoma"/>
            <family val="2"/>
          </rPr>
          <t>Insight iXlW00003C0000222R0841462809S00000604P00780LAocjBAQBF1NjaVRlZ2ljLmRhdGEuTW9sZWN1bGUBbQF/ARJTY2lUZWdpYy5Nb2xlY3VsZQAAAQFkAv5qAQAAAAIAAigYAAAA/AQA/AACAAAAAAAA8L8C6Ugu/yH96r8CL90kBoGV8L8AAAAAHAAAAPwIAPwAAgAAAAAAAPC/Ai9uowG8BfG/Aj9XW7G/7M6/AAAAABgAAAD8BAD8AAIAAAAAAADwvwKvJeSDns39vwIN4C2QoPihvwAAAAAYAAAA/AgA/AACAAAAAAAA8L8CLGUZ4lgX378Cpd++Dpwz1j8AAAAAIAAAAPwIAPwAAgAAAAAAAPC/Au2ePCzUmua/AqLWNO84RfI/AAAAABgAAAD8BAD8AAIAAAAAAADwvwLVeOkmMQjUPwKWQ4ts5/vBPwAAAAAYAAAA/AQA/AACAAAAAAAA8L8CN6s+V1ux4z8CjErqBDQR5L8AAAAAGAAAAPwEAPwAAgAAAAAAAPC/Ai9uowG8Bfc/Aoj029eBc+K/AAAAABgAAAD8BAD8AAIAAAAAAADwvwKlvcEXJlP6PwLi6ZWyDHHMPwAAAAAcAAAA/AQA/AACAAAAAAAA8L8C/Knx0k1i7j8C7uvAOSNK5T8AAAAAKAAEBAAAAAAAAAQIBAAAAAAAAAQMBAAAAAAAAAwQCAAAAAAAAAwUBAAAAAAAABQYBAAEAAAAABgcBAAEAAAAABwgBAAEAAAAACAkBAAEAAAAABQkBAAEAAAAAAAAAQAAAAAAAAAAAAAAAAAAAAAAAAAAAA==</t>
        </r>
      </text>
    </comment>
    <comment ref="C223" authorId="0">
      <text>
        <r>
          <rPr>
            <sz val="9"/>
            <color indexed="81"/>
            <rFont val="Tahoma"/>
            <family val="2"/>
          </rPr>
          <t>Insight iXlW00003C0000223R0841462809S00000605P00648LAocjBAQBF1NjaVRlZ2ljLmRhdGEuTW9sZWN1bGUBbQF/ARJTY2lUZWdpYy5Nb2xlY3VsZQAAAQFkAv5qAQAAAAIAAiAcAAAA/AQA/AACAAAAAAAA8L8CzBDHurgND0AC0m9fB84ZCkAAAAAAGAAAAPwIAPwAAgAAAAAAAPC/AgAAAAAAAPg/AjEIrBxaZABAAAAAABgAAAD8BAD8AAIAAAAAAADwvwIAAAAAAAAIQAIxCKwcWmQAQAAAAAAgAAAA/AgA/AACAAAAAAAA8L8CAAAAAAAA6D8CAAAAAAAA6D8AAAAAGAAAAPwEAPwAAgAAAAAAAPC/Al1txf6yOxVAAjEIrBxaZAZAAAAAABgAAAD8BAD8AAIAAAAAAADwvwIAAAAAAADoPwKb5h2n6MgKQAAAAAAYAAAA/AQA/AACAAAAAAAA8L8CzBDHurgND0ACI9v5fmq86j8AAAAAGAAAAPwEAPwAAgAAAAAAAPC/Al1txf6yOxVAAmMQWDm0yPQ/AAAAACAECAQAAAAAAAAIAAQABAAAAAAMBAgAAAAAAAAQAAQABAAAAAAUBAQAAAAAAAAYCAQABAAAAAAcEAQABAAAAAAcGAQABAAAAAAAAAEAAAAAAAAAAAAAAAAAAAAAAAAAAAA=</t>
        </r>
      </text>
    </comment>
    <comment ref="C224" authorId="0">
      <text>
        <r>
          <rPr>
            <sz val="9"/>
            <color indexed="81"/>
            <rFont val="Tahoma"/>
            <family val="2"/>
          </rPr>
          <t>Insight iXlW00003C0000224R0841462809S00000606P00712LAocjBAQBF1NjaVRlZ2ljLmRhdGEuTW9sZWN1bGUBbQF/ARJTY2lUZWdpYy5Nb2xlY3VsZQAAAQFkAv5qAQAAAAIAAiQYAAAA/AQA/AACAAAAAAAA8L8C8KfGSzfJE0ACAAAAAAAA6D8AAAAAGAAAAPwEAPwAAgAAAAAAAPC/Al1txf6yOxJAAixlGeJYlwFAAAAAABgAAAD8BAD8AAIAAAAAAADwvwIxCKwcWiQYQAJbQj7o2awDQAAAAAAgAAAA/AQA/AACAAAAAAAA8L8C9ihcj8K1EUAClrIMcayLDUAAAAAAGAAAAPwEAPwAAgAAAAAAAPC/AgAAAAAAAOg/AixlGeJYlwdAAAAAABgAAAD8BAD8AAIAAAAAAADwvwLvycNCrWkBQAKV9gZfmEwLQAAAAAAYAAAA/AQA/AACAAAAAAAA8L8CutqK/WV3CEACLGUZ4liXAUAAAAAAHAAAAPwEAPwAAgAAAAAAAPC/Au/Jw0KtaQFAAg5Pr5RliO8/AAAAABgAAAD8BAD8AAIAAAAAAADwvwIAAAAAAADoPwJYyjLEsS73PwAAAAAkAAQEAAAAAAAABAgEAAAAAAAABAwEAAAAAAAABBgEAAAAAAAAEBQEAAQAAAAAECAEAAQAAAAAFBgEAAQAAAAAGBwEAAQAAAAAHCAEAAQAAAAAAAABAAAAAAAAAAAAAAAAAAAAAAAAAAAA</t>
        </r>
      </text>
    </comment>
    <comment ref="C225" authorId="0">
      <text>
        <r>
          <rPr>
            <sz val="9"/>
            <color indexed="81"/>
            <rFont val="Tahoma"/>
            <family val="2"/>
          </rPr>
          <t>Insight iXlW00003C0000225R0841462809S00000607P00920LAocjBAQBF1NjaVRlZ2ljLmRhdGEuTW9sZWN1bGUBbQF/ARJTY2lUZWdpYy5Nb2xlY3VsZQAAAQFkAv5qAQAAAAIAAjAYAAAA/AQA/AACAAAAAAAA8L8CaZHtfD814j8CKjqSy39I578AAAAAGAAAAPwEAPwAAgAAAAAAAPC/AkLPZtXnasO/AuLplbIMceA/AAAAABgAAAD8BAD8AAIAAAAAAADwvwKEns2qz9X/PwL77evAOSPsvwAAAAAcAAAA/AQA/AACAAAAAAAA8L8CIv32deCckb8CLbKd76dGAMAAAAAAHAAAAPwEAPwAAgAAAAAAAPC/AmmR7Xw/NeI/AoJzRpT2Bvw/AAAAABgAAAD8BAD8AAIAAAAAAADwvwKppE5AE2H5vwLi6ZWyDHHgPwAAAAAYAAAA/AQA/AACAAAAAAAA8L8CKqkT0ERYAkACsi5uowE8AsAAAAAAGAAAAPwEAPwAAgAAAAAAAPC/AktZhjjWxfA/AsRCrWne8QfAAAAAABgAAAD8BAD8AAIAAAAAAADwvwJCz2bV52rDvwLEQq1p3vEHQAAAAAAYAAAA/AQA/AACAAAAAAAA8L8CgnNGlPYGAEACgnNGlPYG/D8AAAAAGAAAAPwEAPwAAgAAAAAAAPC/AiqpE9BEWALAAoJzRpT2Bvw/AAAAABgAAAD8BAD8AAIAAAAAAADwvwKppE5AE2H5vwLEQq1p3vEHQAAAAAA0AAQEAAAAAAAAAAgEAAQAAAAAAAwEAAQAAAAABBAEAAQAAAAABBQEAAQAAAAACBgEAAQAAAAADBwEAAQAAAAAECAEAAQAAAAAECQEAAAAAAAAFCgEAAQAAAAAICwEAAQAAAAAGBwEAAQAAAAAKCwEAAQAAAAAAAABAAAAAAAAAAAAAAAAAAAAAAAAAAAA</t>
        </r>
      </text>
    </comment>
    <comment ref="C226" authorId="0">
      <text>
        <r>
          <rPr>
            <sz val="9"/>
            <color indexed="81"/>
            <rFont val="Tahoma"/>
            <family val="2"/>
          </rPr>
          <t>Insight iXlW00003C0000226R0841462809S00000608P00920LAocjBAQBF1NjaVRlZ2ljLmRhdGEuTW9sZWN1bGUBbQF/ARJTY2lUZWdpYy5Nb2xlY3VsZQAAAQFkAv5qAQAAAAIAAjAYAAAA/AQA/AACAAAAAAAA8L8C+ORhodY08r8CUkmdgCbC4r8AAAAAGAAAAPwEAPwAAgAAAAAAAPC/Al8pyxDHurg/AlVSJ6CJsPS/AAAAABgAAAD8BAD8AAIAAAAAAADwvwL45GGh1jTyvwIwTKYKRiXrPwAAAAAcAAAA/AQA/AACAAAAAAAA8L8C/Yf029cBA8ACzczMzMzM9L8AAAAAHAAAAPwEAPwAAgAAAAAAAPC/AicxCKwcWvU/AlJJnYAmwuK/AAAAABgAAAD8BAD8AAIAAAAAAADwvwL9h/Tb1wEDwAI8TtGRXP74PwAAAAAYAAAA/AQA/AACAAAAAAAA8L8CRkdy+Q/pDMACUkmdgCbC4r8AAAAAGAAAAPwEAPwAAgAAAAAAAPC/AmPuWkI+aAVAAgfwFkhQ/PG/AAAAABgAAAD8BAD8AAIAAAAAAADwvwJIUPwYc9f2PwJseHqlLEPqPwAAAAAYAAAA/AQA/AACAAAAAAAA8L8CRkdy+Q/pDMACMEymCkYl6z8AAAAAGAAAAPwEAPwAAgAAAAAAAPC/AkZHcvkP6QxAArprCfmgZ6O/AAAAABgAAAD8BAD8AAIAAAAAAADwvwLQ1VbsL7sGQAJSSZ2AJsLyPwAAAAA0AAQEAAAAAAAAAAgEAAQAAAAAAAwEAAQAAAAABBAEAAAAAAAACBQEAAQAAAAADBgEAAQAAAAAEBwEAAQAAAAAECAEAAQAAAAAFCQEAAQAAAAAHCgEAAQAAAAAICwEAAQAAAAAGCQEAAQAAAAAKCwEAAQAAAAAAAABAAAAAAAAAAAAAAAAAAAAAAAAAAAA</t>
        </r>
      </text>
    </comment>
    <comment ref="C227" authorId="0">
      <text>
        <r>
          <rPr>
            <sz val="9"/>
            <color indexed="81"/>
            <rFont val="Tahoma"/>
            <family val="2"/>
          </rPr>
          <t>Insight iXlW00003C0000227R0841462809S00000609P00856LAocjBAQBF1NjaVRlZ2ljLmRhdGEuTW9sZWN1bGUBbQF/ARJTY2lUZWdpYy5Nb2xlY3VsZQAAAQFkAv5qAQAAAAIAAiwYAAAA/AgA/AACAAAAAAAA8L8CbXh6pSxDfL8CxNMrZRni+D8AAAAAGAAAAPwIAPwAAgAAAAAAAPC/AiL99nXgnJG/Ai6QoPgx5r4/AAAAABgAAAD8CAD8AAIAAAAAAADwvwKCc0aU9gb0vwI6tMh2vh8CQAAAAAAYAAAA/AQA/AACAAAAAAAA8L8CjpduEoPA8z8CbHh6pSxDAkAAAAAAGAAAAPwIAPwAAgAAAAAAAPC/AoJzRpT2BvS/AixlGeJYF+O/AAAAABwAAAD8BAD8AAIAAAAAAADwvwIVHcnlP6TzPwIsZRniWBfjvwAAAAAYAAAA/AgA/AACAAAAAAAA8L8CTMgHPZvVA8ACxNMrZRni+D8AAAAAGAAAAPwEAPwAAgAAAAAAAPC/AkzIBz2b1QNAAsTTK2UZ4vg/AAAAABgAAAD8CAD8AAIAAAAAAADwvwJMyAc9m9UDwAIukKD4Mea+PwAAAAAgAAAA/AQA/AACAAAAAAAA8L8CgnNGlPYG9L8CtTf4wmQqAMAAAAAAGAAAAPwEAPwAAgAAAAAAAPC/AkzIBz2b1QNAAi6QoPgx5r4/AAAAADAABAQABAQAAAAACAgIBAQAAAAADAQABAAAAAAEEAgIBAQAAAAEFAQABAAAAAAIGAQABAQAAAAMHAQABAAAAAAQIAQABAQAAAAQJAQAAAAAAAAUKAQABAAAAAAYIAgIBAQAAAAcKAQABAAAAAAAAAEAAAAAAAAAAAAAAAAAAAAAAAAAAAA=</t>
        </r>
      </text>
    </comment>
    <comment ref="C228" authorId="0">
      <text>
        <r>
          <rPr>
            <sz val="9"/>
            <color indexed="81"/>
            <rFont val="Tahoma"/>
            <family val="2"/>
          </rPr>
          <t>Insight iXlW00003C0000228R0841462809S00000610P01104LAocjBAQBF1NjaVRlZ2ljLmRhdGEuTW9sZWN1bGUBbQF/ARJTY2lUZWdpYy5Nb2xlY3VsZQAAAQFkAv5qAQAAAAIBAjwYAAAA/AQA/AACAAAAAAAA8L8C7Q2+MJkqAUACNjy9UpYh0j8AAAAAGAAAAPwEAPwAAgAAAAAAAPC/Au0NvjCZKgFAAs3MzMzMzOS/AAAAABgAAAD8BAD8AAIAAAAAAADwvwJ/arx0k5gHQALNzMzMzMzxvwAAAAAYCAAA/AQA/AACAAAAAAAA8L8CV+wvuycPDkACzczMzMzM5L8AAAAAGAgAAPwEAPwAAgAAAAAAAPC/AlfsL7snDw5AAjY8vVKWIdI/AAAAABgAAAD8BAD8AAIAAAAAAADwvwJ/arx0k5gHQAIYldQJaCLoPwAAAAAgAAAA/AQA/AACAAAAAAAA8L8Ch6dXyjJEEkAC/Rhz1xLy5z8AAAAAHAAAAPwIAPwAAgAAAAAAAPC/AoofY+5aQhJAAoiFWtO84/G/AAAAABgAAAD8CAD8AAIAAAAAAADwvwLJ5T+k334VQAJq3nGKjuTkvwAAAAAgAAAA/AQA/AACAAAAAAAA8L8CRPrt68C5GEACx7q4jQbw8b8AAAAAIAAAAPwIAPwAAgAAAAAAAPC/AqqCUUmdgBVAAv0Yc9cS8tE/AAAAABgAAAD8BAD8AAIAAAAAAADwvwJkXdxGA7gYQAIeOGdEaW8AwAAAAAAYAAAA/AQA/AACAAAAAAAA8L8Cw4anV8ryG0ACrkfhehQuBMAAAAAAGAAAAPwEAPwAAgAAAAAAAPC/ApqZmZmZGRVAAhPyQc9mVQLAAAAAABgAAAD8BAD8AAIAAAAAAADwvwJwXwfOGREWQAIzMzMzM7MFwAAAAAA8AAQEAAQAAAAADBwEEAAAAAAAABQEAAQAAAAAHCAEAAAAAAAABAgEAAQAAAAAICQEAAAAAAAACAwEAAQAAAAAICgIAAAAAAAADBAEAAQAAAAAJCwEAAAAAAAAEBQEAAQAAAAALDAEAAAAAAAALDQEAAAAAAAAEBgEEAAAAAAALDgEAAAAAAAAAAABAAAAAAAAAAAAAAAAAAAAAAAAAAAA</t>
        </r>
      </text>
    </comment>
    <comment ref="C229" authorId="0">
      <text>
        <r>
          <rPr>
            <sz val="9"/>
            <color indexed="81"/>
            <rFont val="Tahoma"/>
            <family val="2"/>
          </rPr>
          <t>Insight iXlW00003C0000229R0841462809S00000611P01320LAocjBAQBF1NjaVRlZ2ljLmRhdGEuTW9sZWN1bGUBbQF/ARJTY2lUZWdpYy5Nb2xlY3VsZQAAAQFkAv5qAQAAAAIBAgESGAwAAPwEAPwAAgAAAAAAAPC/ArkehetRuO4/Ailcj8L1KOQ/AAAAABgAAAD8CAD8AAIAAAAAAADwvwKamZmZmZn9PwIL16NwPQrHvwAAAAAYAAAA/AgA/AACAAAAAAAA8L8CMzMzMzMz0z8CNDMzMzMz6z8AAAAAHAAAAPwIAPwAAgAAAAAAAPC/AuJ6FK5H4fI/ApqZmZmZmam/AAAAABgAAAD8CAD8AAIAAAAAAADwvwIzMzMzMzPTPwJ7FK5H4Xr4PwAAAAAYCAAA/AQA/AACAAAAAAAA8L8CcT0K16Nw9T8CCtejcD0K8z8AAAAAGAAAAPwEAPwAAgAAAAAAAPC/ArkehetRuO4/AgAAAAAAAPw/AAAAACAAAAD8BAD8AAIAAAAAAADwvwI+CtejcD0CQALD9Shcj8LVPwAAAAAgAAAA/AgA/AACAAAAAAAA8L8CZ2ZmZmZmAEAC7FG4HoXr6b8AAAAAGAAAAPwEAPwAAgAAAAAAAPC/Aq5H4XoUrgdAAilcj8L1KMw/AAAAACAAAAD8BAD8AAIAAAAAAADwvwJnZmZmZmYAQAIK16NwPQrzPwAAAAAYAAAA/AgA/AACAAAAAAAA8L8CMzMzMzMz078CUrgehetR4D8AAAAAGAAAAPwIAPwAAgAAAAAAAPC/AjMzMzMzM9O/AuxRuB6F6/0/AAAAABgAAAD8BAD8AAIAAAAAAADwvwI0MzMzMzMLQAIAAAAAAADoPwAAAAAYAAAA/AQA/AACAAAAAAAA8L8C9ihcj8L1BkACXY/C9Shc378AAAAAGAAAAPwEAPwAAgAAAAAAAPC/ApqZmZmZmQtAAnsUrkfhetS/AAAAABgAAAD8CAD8AAIAAAAAAADwvwLNzMzMzMzsvwI0MzMzMzPrPwAAAAAYAAAA/AgA/AACAAAAAAAA8L8CzczMzMzM7L8CexSuR+F6+D8AAAAAARMEDAQAAAAAAAAIAAQABAAAAAAADAQQAAAAAAAQCAgMBAQAAAAUAAQABAAAAAAYFAQABAAAAAAcBAQAAAAAAAAgBAgAAAAAAAAkHAQAAAAAAAAUKAQQAAAAAAAsCAQABAQAAAAwEAQABAQAAAA0JAQAAAAAAAA4JAQAAAAAAAA8JAQAAAAAAAABECwICAQEAAAAAREBEAQABAQAAAAYEAQABAAAAAAwAREICAQEAAAAAAABAAAAAAAAAAAAAAAAAAAAAAAAAAAA</t>
        </r>
      </text>
    </comment>
    <comment ref="C230" authorId="0">
      <text>
        <r>
          <rPr>
            <sz val="9"/>
            <color indexed="81"/>
            <rFont val="Tahoma"/>
            <family val="2"/>
          </rPr>
          <t>Insight iXlW00003C0000230R0841462809S00000612P01172LAocjBAQBF1NjaVRlZ2ljLmRhdGEuTW9sZWN1bGUBbQF/ARJTY2lUZWdpYy5Nb2xlY3VsZQAAAQFkAv5qAQAAAAIAAgEQGAAAAPwIAPwAAgAAAAAAAPC/AgAAAAAAAOg/AgAAAAAAABJAAAAAABgAAAD8CAD8AAIAAAAAAADwvwIxCKwcWmQAQAIAAAAAAAAVQAAAAAAYAAAA/AgA/AACAAAAAAAA8L8Cm+Ydp+jICkACAAAAAAAAEkAAAAAAGAAAAPwIAPwAAgAAAAAAAPC/ApvmHafoyApAAgAAAAAAAAhAAAAAABgAAAD8CAD8AAIAAAAAAADwvwIxCKwcWmQAQAIAAAAAAAACQAAAAAAYAAAA/AgA/AACAAAAAAAA8L8CAAAAAAAA6D8CAAAAAAAACEAAAAAAIAAAAPwEAPwAAgAAAAAAAPC/AjEIrBxaZABAAgAAAAAAAOg/AAAAABgAAAD8BAD8AAIAAAAAAADwvwJm9+RhoZYSQAIAAAAAAAACQAAAAAAcAAAA/AgA/AACAAAAAAAA8L8Cm+Ydp+jIF0ACAAAAAAAACEAAAAAAIAAAAPwIAPwAAgAAAAAAAPC/ArTqc7UV+xxAAgAAAAAAAOg/AAAAABgAAAD8CAD8AAIAAAAAAADwvwK06nO1FfscQAIAAAAAAAACQAAAAAAgAAAA/AQA/AACAAAAAAAA8L8CZvfkYaEWIUACAAAAAAAACEAAAAAAGAAAAPwEAPwAAgAAAAAAAPC/AgFvgQTFryNAAgAAAAAAAAJAAAAAABgAAAD8BAD8AAIAAAAAAADwvwJ0tRX7y84lQAIH8BZIUHwKQAAAAAAYAAAA/AQA/AACAAAAAAAA8L8CEHo2qz73IUACEHo2qz5X8D8AAAAAGAAAAPwEAPwAAgAAAAAAAPC/AkCk374O/CVAAhgmUwWjkvQ/AAAAAAEQAAQICAQEAAAAABQEAAQEAAAABAgEAAQEAAAACAwICAQEAAAADBAEAAQEAAAADBwEAAAAAAAAEBQICAQEAAAAEBgEAAAAAAAAHCAEAAAAAAAAICgEAAAAAAAAJCgIAAAAAAAAKCwEAAAAAAAALDAEAAAAAAAAMDQEAAAAAAAAMDgEAAAAAAAAMDwEAAAAAAAAAAABAAAAAAAAAAAAAAAAAAAAAAAAAAAA</t>
        </r>
      </text>
    </comment>
    <comment ref="C231" authorId="0">
      <text>
        <r>
          <rPr>
            <sz val="9"/>
            <color indexed="81"/>
            <rFont val="Tahoma"/>
            <family val="2"/>
          </rPr>
          <t>Insight iXlW00003C0000231R0841462809S00000613P00636LAocjBAQBF1NjaVRlZ2ljLmRhdGEuTW9sZWN1bGUBbQF/ARJTY2lUZWdpYy5Nb2xlY3VsZQAAAQFkAv5qAQAAAAIAAiAYAAAA/AgA/AACAAAAAAAA8L8C+MJkqmBU4L8CgNk9eVio0b8AAAAAIAAAAPwEAPwAAgAAAAAAAPC/AnZxGw3gLeY/Amu8dJMYBN4/AAAAABgAAAD8CAD8AAIAAAAAAADwvwJkXdxGA3j8vwLmP6Tfvg7YPwAAAAAgAAAA/AgA/AACAAAAAAAA8L8CqOhILv8h3b8CKA8LtaZ5+78AAAAAGAAAAPwEAPwAAgAAAAAAAPC/AqO0N/jCZP8/Ava52or9Zce/AAAAABwAAAD8CAD8AAIAAAAAAADwvwKCc0aU9gYIwAL129eBc0bYvwAAAAAgAAAA/AgA/AACAAAAAAAA8L8CKxiV1Alo/b8CSS7/If32/D8AAAAAGAAAAPwEAPwAAgAAAAAAAPC/AtxoAG+BhAlAAmmR7Xw/NeI/AAAAABwABAQAAAAAAAAACAQAAAAAAAAADAgAAAAAAAAEEAQAAAAAAAAIFAQAAAAAAAAIGAgAAAAAAAAQHAQAAAAAAAAAAAEAAAAAAAAAAAAAAAAAAAAAAAAAAAA=</t>
        </r>
      </text>
    </comment>
    <comment ref="C232" authorId="0">
      <text>
        <r>
          <rPr>
            <sz val="9"/>
            <color indexed="81"/>
            <rFont val="Tahoma"/>
            <family val="2"/>
          </rPr>
          <t>Insight iXlW00003C0000232R0841462809S00000614P00844LAocjBAQBF1NjaVRlZ2ljLmRhdGEuTW9sZWN1bGUBbQF/ARJTY2lUZWdpYy5Nb2xlY3VsZQAAAQFkAv5qAQAAAAIAAiwYAAAA/AgA/AACAAAAAAAA8L8CyeU/pN++5D8C9dvXgXNG2D8AAAAAHAAAAPwIAPwAAgAAAAAAAPC/AjMzMzMzM+O/AoxK6gQ0Eda/AAAAABgAAAD8CAD8AAIAAAAAAADwvwKUh4Va07zlPwJRa5p3nKL8PwAAAAAYAAAA/AgA/AACAAAAAAAA8L8CSVD8GHPX/j8CjErqBDQR1r8AAAAAGAAAAPwIAPwAAgAAAAAAAPC/AsKopE5AE/2/AvXb14FzRtg/AAAAABgAAAD8CAD8AAIAAAAAAADwvwIzMzMzMzPjvwJ5eqUsQxwEQAAAAAAgAAAA/AQA/AACAAAAAAAA8L8Co7Q3+MJk/z8C++3rwDkj/L8AAAAAIAAAAPwIAPwAAgAAAAAAAPC/ArivA+eMKAlAAoofY+5aQto/AAAAABgAAAD8CAD8AAIAAAAAAADwvwLCqKROQBP9vwJRa5p3nKL8PwAAAAAcAAAA/AQA/AACAAAAAAAA8L8CoBov3SSGCMACjErqBDQR1r8AAAAAGAAAAPwEAPwAAgAAAAAAAPC/AhPyQc9m1ec/Anl6pSxDHATAAAAAACwABAQABAQAAAAACAgIBAQAAAAADAQAAAAAAAAEEAgIBAQAAAAIFAQABAQAAAAMGAQAAAAAAAAMHAgAAAAAAAAQIAQABAQAAAAQJAQAAAAAAAAYKAQAAAAAAAAUIAgIBAQAAAAAAAEAAAAAAAAAAAAAAAAAAAAAAAAAAAA=</t>
        </r>
      </text>
    </comment>
    <comment ref="C233" authorId="0">
      <text>
        <r>
          <rPr>
            <sz val="9"/>
            <color indexed="81"/>
            <rFont val="Tahoma"/>
            <family val="2"/>
          </rPr>
          <t>Insight iXlW00003C0000233R0841462809S00000615P00976LAocjBAQBF1NjaVRlZ2ljLmRhdGEuTW9sZWN1bGUBbQF/ARJTY2lUZWdpYy5Nb2xlY3VsZQAAAQFkAv5qAQAAAAIAAjQYAAAA/AgA/AACAAAAAAAA8L8CPL1SliEOAEACRIts5/upsb8AAAAAHAAAAPwEAPwAAgAAAAAAAPC/Al1txf6ye+o/AhB6Nqs+V9+/AAAAABgAAAD8CAD8AAIAAAAAAADwvwLQRNjw9MoBQAL0/dR46SbyPwAAAAAYAAAA/AgA/AACAAAAAAAA8L8C2V92Tx6WB0AC8x/Sb18H7L8AAAAAGAAAAPwEAPwAAgAAAAAAAPC/AtUJaCJseLq/AkOtad5xitI/AAAAABgAAAD8CAD8AAIAAAAAAADwvwI5RUdy+Q8LQAI8TtGRXP74PwAAAAAYAAAA/AgA/AACAAAAAAAA8L8CZF3cRgN4EEACxv6ye/Kw3L8AAAAAGAAAAPwIAPwAAgAAAAAAAPC/AuviNhrAW/S/Alyxv+yePLy/AAAAABgAAAD8CAD8AAIAAAAAAADwvwKppE5AE2ERQALtDb4wmSroPwAAAAAgAAAA/AQA/AACAAAAAAAA8L8C0ETY8PTKAcACjblrCfmg5T8AAAAAIAAAAPwIAPwAAgAAAAAAAPC/AgwkKH6Mufe/AicxCKwcWvW/AAAAABgAAAD8BAD8AAIAAAAAAADwvwI5RUdy+Q8LwALyY8xdS8jPPwAAAAAYAAAA/AQA/AACAAAAAAAA8L8CqaROQBNhEcACxNMrZRni8D8AAAAANAAEBAAAAAAAAAAIBAAEBAAAAAAMCAwEBAAAAAQQBAAAAAAAAAgUCAgEBAAAAAwYBAAEBAAAABAcBAAAAAAAABQgBAAEBAAAABwkBAAAAAAAABwoCAAAAAAAACQsBAAAAAAAACwwBAAAAAAAABggCAgEBAAAAAAAAQAAAAAAAAAAAAAAAAAAAAAAAAAAAA==</t>
        </r>
      </text>
    </comment>
    <comment ref="C234" authorId="0">
      <text>
        <r>
          <rPr>
            <sz val="9"/>
            <color indexed="81"/>
            <rFont val="Tahoma"/>
            <family val="2"/>
          </rPr>
          <t>Insight iXlW00003C0000234R0841462809S00000616P00964LAocjBAQBF1NjaVRlZ2ljLmRhdGEuTW9sZWN1bGUBbQF/ARJTY2lUZWdpYy5Nb2xlY3VsZQAAAQFkAv5qAQAAAAIAAjQYAAAA/AQA/AACAAAAAAAA8L8C7uvAOSNKCsACXW3F/rJ7yj8AAAAAIAAAAPwEAPwAAgAAAAAAAPC/AgR4CyQo/gDAAoV80LNZ9eU/AAAAABgAAAD8BAD8AAIAAAAAAADwvwKppE5AE2ERwAK2hHzQs1ndvwAAAAAYAAAA/AQA/AACAAAAAAAA8L8C1lbsL7unBcAC1QloImx47L8AAAAAGAAAAPwEAPwAAgAAAAAAAPC/Ao9TdCSXPxDAAjMzMzMzM/M/AAAAABgAAAD8CAD8AAIAAAAAAADwvwIH8BZIUPzxvwLVCWgibHiqvwAAAAAcAAAA/AgA/AACAAAAAAAA8L8CPZtVn6utmD8Cih9j7lpC2j8AAAAAIAAAAPwIAPwAAgAAAAAAAPC/AmRd3EYDePS/AsnlP6TfvvS/AAAAABgAAAD8BAD8AAIAAAAAAADwvwL129eBc0bwPwK62or9ZffUvwAAAAAYAAAA/AgA/AACAAAAAAAA8L8CIR/0bFZ9AUACYcPTK2UZwj8AAAAAIAAAAPwEAPwAAgAAAAAAAPC/AtxoAG+BhAlAAjsBTYQNT+O/AAAAACAAAAD8CAD8AAIAAAAAAADwvwIMk6mCUckCQAL99nXgnBH2PwAAAAAYAAAA/AQA/AACAAAAAAAA8L8CqaROQBNhEUAC41gXt9EAvr8AAAAAMAAEBAAAAAAAAAAIBAAAAAAAAAAMBAAAAAAAAAAQBAAAAAAAAAQUBAAAAAAAABQYBAAAAAAAABQcCAAAAAAAABggBAAAAAAAACAkBAAAAAAAACQoBAAAAAAAACQsCAAAAAAAACgwBAAAAAAAAAAAAQAAAAAAAAAAAAAAAAAAAAAAAAAAAA==</t>
        </r>
      </text>
    </comment>
    <comment ref="C235" authorId="0">
      <text>
        <r>
          <rPr>
            <sz val="9"/>
            <color indexed="81"/>
            <rFont val="Tahoma"/>
            <family val="2"/>
          </rPr>
          <t>Insight iXlW00003C0000235R0841462809S00000617P01092LAocjBAQBF1NjaVRlZ2ljLmRhdGEuTW9sZWN1bGUBbQF/ARJTY2lUZWdpYy5Nb2xlY3VsZQAAAQFkAv5qAQAAAAIAAjwYAAAA/AQA/AACAAAAAAAA8L8C0NVW7C+70z8CmpmZmZnZEsAAAAAAIAAAAPwEAPwAAgAAAAAAAPC/AtsbfGEyVfA/ApCg+DHmLhHAAAAAABgAAAD8BAD8AAIAAAAAAADwvwL77evAOSPavwKe76fGSzcRwAAAAAAYAAAA/AQA/AACAAAAAAAA8L8CEce6uI0G1D8CZ2ZmZmYmFsAAAAAAGAAAAPwEAPwAAgAAAAAAAPC/AjY8vVKWIdq/Al1txf6yexTAAAAAABgAAAD8CAD8AAIAAAAAAADwvwJBguLHmLv7PwL3Bl+YTNUSwAAAAAAgAAAA/AgA/AACAAAAAAAA8L8C18VtNIC3+z8CxNMrZRkiFsAAAAAAHAAAAPwIAPwAAgAAAAAAAPC/Atlfdk8elgNAAo/k8h/SLxHAAAAAABwAAAD8BAD8AAIAAAAAAADwvwJcIEHxY0wJQALXo3A9CtcSwAAAAAAYAAAA/AQA/AACAAAAAAAA8L8C3GgAb4EED0ACb4EExY8xEcAAAAAAGAAAAPwIAPwAAgAAAAAAAPC/ArCUZYhjXRJAAtQrZRni2BLAAAAAACAAAAD8BAD8AAIAAAAAAADwvwIMJCh+jDkVQAJQHhZqTTMRwAAAAAAgAAAA/AgA/AACAAAAAAAA8L8ClWWIY11cEkACofgx5q4lFsAAAAAAGAAAAPwEAPwAAgAAAAAAAPC/Ak2EDU+vFBhAArTIdr6f2hLAAAAAABgAAAD8BAD8AAIAAAAAAADwvwKNKO0NvvAaQAIwuycPCzURwAAAAAA4FBwEAAAAAAAAHCAEAAAAAAAAABAEAAAAAAAAICQEAAAAAAAAAAgEAAAAAAAAJCgEAAAAAAAABBQEAAAAAAAAKCwEAAAAAAAAAAQEAAAAAAAAKDAIAAAAAAAAFBgIAAAAAAAALDQEAAAAAAAAAAwEAAAAAAAANDgEAAAAAAAAAAABAAAAAAAAAAAAAAAAAAAAAAAAAAAA</t>
        </r>
      </text>
    </comment>
    <comment ref="C236" authorId="0">
      <text>
        <r>
          <rPr>
            <sz val="9"/>
            <color indexed="81"/>
            <rFont val="Tahoma"/>
            <family val="2"/>
          </rPr>
          <t>Insight iXlW00003C0000236R0841462809S00000618P00616LAocjBAQBF1NjaVRlZ2ljLmRhdGEuTW9sZWN1bGUBbQF/ARJTY2lUZWdpYy5Nb2xlY3VsZQAAAQFkAv5qAQAAAAIAAiAYAAAA/AgA/AACAAAAAAAA8L8AAg3gLZCg+OM/AAAAABgAAAD8BAD8AAIAAAAAAADwvwJ+jLlrCfnzvwKamZmZmZm5vwAAAAAgAAAA/AQA/AACAAAAAAAA8L8CGQRWDi2y8z8C41gXt9EAvr8AAAAAIAAAAPwIAPwAAgAAAAAAAPC/AkSLbOf7qaG/AlpkO99PjQBAAAAAABwAAAD8BAD8AAIAAAAAAADwvwJ+jLlrCfnzvwLT3uALk6n4vwAAAAAYAAAA/AQA/AACAAAAAAAA8L8CBhIUP8bcA0ACh6dXyjLE4T8AAAAAGAAAAPwEAPwAAgAAAAAAAPC/AgYSFD/G3APAAkm/fR045wHAAAAAABgAAAD8BAD8AAIAAAAAAADwvwACTtGRXP7DAcAAAAAAHAAEBAAAAAAAAAAIBAAAAAAAAAAMCAAAAAAAAAQQBAAAAAAAAAgUBAAAAAAAABAYBAAAAAAAABAcBAAAAAAAAAAAAQAAAAAAAAAAAAAAAAAAAAAAAAAAAA==</t>
        </r>
      </text>
    </comment>
    <comment ref="C237" authorId="0">
      <text>
        <r>
          <rPr>
            <sz val="9"/>
            <color indexed="81"/>
            <rFont val="Tahoma"/>
            <family val="2"/>
          </rPr>
          <t>Insight iXlW00003C0000237R0841462809S00000619P00768LAocjBAQBF1NjaVRlZ2ljLmRhdGEuTW9sZWN1bGUBbQF/ARJTY2lUZWdpYy5Nb2xlY3VsZQAAAQFkAv5qAQAAAAIAAigYAAAA/AgA/AACAAAAAAAA8L8C2fD0SlmG5D8CBqOSOgFNtL8AAAAAGAAAAPwEAPwAAgAAAAAAAPC/Atnw9EpZhuS/AsTTK2UZ4uA/AAAAACAAAAD8BAD8AAIAAAAAAADwvwInMQisHFr9PwJIUPwYc9fmPwAAAAAgAAAA/AgA/AACAAAAAAAA8L8CDCQofoy55z8Cam/whclU+L8AAAAAGAAAAPwEAPwAAgAAAAAAAPC/AicxCKwcWv2/ArwFEhQ/xtC/AAAAABgAAAD8BAD8AAIAAAAAAADwvwLHuriNBvAIQAKMSuoENBG2PwAAAAAcAAAA/AQA/AACAAAAAAAA8L8Cx7q4jQbwCMACbjSAt0CC1j8AAAAAGAAAAPwEAPwAAgAAAAAAAPC/AjEqqRPQRBFAAtUJaCJseOw/AAAAABgAAAD8BAD8AAIAAAAAAADwvwIxKqkT0EQRwALkFB3J5T/cvwAAAAAYAAAA/AQA/AACAAAAAAAA8L8CDQIrhxbZCcAC2fD0SlmG/D8AAAAAJAAEBAAAAAAAAAAIBAAAAAAAAAAMCAAAAAAAAAQQBAAAAAAAAAgUBAAAAAAAABAYBAAAAAAAABQcBAAAAAAAABggBAAAAAAAABgkBAAAAAAAAAAAAQAAAAAAAAAAAAAAAAAAAAAAAAAAAA==</t>
        </r>
      </text>
    </comment>
    <comment ref="C238" authorId="0">
      <text>
        <r>
          <rPr>
            <sz val="9"/>
            <color indexed="81"/>
            <rFont val="Tahoma"/>
            <family val="2"/>
          </rPr>
          <t>Insight iXlW00003C0000238R0841462809S00000620P00572LAocjBAQBF1NjaVRlZ2ljLmRhdGEuTW9sZWN1bGUBbQF/ARJTY2lUZWdpYy5Nb2xlY3VsZQAAAQFkAv5qAQAAAAIAAhwYAAAA/AgA/AACAAAAAAAA8L8CVVInoImw9L8CMzMzMzMz078AAAAAGAAAAPwEAPwAAgAAAAAAAPC/ArprCfmgZ6O/AvH0SlmGOPC/AAAAABgAAAD8BAD8AAIAAAAAAADwvwJqb/CFyVQEwALm0CLb+X7wvwAAAAAgAAAA/AgA/AACAAAAAAAA8L8CVVInoImw9L8CB/AWSFD88T8AAAAAGAAAAPwIAPwAAgAAAAAAAPC/AsfctYR80PI/AiS5/If029O/AAAAABwAAAD8CAD8AAIAAAAAAADwvwKdoiO5/IcDQALm0CLb+X7wvwAAAAAgAAAA/AgA/AACAAAAAAAA8L8Cx9y1hHzQ8j8CFvvL7snD8T8AAAAAGAAEBAAAAAAAAAAIBAAAAAAAAAAMCAAAAAAAAAQQBAAAAAAAABAUBAAAAAAAABAYCAAAAAAAAAAAAQAAAAAAAAAAAAAAAAAAAAAAAAAAAA==</t>
        </r>
      </text>
    </comment>
    <comment ref="C239" authorId="0">
      <text>
        <r>
          <rPr>
            <sz val="9"/>
            <color indexed="81"/>
            <rFont val="Tahoma"/>
            <family val="2"/>
          </rPr>
          <t>Insight iXlW00003C0000239R0841462809S00000621P00648LAocjBAQBF1NjaVRlZ2ljLmRhdGEuTW9sZWN1bGUBbQF/ARJTY2lUZWdpYy5Nb2xlY3VsZQAAAQFkAv5qAQAAAAIAAiAYAAAA/AgA/AACAAAAAAAA8L8CPnlYqDXNy78CmpmZmZmZ6b8AAAAAHAAAAPwIAPwAAgAAAAAAAPC/AiFB8WPMXcs/AjtwzojS3uI/AAAAAAEQAAAA/AQA/AACAAAAAAAA8L8CgZVDi2zn7T8Ci47k8h/S+b8AAAAAIAAAAPwEAPwAAgAAAAAAAPC/AktZhjjWxfi/AuviNhrAW/S/AAAAABgAAAD8CAD8AAIAAAAAAADwvwI/V1uxv+z6PwI7cM6I0t7iPwAAAAAcAAAA/AgA/AACAAAAAAAA8L8CRUdy+Q/pAEAC3gIJih9j6L8AAAAAGAAAAPwEAPwAAgAAAAAAAPC/AnzysFBrGgXAAn6utmJ/2dW/AAAAABwAAAD8BAD8AAIAAAAAAADwvwItsp3vp0YEQAKwlGWIY137PwAAAAAgAAQICAQEAAAAAAgEAAQEAAAAAAwEAAAAAAAABBAEAAQEAAAACBQEAAQEAAAADBgEAAAAAAAAEBwEAAAAAAAAEBQICAQEAAAAAAABAAAAAAAAAAAAAAAAAAAAAAAAAAAA</t>
        </r>
      </text>
    </comment>
    <comment ref="C240" authorId="0">
      <text>
        <r>
          <rPr>
            <sz val="9"/>
            <color indexed="81"/>
            <rFont val="Tahoma"/>
            <family val="2"/>
          </rPr>
          <t>Insight iXlW00003C0000240R0841462809S00000622P00780LAocjBAQBF1NjaVRlZ2ljLmRhdGEuTW9sZWN1bGUBbQF/ARJTY2lUZWdpYy5Nb2xlY3VsZQAAAQFkAv5qAQAAAAIAAigYAAAA/AgA/AACAAAAAAAA8L8CAAAAAAAACEACyxDHurgNA0AAAAAAGAAAAPwIAPwAAgAAAAAAAPC/AswQx7q4DQ9AAlVSJ6CJsPI/AAAAABwAAAD8CAD8AAIAAAAAAADwvwJdbcX+sjsVQALLEMe6uA0JQAAAAAAgAAAA/AgA/AACAAAAAAAA8L8CzBDHurgND0ACNKK0N/jCDEAAAAAAGAAAAPwIAPwAAgAAAAAAAPC/Al1txf6yOxVAApchjnVxG/o/AAAAABgAAAD8CAD8AAIAAAAAAADwvwIAAAAAAAD4PwLLEMe6uA0DQAAAAAAgAAAA/AgA/AACAAAAAAAA8L8CAAAAAAAA6D8C/Rhz1xJyDUAAAAAAIAAAAPwEAPwAAgAAAAAAAPC/AhI2PL1SFhpAAgAAAAAAAOg/AAAAABgAAAD8BAD8AAIAAAAAAADwvwIAAAAAAADoPwLDZKpgVFLxPwAAAAAYAAAA/AQA/AACAAAAAAAA8L8C4QuTqYKRH0ACNKK0N/jC9T8AAAAAKAQACAgEBAAAAAgMBAAEBAAAAAwABAAEBAAAABAEBAAEBAAAABQABAAAAAAAABgUCAAAAAAAABwQBAAAAAAAACAUBAAAAAAAACQcBAAAAAAAAAgQCAgEBAAAAAAAAQAAAAAAAAAAAAAAAAAAAAAAAAAAAA==</t>
        </r>
      </text>
    </comment>
    <comment ref="C241" authorId="0">
      <text>
        <r>
          <rPr>
            <sz val="9"/>
            <color indexed="81"/>
            <rFont val="Tahoma"/>
            <family val="2"/>
          </rPr>
          <t>Insight iXlW00003C0000241R0841462809S00000623P00856LAocjBAQBF1NjaVRlZ2ljLmRhdGEuTW9sZWN1bGUBbQF/ARJTY2lUZWdpYy5Nb2xlY3VsZQAAAQFkAv5qAQAAAAIAAiwYAAAA/AgA/AACAAAAAAAA8L8CAiuHFtnO6z8CdnEbDeAt9r8AAAAAGAAAAPwIAPwAAgAAAAAAAPC/AgIrhxbZzus/AtUJaCJseKo/AAAAABwAAAD8CAD8AAIAAAAAAADwvwL129eBc0bYvwLNzMzMzMwAwAAAAAAcAAAA/AgA/AACAAAAAAAA8L8Ci47k8h/SAUACr7Zif9k9/b8AAAAAGAAAAPwIAPwAAgAAAAAAAPC/AvXb14FzRti/Au0NvjCZKug/AAAAABwAAAD8CAD8AAIAAAAAAADwvwKLjuTyH9IBQAIQejarPlffPwAAAAAYAAAA/AgA/AACAAAAAAAA8L8CAwmKH2Pu+b8C+g/pt68D9r8AAAAAGAAAAPwIAPwAAgAAAAAAAPC/AlpkO99PjQhAAqvP1VbsL+W/AAAAABwAAAD8CAD8AAIAAAAAAADwvwIDCYofY+75vwK6awn5oGejPwAAAAABEAAAAPwIAPwAAgAAAAAAAPC/AvXb14FzRti/Al7cRgN4iwFAAAAAABwAAAD8BAD8AAIAAAAAAADwvwK7uI0G8BYHwAIep+hILn8AwAAAAAAwAAQICAQEAAAAAAgEAAQAAAAAAAwEAAQEAAAABBAEAAQAAAAABBQEAAQEAAAACBgIDAQAAAAADBwICAQEAAAAECAEAAQAAAAAECQIAAAAAAAAGCgEAAAAAAAAFBwEAAQEAAAAGCAEAAQAAAAAAAABAAAAAAAAAAAAAAAAAAAAAAAAAAAA</t>
        </r>
      </text>
    </comment>
    <comment ref="C242" authorId="0">
      <text>
        <r>
          <rPr>
            <sz val="9"/>
            <color indexed="81"/>
            <rFont val="Tahoma"/>
            <family val="2"/>
          </rPr>
          <t>Insight iXlW00003C0000242R0841462809S00000624P01120LAocjBAQBF1NjaVRlZ2ljLmRhdGEuTW9sZWN1bGUBbQF/ARJTY2lUZWdpYy5Nb2xlY3VsZQAAAQFkAv5qAQAAAAIAAjwYAAAA/AgA/AACAAAAAAAA8L8CVVInoImw9D8Cf/s6cM6Isr8AAAAAGAAAAPwIAPwAAgAAAAAAAPC/Ai6QoPgx5r4/Ahsv3SQGgec/AAAAABgAAAD8CAD8AAIAAAAAAADwvwLNzMzMzMwEQAL4wmSqYFTgPwAAAAAYAAAA/AgA/AACAAAAAAAA8L8C1udqK/aX8j8CeXqlLEMc+L8AAAAAGAAAAPwIAPwAAgAAAAAAAPC/Atbnaiv2l/K/AtsbfGEyVcA/AAAAACAAAAD8CAD8AAIAAAAAAADwvwLyY8xdS8jPPwKppE5AE2EBQAAAAAAYAAAA/AgA/AACAAAAAAAA8L8CMLsnDws1DkACJZf/kH770r8AAAAAIAAAAPwEAPwAAgAAAAAAAPC/Ag0CK4cW2QVAAsWxLm6jAf8/AAAAABgAAAD8CAD8AAIAAAAAAADwvwLQ1VbsL7sCQAIWjErqBLQCwAAAAAAYAAAA/AgA/AACAAAAAAAA8L8C0NVW7C+7AsACW0I+6Nms7j8AAAAAGAAAAPwIAPwAAgAAAAAAAPC/AlVSJ6CJsPS/Atnw9EpZhvS/AAAAABgAAAD8CAD8AAIAAAAAAADwvwK4rwPnjCgNQAIZBFYOLbL7vwAAAAAYAAAA/AgA/AACAAAAAAAA8L8CuK8D54woDcACbjSAt0CC1j8AAAAAGAAAAPwIAPwAAgAAAAAAAPC/As3MzMzMzATAAv72deCcEf6/AAAAABgAAAD8CAD8AAIAAAAAAADwvwIwuycPCzUOwAJPQBNhw9PwvwAAAAABEAAEBAAAAAAAAAAICAwEBAAAAAAMBAAEBAAAAAQQBAAAAAAAAAQUCAAAAAAAAAgYBAAEBAAAAAgcBAAAAAAAAAwgCAgEBAAAABAkCAwEBAAAABAoBAAEBAAAABgsCAgEBAAAACQwBAAEBAAAACg0CAgEBAAAADA4CAgEBAAAACAsBAAEBAAAADQ4BAAEBAAAAAAAAQAAAAAAAAAAAAAAAAAAAAAAAAAAAA==</t>
        </r>
      </text>
    </comment>
    <comment ref="C243" authorId="0">
      <text>
        <r>
          <rPr>
            <sz val="9"/>
            <color indexed="81"/>
            <rFont val="Tahoma"/>
            <family val="2"/>
          </rPr>
          <t>Insight iXlW00003C0000243R0841462809S00000625P00908LAocjBAQBF1NjaVRlZ2ljLmRhdGEuTW9sZWN1bGUBbQF/ARJTY2lUZWdpYy5Nb2xlY3VsZQAAAQFkAv5qAQAAAAIAAjAYAAAA/AgA/AACAAAAAAAA8L8C9wZfmEwV5L8CUkmdgCbC4r8AAAAAGAAAAPwIAPwAAgAAAAAAAPC/AvcGX5hMFeQ/AmHD0ytlGcI/AAAAABgAAAD8BAD8AAIAAAAAAADwvwKRoPgx5q79vwJpAG+BBMW/PwAAAAAgAAAA/AgA/AACAAAAAAAA8L8C9wZfmEwV5L8CtTf4wmQqAMAAAAAAGAAAAPwIAPwAAgAAAAAAAPC/ApGg+DHmrv0/An9qvHSTGOK/AAAAABgAAAD8CAD8AAIAAAAAAADwvwL3Bl+YTBXkPwK1yHa+nxr5PwAAAAAYAAAA/AQA/AACAAAAAAAA8L8ClyGOdXGbBMACAwmKH2Pu8b8AAAAAGAAAAPwEAPwAAgAAAAAAAPC/AgmKH2Pu2gjAAkYldQKaCOs/AAAAACAAAAD8BAD8AAIAAAAAAADwvwJ/arx0kxjyvwKBlUOLbOf1PwAAAAAYAAAA/AgA/AACAAAAAAAA8L8CCYofY+7aCEACQs9m1edqwz8AAAAAGAAAAPwIAPwAAgAAAAAAAPC/ApGg+DHmrv0/Amx4eqUsQwJAAAAAABgAAAD8CAD8AAIAAAAAAADwvwIJih9j7toIQALHuriNBvD4PwAAAAAwAAQEAAAAAAAAAAgEAAAAAAAAAAwIAAAAAAAABBAIDAQEAAAABBQEAAQEAAAACBgEAAAAAAAACBwEAAAAAAAACCAEAAAAAAAAECQEAAQEAAAAFCgICAQEAAAAJCwICAQEAAAAKCwEAAQEAAAAAAABAAAAAAAAAAAAAAAAAAAAAAAAAAAA</t>
        </r>
      </text>
    </comment>
    <comment ref="C244" authorId="0">
      <text>
        <r>
          <rPr>
            <sz val="9"/>
            <color indexed="81"/>
            <rFont val="Tahoma"/>
            <family val="2"/>
          </rPr>
          <t>Insight iXlW00003C0000244R0841462809S00000626P00692LAocjBAQBF1NjaVRlZ2ljLmRhdGEuTW9sZWN1bGUBbQF/ARJTY2lUZWdpYy5Nb2xlY3VsZQAAAQFkAv5qAQAAAAIAAiQYAAAA/AgA/AACAAAAAAAA8L8CTMgHPZvVA8ACEce6uI0G3L8AAAAAGAAAAPwEAPwAAgAAAAAAAPC/ApF++zpwzvO/Al1txf6ye/K/AAAAABgAAAD8BAD8AAIAAAAAAADwvwKLjuTyH9INwAJdbcX+snvyvwAAAAAgAAAA/AgA/AACAAAAAAAA8L8CTMgHPZvVA8ACHxZqTfOO7z8AAAAAGAAAAPwEAPwAAgAAAAAAAPC/AAIRx7q4jQbcvwAAAAAYAAAA/AQA/AACAAAAAAAA8L8CkX77OnDO8z8CXW3F/rJ78r8AAAAAHAAAAPwEAPwAAgAAAAAAAPC/AkzIBz2b1QNAAhHHuriNBty/AAAAABgAAAD8BAD8AAIAAAAAAADwvwKLjuTyH9INQAJdbcX+snvyvwAAAAAYAAAA/AQA/AACAAAAAAAA8L8CTMgHPZvVA0ACHxZqTfOO7z8AAAAAIAAEBAAAAAAAAAAIBAAAAAAAAAAMCAAAAAAAAAQQBAAAAAAAABAUBAAAAAAAABQYBAAAAAAAABgcBAAAAAAAABggBAAAAAAAAAAAAQAAAAAAAAAAAAAAAAAAAAAAAAAAAA==</t>
        </r>
      </text>
    </comment>
    <comment ref="C245" authorId="0">
      <text>
        <r>
          <rPr>
            <sz val="9"/>
            <color indexed="81"/>
            <rFont val="Tahoma"/>
            <family val="2"/>
          </rPr>
          <t>Insight iXlW00003C0000245R0841462809S00000627P00780LAocjBAQBF1NjaVRlZ2ljLmRhdGEuTW9sZWN1bGUBbQF/ARJTY2lUZWdpYy5Nb2xlY3VsZQAAAQFkAv5qAQAAAAIAAigYAAAA/AgA/AACAAAAAAAA8L8COwFNhA1P4z8CTvOOU3Qk2z8AAAAAGAAAAPwIAPwAAgAAAAAAAPC/AvjkYaHWNPo/AoenV8oyxOG/AAAAABgAAAD8CAD8AAIAAAAAAADwvwKJY13cRgPuPwK+wRcmUwX9PwAAAAAYAAAA/AgA/AACAAAAAAAA8L8C3gIJih9j6L8CUdobfGEylT8AAAAAGAAAAPwIAPwAAgAAAAAAAPC/ArU3+MJkKghAAkLPZtXnasO/AAAAACAAAAD8BAD8AAIAAAAAAADwvwJVUiegibD0PwK1pnnHKTr/vwAAAAAYAAAA/AgA/AACAAAAAAAA8L8CnRGlvcGXAkACEhQ/xty1AUAAAAAAHAAAAPwIAPwAAgAAAAAAAPC/AsrlP6Tfvvy/AvH0SlmGOPA/AAAAABgAAAD8CAD8AAIAAAAAAADwvwIHgZVDi+wKQAIVHcnlP6TzPwAAAAAgAAAA/AQA/AACAAAAAAAA8L8CoKut2F92CcACLPaX3ZOH4z8AAAAAKAAECAgEBAAAAAAIBAAEBAAAAAAMBAAAAAAAAAQQBAAEBAAAAAQUBAAAAAAAAAgYCAgEBAAAAAwcCAwAAAAAABAgCAgEBAAAABwkBAAAAAAAABggBAAEBAAAAAAAAQAAAAAAAAAAAAAAAAAAAAAAAAAAAA==</t>
        </r>
      </text>
    </comment>
    <comment ref="C246" authorId="0">
      <text>
        <r>
          <rPr>
            <sz val="9"/>
            <color indexed="81"/>
            <rFont val="Tahoma"/>
            <family val="2"/>
          </rPr>
          <t>Insight iXlW00003C0000246R0841462809S00000628P00692LAocjBAQBF1NjaVRlZ2ljLmRhdGEuTW9sZWN1bGUBbQF/ARJTY2lUZWdpYy5Nb2xlY3VsZQAAAQFkAv5qAQAAAAIAAiQYAAAA/AgA/AACAAAAAAAA8L8AAssyxLEubrO/AAAAABgAAAD8CAD8AAIAAAAAAADwvwKRfvs6cM7zvwLgvg6cM6LkPwAAAAAYAAAA/AgA/AACAAAAAAAA8L8AAvH0SlmGOPi/AAAAABwAAAD8BAD8AAIAAAAAAADwvwKRfvs6cM7zPwLgvg6cM6LkPwAAAAAYAAAA/AgA/AACAAAAAAAA8L8CTMgHPZvVA8ACyzLEsS5us78AAAAAIAAAAPwEAPwAAgAAAAAAAPC/ApF++zpwzvO/AqAaL90khgBAAAAAABgAAAD8CAD8AAIAAAAAAADwvwKRfvs6cM7zvwLHSzeJQeABwAAAAAAYAAAA/AQA/AACAAAAAAAA8L8CTMgHPZvVA0ACescpOpLLr78AAAAAGAAAAPwIAPwAAgAAAAAAAPC/AkzIBz2b1QPAAvH0SlmGOPi/AAAAACQABAQABAQAAAAACAgIBAQAAAAADAQAAAAAAAAEEAgIBAQAAAAEFAQAAAAAAAAIGAQABAQAAAAMHAQAAAAAAAAQIAQABAQAAAAYIAgIBAQAAAAAAAEAAAAAAAAAAAAAAAAAAAAAAAAAAAA=</t>
        </r>
      </text>
    </comment>
    <comment ref="C247" authorId="0">
      <text>
        <r>
          <rPr>
            <sz val="9"/>
            <color indexed="81"/>
            <rFont val="Tahoma"/>
            <family val="2"/>
          </rPr>
          <t>Insight iXlW00003C0000247R0841462809S00000629P01064LAocjBAQBF1NjaVRlZ2ljLmRhdGEuTW9sZWN1bGUBbQF/ARJTY2lUZWdpYy5Nb2xlY3VsZQAAAQFkAv5qAQAAAAIAAjwYAAAA/AgA/AACAAAAAAAA8L8CPgrXo3A92j8C9ihcj8L12D8AAAAAHAAAAPwIAPwAAgAAAAAAAPC/AqRwPQrXo9C/AAAAAAAYAAAA/AgA/AACAAAAAAAA8L8Cw/UoXI/C7b8C9ihcj8L12D8AAAAAIAAAAPwEAPwAAgAAAAAAAPC/AkjhehSuR/E/AAAAAAAgAAAA/AgA/AACAAAAAAAA8L8CPgrXo3A92j8CuR6F61G48j8AAAAAGAAAAPwIAPwAAgAAAAAAAPC/AsP1KFyPwu2/ArkehetRuPI/AAAAABgAAAD8BAD8AAIAAAAAAADwvwIpXI/C9Sj8PwL2KFyPwvXYPwAAAAAgAAAA/AQA/AACAAAAAAAA8L8CSOF6FK5H0b8C9ihcj8L1+D8AAAAAGAAAAPwIAPwAAgAAAAAAAPC/ApqZmZmZmfm/AAAAAAAYAAAA/AQA/AACAAAAAAAA8L8CexSuR+F6AEAC7FG4HoXr8T8AAAAAGAAAAPwEAPwAAgAAAAAAAPC/AnE9CtejcANAAAAAAAAYAAAA/AQA/AACAAAAAAAA8L8ChetRuB6F9z8C7FG4HoXr8T8AAAAAGAAAAPwIAPwAAgAAAAAAAPC/ApqZmZmZmfm/As3MzMzMzPg/AAAAABgAAAD8CAD8AAIAAAAAAADwvwI+CtejcD0CwAL2KFyPwvXYPwAAAAAYAAAA/AgA/AACAAAAAAAA8L8CPgrXo3A9AsACkML1KFyP8j8AAAAAPAQABAAAAAAAAAgEBAAAAAAAAAwABAAAAAAAABAACAAAAAAAABQICAgEBAAAABgMBAAAAAAAABwUBAAAAAAAACAIBAAEBAAAACQYBAAAAAAAACgYBAAAAAAAACwYBAAAAAAAADAUBAAEBAAAADQgCAgEBAAAADgwCAgEBAAAADg0BAAEBAAAAAAAAQAAAAAAAAAAAAAAAAAAAAAAAAAAAA==</t>
        </r>
      </text>
    </comment>
    <comment ref="C248" authorId="0">
      <text>
        <r>
          <rPr>
            <sz val="9"/>
            <color indexed="81"/>
            <rFont val="Tahoma"/>
            <family val="2"/>
          </rPr>
          <t>Insight iXlW00003C0000248R0841462809S00000630P00908LAocjBAQBF1NjaVRlZ2ljLmRhdGEuTW9sZWN1bGUBbQF/ARJTY2lUZWdpYy5Nb2xlY3VsZQAAAQFkAv5qAQAAAAIAAjAYAAAA/AgA/AACAAAAAAAA8L8CE/JBz2bVxz8Ct9EA3gIJyr8AAAAAGAAAAPwIAPwAAgAAAAAAAPC/AqLWNO84Rek/AjEqqRPQRPE/AAAAABgAAAD8CAD8AAIAAAAAAADwvwIVHcnlP6TzvwLnjCjtDb7UvwAAAAAYAAAA/AgA/AACAAAAAAAA8L8CBOeMKO0N8D8C+g/pt68D9r8AAAAAGAAAAPwIAPwAAgAAAAAAAPC/AouO5PIf0gFAArCUZYhjXfM/AAAAACAAAAD8BAD8AAIAAAAAAADwvwIi/fZ14JyRvwI6tMh2vh8CQAAAAAAgAAAA/AQA/AACAAAAAAAA8L8CJzEIrBxa/b8CfIMvTKYK+r8AAAAAIAAAAPwIAPwAAgAAAAAAAPC/AmRd3EYDeADAAl1txf6ye+o/AAAAABgAAAD8CAD8AAIAAAAAAADwvwKdoiO5/IcDQAJ+jLlrCfnzvwAAAAAYAAAA/AgA/AACAAAAAAAA8L8CpixDHOtiCEACRIts5/upoT8AAAAAGAAAAPwEAPwAAgAAAAAAAPC/AnZxGw3gLQrAAvvt68A5I/y/AAAAABgAAAD8BAD8AAIAAAAAAADwvwJ2cRsN4C0KQAKmm8QgsHIDwAAAAAAwAAQIDAQEAAAAAAgEAAAAAAAAAAwEAAQEAAAABBAEAAQEAAAABBQEAAAAAAAACBgEAAAAAAAACBwIAAAAAAAADCAIDAQEAAAAECQICAQEAAAAGCgEAAAAAAAAICwEAAAAAAAAICQEAAQEAAAAAAABAAAAAAAAAAAAAAAAAAAAAAAAAAAA</t>
        </r>
      </text>
    </comment>
    <comment ref="C249" authorId="0">
      <text>
        <r>
          <rPr>
            <sz val="9"/>
            <color indexed="81"/>
            <rFont val="Tahoma"/>
            <family val="2"/>
          </rPr>
          <t>Insight iXlW00003C0000249R0841462809S00000631P00844LAocjBAQBF1NjaVRlZ2ljLmRhdGEuTW9sZWN1bGUBbQF/ARJTY2lUZWdpYy5Nb2xlY3VsZQAAAQFkAv5qAQAAAAIAAiwYAAAA/AgA/AACAAAAAAAA8L8Cf2q8dJMY4r8CE/JBz2bVt78AAAAAGAAAAPwIAPwAAgAAAAAAAPC/ApqZmZmZmdm/AjojSnuDL/U/AAAAABgAAAD8CAD8AAIAAAAAAADwvwJ/arx0kxjiPwJjf9k9eVjuvwAAAAAYAAAA/AgA/AACAAAAAAAA8L8C6wQ0ETY8/r8Cq8/VVuwv5b8AAAAAGAAAAPwIAPwAAgAAAAAAAPC/AtWa5h2n6Ow/Au7rwDkjSv4/AAAAACAAAAD8BAD8AAIAAAAAAADwvwLE0ytlGeL4vwKgq63YX3YBQAAAAAAYAAAA/AgA/AACAAAAAAAA8L8C6wQ0ETY8/j8CyCk6kst/2L8AAAAAGAAAAPwEAPwAAgAAAAAAAPC/AqYsQxzrYgjAAjLmriXkg8Y/AAAAACAAAAD8CAD8AAIAAAAAAADwvwIep+hILn8AwAJVUiegibAAwAAAAAAYAAAA/AgA/AACAAAAAAAA8L8CHqfoSC5/AEACbVZ9rrZi8D8AAAAAGAAAAPwEAPwAAgAAAAAAAPC/AqYsQxzrYghAApF++zpwzvO/AAAAACwABAgIBAQAAAAACAQABAQAAAAADAQAAAAAAAAEEAQABAQAAAAEFAQAAAAAAAAIGAgMBAQAAAAMHAQAAAAAAAAMIAgAAAAAAAAQJAgIBAQAAAAYKAQAAAAAAAAYJAQABAQAAAAAAAEAAAAAAAAAAAAAAAAAAAAAAAAAAAA=</t>
        </r>
      </text>
    </comment>
    <comment ref="C250" authorId="0">
      <text>
        <r>
          <rPr>
            <sz val="9"/>
            <color indexed="81"/>
            <rFont val="Tahoma"/>
            <family val="2"/>
          </rPr>
          <t>Insight iXlW00003C0000250R0841462809S00000632P00780LAocjBAQBF1NjaVRlZ2ljLmRhdGEuTW9sZWN1bGUBbQF/ARJTY2lUZWdpYy5Nb2xlY3VsZQAAAQFkAv5qAQAAAAIAAigYAAAA/AgA/AACAAAAAAAA8L8CxSCwcmiRzb8COwFNhA1P4z8AAAAAGAAAAPwIAPwAAgAAAAAAAPC/AnyDL0ymCto/AqvP1VbsL+W/AAAAABgAAAD8CAD8AAIAAAAAAADwvwK8lpAPejbhPwK+wRcmUwX9PwAAAAAcAAQA/AgA/AACAAAAAAAA8L8C2c73U+Ol+r8CnMQgsHJo5T8AAAAAGAAAAPwIAPwAAgAAAAAAAPC/AqOSOgFNhP0/Aio6kst/SOe/AAAAACAAAAD8BAD8AAIAAAAAAADwvwJBguLHmLvWvwINAiuHFtn9vwAAAAAYAAAA/AgA/AACAAAAAAAA8L8CGy/dJAaB/z8Cf4y5awn5+z8AAAAAIAAAAPwIAPwAAgAAAAAAAPC/Aldbsb/sngLAAqO0N/jCZP8/AAAAACAA/AD8CAD8AAIAAAAAAADwvwLZX3ZPHpYDwALi6ZWyDHHgvwAAAAAYAAAA/AgA/AACAAAAAAAA8L8CQDVeukkMBUACqOhILv8h3T8AAAAAKAAECAgEBAAAAAAIBAAEBAAAAAAMBAAAAAAAAAQQBAAEBAAAAAQUBAAAAAAAAAgYCAgEBAAAAAwcCAAAAAAAAAwgBAAAAAAAABAkCAgEBAAAABgkBAAEBAAAAAAAAQAAAAAAAAAAAAAAAAAAAAAAAAAAAA==</t>
        </r>
      </text>
    </comment>
    <comment ref="C251" authorId="0">
      <text>
        <r>
          <rPr>
            <sz val="9"/>
            <color indexed="81"/>
            <rFont val="Tahoma"/>
            <family val="2"/>
          </rPr>
          <t>Insight iXlW00003C0000251R0841462809S00000633P00844LAocjBAQBF1NjaVRlZ2ljLmRhdGEuTW9sZWN1bGUBbQF/ARJTY2lUZWdpYy5Nb2xlY3VsZQAAAQFkAv5qAQAAAAIAAiwYAAAA/AgA/AACAAAAAAAA8L8C9wZfmEwV5D8CYcPTK2UZwj8AAAAAGAAAAPwIAPwAAgAAAAAAAPC/AoGVQ4ts5/0/AlJJnYAmwuK/AAAAABgAAAD8CAD8AAIAAAAAAADwvwL3Bl+YTBXkPwLHuriNBvD4PwAAAAAYAAAA/AQA/AACAAAAAAAA8L8CLPaX3ZOH478CUkmdgCbC4r8AAAAAGAAAAPwIAPwAAgAAAAAAAPC/AkZHcvkP6QhAAmHD0ytlGcI/AAAAACAAAAD8BAD8AAIAAAAAAADwvwKBlUOLbOf9PwJ5eqUsQxwAwAAAAAAYAAAA/AgA/AACAAAAAAAA8L8CgZVDi2zn/T8CMLsnDws1AkAAAAAAHAAAAPwEAPwAAgAAAAAAAPC/AjQzMzMzM/u/AkGC4seYu9Y/AAAAABgAAAD8CAD8AAIAAAAAAADwvwJGR3L5D+kIQALHuriNBvD4PwAAAAAYAAAA/AQA/AACAAAAAAAA8L8CRkdy+Q/pCMACWDm0yHa+n78AAAAAGAAAAPwEAPwAAgAAAAAAAPC/AtPe4AuTqfi/AvcGX5hMFfw/AAAAACwABAgIBAQAAAAACAQABAQAAAAADAQAAAAAAAAEEAQABAQAAAAEFAQAAAAAAAAIGAgIBAQAAAAMHAQAAAAAAAAQIAgIBAQAAAAcJAQAAAAAAAAcKAQAAAAAAAAYIAQABAQAAAAAAAEAAAAAAAAAAAAAAAAAAAAAAAAAAAA=</t>
        </r>
      </text>
    </comment>
    <comment ref="C252" authorId="0">
      <text>
        <r>
          <rPr>
            <sz val="9"/>
            <color indexed="81"/>
            <rFont val="Tahoma"/>
            <family val="2"/>
          </rPr>
          <t>Insight iXlW00003C0000252R0841462809S00000634P00856LAocjBAQBF1NjaVRlZ2ljLmRhdGEuTW9sZWN1bGUBbQF/ARJTY2lUZWdpYy5Nb2xlY3VsZQAAAQFkAv5qAQAAAAIAAiwYAAAA/AgA/AACAAAAAAAA8L8ClIeFWtO85b8CYVRSJ6CJ4r8AAAAAGAAAAPwIAPwAAgAAAAAAAPC/ApSHhVrTvOW/Aj9XW7G/7Oo/AAAAABwAAAD8CAD8AAIAAAAAAADwvwJpke18PzXiPwJRa5p3nKL0vwAAAAAYAAAA/AgA/AACAAAAAAAA8L8C1LzjFB3J/r8CUWuad5yi9L8AAAAAGAAAAPwEAPwAAgAAAAAAAPC/AmmR7Xw/NeI/Ak9AE2HD0/g/AAAAABgAAAD8CAD8AAIAAAAAAADwvwLUvOMUHcn+vwJPQBNhw9P4PwAAAAAYAAAA/AgA/AACAAAAAAAA8L8CNjy9UpYh/T8CYVRSJ6CJ4r8AAAAAGAAAAPwIAPwAAgAAAAAAAPC/AqmkTkATYQnAAmFUUiegieK/AAAAABwAAAD8CAD8AAIAAAAAAADwvwI2PL1SliH9PwI/V1uxv+zqPwAAAAAYAAAA/AgA/AACAAAAAAAA8L8CqaROQBNhCcACP1dbsb/s6j8AAAAAIAAAAPwIAPwAAgAAAAAAAPC/AlpkO99PjQhAAlFrmnecovS/AAAAADAABAgIBAQAAAAACAQABAAAAAAADAQABAQAAAAEEAQABAAAAAAEFAQABAQAAAAIGAQABAAAAAAMHAgIBAQAAAAQIAQABAAAAAAUJAgIBAQAAAAYKAgAAAAAAAAYIAQABAAAAAAcJAQABAQAAAAAAAEAAAAAAAAAAAAAAAAAAAAAAAAAAAA=</t>
        </r>
      </text>
    </comment>
    <comment ref="C253" authorId="0">
      <text>
        <r>
          <rPr>
            <sz val="9"/>
            <color indexed="81"/>
            <rFont val="Tahoma"/>
            <family val="2"/>
          </rPr>
          <t>Insight iXlW00003C0000253R0841462809S00000635P00504LAocjBAQBF1NjaVRlZ2ljLmRhdGEuTW9sZWN1bGUBbQF/ARJTY2lUZWdpYy5Nb2xlY3VsZQAAAQFkAv5qAQAAAAIAAhgYAAAA/AQA/AACAAAAAAAA8L8C2IFzRpT2tr8C5fIf0m9f8j8AAAAAHAAAAPwEAPwAAgAAAAAAAPC/Ap2iI7n8h/O/Aum3rwPnjNA/AAAAABgAAAD8DAD8AAIAAAAAAADwvwKdoiO5/IfzPwIs9pfdk4fjPwAAAAAYAAAA/AQA/AACAAAAAAAA8L8C9dvXgXNG8L8C5fIf0m9f8r8AAAAAGAAAAPwEAPwAAgAAAAAAAPC/AmRd3EYDeATAApPLf0i/fek/AAAAABgAAAD8DAD8AAIAAAAAAADwvwJkXdxGA3gEQAJ/+zpwzoiyPwAAAAAUAAQEAAAAAAAAAAgEAAAAAAAABAwEAAAAAAAABBAEAAAAAAAACBQMAAAAAAAAAAABAAAAAAAAAAAAAAAAAAAAAAAAAAAA</t>
        </r>
      </text>
    </comment>
    <comment ref="C254" authorId="0">
      <text>
        <r>
          <rPr>
            <sz val="9"/>
            <color indexed="81"/>
            <rFont val="Tahoma"/>
            <family val="2"/>
          </rPr>
          <t>Insight iXlW00003C0000254R0841462809S00000636P01512LAocjBAQBF1NjaVRlZ2ljLmRhdGEuTW9sZWN1bGUBbQF/ARJTY2lUZWdpYy5Nb2xlY3VsZQAAAQFkAv5qAQAAAAIBAgEVGAgAAPwEAPwAAgAAAAAAAPC/ApSHhVrTvOU/ApSHhVrTvOW/AAAAABgAAAD8CAD8AAIAAAAAAADwvwIxKqkT0ET5PwLi6ZWyDHH4vwAAAAAYCAAA/AQA/AACAAAAAAAA8L8CYHZPHhZq9D8Ci/1l9+Rh2T8AAAAAGAAAAPwEAPwAAgAAAAAAAPC/ApzEILByaNW/AAAAAAAgAAAA/AQA/AACAAAAAAAA8L8Cf/s6cM6Isr8CbHh6pSxD+r8AAAAAGAAAAPwIAPwAAgAAAAAAAPC/AmB2Tx4WavQ/AsdLN4lB4AXAAAAAABgAAAD8CAD8AAIAAAAAAADwvwI6tMh2vh8GQAI/V1uxv+zyvwAAAAAYAAAA/AQA/AACAAAAAAAA8L8C9wZfmEwV5D8CKjqSy39I9z8AAAAAGAAAAPwEAPwAAgAAAAAAAPC/Avvt68A5IwRAAmwJ+aBns9o/AAAAABgAAAD8CAD8AAIAAAAAAADwvwLByqFFtvP2vwKlvcEXJlPhvwAAAAAYAAAA/AgA/AACAAAAAAAA8L8C5WGh1jRvAUACkQ96Nqu+DMAAAAAAGAAAAPwIAPwAAgAAAAAAAPC/AjEqqRPQRA1AAi2yne+nRgDAAAAAABwAAAD8BAD8AAIAAAAAAADwvwKgibDh6ZXzPwKvJeSDnk0EQAAAAAAYAAAA/AgA/AACAAAAAAAA8L8CDwu1pnnHA8ACaQBvgQTFvz8AAAAAGAAAAPwIAPwAAgAAAAAAAPC/AvXb14FzRvi/Auj7qfHSTfy/AAAAABgAAAD8CAD8AAIAAAAAAADwvwIHgZVDi+wKQAJJv30dOOcJwAAAAAAYAAAA/AQA/AACAAAAAAAA8L8CUkmdgCbC4j8CkQ96Nqu+DEAAAAAAGAAAAPwEAPwAAgAAAAAAAPC/AlHaG3xhsgNAAmRd3EYDeARAAAAAABgAAAD8CAD8AAIAAAAAAADwvwLc14FzRpQMwAKL/WX35GHZvwAAAAAYAAAA/AgA/AACAAAAAAAA8L8CQDVeukkMBcACV1uxv+yeAsAAAAAAGAAAAPwIAPwAAgAAAAAAAPC/AjEqqRPQRA3AAn9qvHSTGPq/AAAAAAEWAAQEAAAAAAAAAAgEAAAAAAAAAAwEFAAAAAAAABAEEAAAAAAABBQIDAQEAAAABBgEAAQEAAAACBwEAAAAAAAACCAEEAAAAAAADCQEAAAAAAAAFCgEAAQEAAAAGCwICAQEAAAAHDAEAAAAAAAAJDQIDAQEAAAAJDgEAAQEAAAAKDwICAQEAAAAMAEQBAAAAAAAADABEQQAAAAAAAA0ARIEAAQEAAAAOAETCAgEBAAAAAESARQICAQEAAAALDwEAAQEAAAAARMBFAQABAQAAAAAAAEAAAAAAAAAAAAAAAAAAAAAAAAAAAA=</t>
        </r>
      </text>
    </comment>
    <comment ref="C255" authorId="0">
      <text>
        <r>
          <rPr>
            <sz val="9"/>
            <color indexed="81"/>
            <rFont val="Tahoma"/>
            <family val="2"/>
          </rPr>
          <t>Insight iXlW00003C0000255R0841462809S00000637P00780LAocjBAQBF1NjaVRlZ2ljLmRhdGEuTW9sZWN1bGUBbQF/ARJTY2lUZWdpYy5Nb2xlY3VsZQAAAQFkAv5qAQAAAAIAAigYAAAA/AgA/AACAAAAAAAA8L8CmpmZmZmZyT8CJuSDns2q8b8AAAAAIAAAAPwIAPwAAgAAAAAAAPC/Aq2L22gA7wDAAmdmZmZmZgvAAAAAABwAAAD8CAD8AAIAAAAAAADwvwL77evAOSPCvwJUdCSX/xAJwAAAAAAcAAAA/AgA/AACAAAAAAAA8L8CzczMzMxMCMACQYLix5i7+L8AAAAAGAAAAPwIAPwAAgAAAAAAAPC/AmdmZmZmZvm/AjlFR3L5D8m/AAAAABgAAAD8BAD8AAIAAAAAAADwvwIzMzMzMzMAQALT3uALk6nCvwAAAAAYAAAA/AgA/AACAAAAAAAA8L8CAAAAAAAAAUACqOhILv8h/j8AAAAAIAAAAPwIAPwAAgAAAAAAAPC/AgAAAAAAANw/Arraiv1l9wdAAAAAACAAAAD8BAD8AAIAAAAAAADwvwKjkjoBTQQQQAKti9toAG8GQAAAAAAYAAAA/AQA/AACAAAAAAAA8L8CQYLix5i7/r8CqOhILv8h/j8AAAAAKAQIBAAEBAAAAAgACAgEBAAAAAwQCAgEBAAAABAABAAEBAAAABQABAAAAAAAABgUBAAAAAAAABwYCAAAAAAAACAYBAAAAAAAACQQBAAAAAAAAAQMBAAEBAAAAAAAAQAAAAAAAAAAAAAAAAAAAAAAAAAAAA==</t>
        </r>
      </text>
    </comment>
    <comment ref="C256" authorId="0">
      <text>
        <r>
          <rPr>
            <sz val="9"/>
            <color indexed="81"/>
            <rFont val="Tahoma"/>
            <family val="2"/>
          </rPr>
          <t>Insight iXlW00003C0000256R0841462809S00000638P00768LAocjBAQBF1NjaVRlZ2ljLmRhdGEuTW9sZWN1bGUBbQF/ARJTY2lUZWdpYy5Nb2xlY3VsZQAAAQFkAv5qAQAAAAIAAigYAAAA/AgA/AACAAAAAAAA8L8CUrgehetRyL8CC9ejcD0K5z8AAAAAHAAAAPwIAPwAAgAAAAAAAPC/AnsUrkfheqQ/AnsUrkfheoQ/AAAAABgAAAD8CAD8AAIAAAAAAADwvwK5HoXrUbjuvwIL16NwPQrnPwAAAAAYAAAA/AgA/AACAAAAAAAA8L8CpHA9Ctej0D8C9ihcj8L19D8AAAAAIAAAAPwIAPwAAgAAAAAAAPC/ApDC9Shcj+K/Ailcj8L1KNy/AAAAABgAAAD8CAD8AAIAAAAAAADwvwIK16NwPQrzvwJ7FK5H4XqEvwAAAAAgAAAA/AgA/AACAAAAAAAA8L8CexSuR+F6lL8C16NwPQrX/z8AAAAAIAAAAPwEAPwAAgAAAAAAAPC/AQKF61G4HoXzPwAAAAAYAAAA/AQA/AACAAAAAAAA8L8CPgrXo3A9/r8CpHA9Ctej0L8AAAAAGAAAAPwEAPwAAgAAAAAAAPC/Ailcj8L1KADAAq9H4XoUru+/AAAAACgEAAgIBAQAAAAIAAQABAQAAAAMAAQAAAAAAAAQBAQABAQAAAAUCAgMBAQAAAAYDAgAAAAAAAAcDAQAAAAAAAAgFAQAAAAAAAAkIAQAAAAAAAAUEAQABAQAAAAAAAEAAAAAAAAAAAAAAAAAAAAAAAAAAAA=</t>
        </r>
      </text>
    </comment>
    <comment ref="C257" authorId="0">
      <text>
        <r>
          <rPr>
            <sz val="9"/>
            <color indexed="81"/>
            <rFont val="Tahoma"/>
            <family val="2"/>
          </rPr>
          <t>Insight iXlW00003C0000257R0841462809S00000639P00648LAocjBAQBF1NjaVRlZ2ljLmRhdGEuTW9sZWN1bGUBbQF/ARJTY2lUZWdpYy5Nb2xlY3VsZQAAAQFkAv5qAQAAAAIAAiAYAAAA/AgA/AACAAAAAAAA8L8CuycPC7Wmwb8Cy6FFtvP90D8AAAAAGAAAAPwIAPwAAgAAAAAAAPC/AhUdyeU/pPM/AkLPZtXnasO/AAAAABwAAAD8CAD8AAIAAAAAAADwvwJwXwfOGVHivwIW+8vuycP5PwAAAAABEAAAAPwEAPwAAgAAAAAAAPC/Akku/yH99vS/AjtwzojS3uK/AAAAACAAAAD8BAD8AAIAAAAAAADwvwIbL90kBoH3PwLx9EpZhjj4vwAAAAAgAAAA/AgA/AACAAAAAAAA8L8ChQ1Pr5TlAkACwOyePCzU6D8AAAAAGAAAAPwIAPwAAgAAAAAAAPC/AvH0SlmGOADAAhb7y+7Jw/k/AAAAABgAAAD8CAD8AAIAAAAAAADwvwLTTWIQWLkDwAKo6Egu/yHNPwAAAAAgAAQEAAAAAAAAAAgIDAQEAAAAAAwEAAQEAAAABBAEAAAAAAAABBQIAAAAAAAACBgEAAQEAAAADBwEAAQEAAAAGBwICAQEAAAAAAABAAAAAAAAAAAAAAAAAAAAAAAAAAAA</t>
        </r>
      </text>
    </comment>
    <comment ref="C258" authorId="0">
      <text>
        <r>
          <rPr>
            <sz val="9"/>
            <color indexed="81"/>
            <rFont val="Tahoma"/>
            <family val="2"/>
          </rPr>
          <t>Insight iXlW00003C0000258R0841462809S00000640P00908LAocjBAQBF1NjaVRlZ2ljLmRhdGEuTW9sZWN1bGUBbQF/ARJTY2lUZWdpYy5Nb2xlY3VsZQAAAQFkAv5qAQAAAAIAAjAYAAAA/AgA/AACAAAAAAAA8L8CPSzUmuadGkACmpmZmZkZCsAAAAAAHAAAAPwIAPwAAgAAAAAAAPC/AqOSOgFNxBdAAq2L22gAbw3AAAAAABwAAAD8CAD8AAIAAAAAAADwvwKamZmZmZkaQAIAAAAAAIADwAAAAAAYAAAA/AQA/AACAAAAAAAA8L8CCvmgZ7PqFEAC4L4OnDMiCsAAAAAAHAAAAPwIAPwAAgAAAAAAAPC/AgAAAAAAgB1AAhPyQc9mVQ3AAAAAABgAAAD8CAD8AAIAAAAAAADwvwJwXwfOGRESQAIAAAAAAIANwAAAAAAYAAAA/AQA/AACAAAAAAAA8L8CzczMzMzMF0ACo5I6AU0EEsAAAAAAGAAAAPwIAPwAAgAAAAAAAPC/AmdmZmZmZg5AAjQzMzMzMwrAAAAAABgAAAD8CAD8AAIAAAAAAADwvwJwXwfOGRESQAJwXwfOGRESwAAAAAAYAAAA/AgA/AACAAAAAAAA8L8CZ2ZmZmZmDkAC1sVtNIC3E8AAAAAAGAAAAPwIAPwAAgAAAAAAAPC/AjQzMzMzswhAAgAAAAAAgA3AAAAAABgAAAD8CAD8AAIAAAAAAADwvwI0MzMzM7MIQAJwXwfOGRESwAAAAAAwBAAEAAAAAAAACAAIAAAAAAAADAQEAAAAAAAAEAAEAAAAAAAAFAwEAAAAAAAAGAQEAAAAAAAAHBQIDAQEAAAAIBQEAAQEAAAAJCAICAQEAAAAKBwEAAQEAAAALCQEAAQEAAAAKCwICAQEAAAAAAABAAAAAAAAAAAAAAAAAAAAAAAAAAAA</t>
        </r>
      </text>
    </comment>
    <comment ref="C259" authorId="0">
      <text>
        <r>
          <rPr>
            <sz val="9"/>
            <color indexed="81"/>
            <rFont val="Tahoma"/>
            <family val="2"/>
          </rPr>
          <t>Insight iXlW00003C0000259R0841462809S00000641P00780LAocjBAQBF1NjaVRlZ2ljLmRhdGEuTW9sZWN1bGUBbQF/ARJTY2lUZWdpYy5Nb2xlY3VsZQAAAQFkAv5qAQAAAAIAAigcAAAA/AgA/AACAAAAAAAA8L8CAAAAAAAAEkACMQisHFpkAEAAAAAAGAAAAPwEAPwAAgAAAAAAAPC/AgAAAAAAAAhAAjEIrBxaZABAAAAAABwAAAD8CAD8AAIAAAAAAADwvwJmiGNd3IYVQAIj2/l+arzqPwAAAAAYAAAA/AgA/AACAAAAAAAA8L8CAAAAAAAAAkACm+Ydp+jICkAAAAAAGAAAAPwIAPwAAgAAAAAAAPC/AmaIY13chhVAAtJvXwfOGQpAAAAAABgAAAD8CAD8AAIAAAAAAADwvwJdbcX+sjsbQAIxCKwcWmQGQAAAAAAgAAAA/AgA/AACAAAAAAAA8L8CAAAAAAAA6D8Cm+Ydp+jICkAAAAAAGAAAAPwIAPwAAgAAAAAAAPC/Al1txf6yOxtAAmMQWDm0yPQ/AAAAACAAAAD8BAD8AAIAAAAAAADwvwIAAAAAAAAIQAJm9+RhoZYSQAAAAAAYAAAA/AQA/AACAAAAAAAA8L8CAAAAAAAAAkACAAAAAAAA6D8AAAAAKAQABAAAAAAAAAgABAAEBAAAAAwEBAAAAAAAABAABAAEBAAAABQQCAgEBAAAABgMCAAAAAAAABwICAgEBAAAACAMBAAAAAAAACQEBAAAAAAAABwUBAAEBAAAAAAAAQAAAAAAAAAAAAAAAAAAAAAAAAAAAA==</t>
        </r>
      </text>
    </comment>
    <comment ref="C260" authorId="0">
      <text>
        <r>
          <rPr>
            <sz val="9"/>
            <color indexed="81"/>
            <rFont val="Tahoma"/>
            <family val="2"/>
          </rPr>
          <t>Insight iXlW00003C0000260R0841462809S00000642P01052LAocjBAQBF1NjaVRlZ2ljLmRhdGEuTW9sZWN1bGUBbQF/ARJTY2lUZWdpYy5Nb2xlY3VsZQAAAQFkAv5qAQAAAAIAAjggAAAA/AQA/AACAAAAAAAA8L8C097gC5Op3r8CJuSDns2q978AAAAAIAAAAPwIAPwAAgAAAAAAAPC/AgAAAAAAAOI/Aibkg57Nqve/AAAAABgAAAD8CAD8AAIAAAAAAADwvwIAAAAAAACwPwIAAAAAAADzvwAAAAAYAAAA/AQA/AACAAAAAAAA8L8CAAAAAAAAsD8CTMgHPZtV478AAAAAGAAAAPwEAPwAAgAAAAAAAPC/AtPe4AuTqd6/AgAAAAAAANS/AAAAABgAAAD8CAD8AAIAAAAAAADwvwKXkA96NqvkPwLbG3xhMlX2PwAAAAAYAAAA/AgA/AACAAAAAAAA8L8CTMgHPZtV7z8CtTf4wmSq7D8AAAAAHAAAAPwIAPwAAgAAAAAAAPC/ApeQD3o2q+Q/Ampv8IXJVNk/AAAAABgAAAD8CAD8AAIAAAAAAADwvwLT3uALk6nevwIm5IOezar3PwAAAAAYAAAA/AgA/AACAAAAAAAA8L8CAAAAAAAAsD8CAAAAAAAA8z8AAAAAGAAAAPwIAPwAAgAAAAAAAPC/AgAAAAAAALA/AkzIBz2bVeM/AAAAABgAAAD8CAD8AAIAAAAAAADwvwLT3uALk6nevwIAAAAAAADUPwAAAAAYAAAA/AgA/AACAAAAAAAA8L8Cam/whclU778CTMgHPZtV4z8AAAAAGAAAAPwIAPwAAgAAAAAAAPC/Ampv8IXJVO+/AgAAAAAAAPM/AAAAADwIAAQAAAAAAAAIBAgAAAAAAAAMCAQAAAAAAAAQDAQAAAAAAAAsEAQAAAAAAAAUJAQABAQAAAAYFAgIBAQAAAAcGAQABAQAAAAoHAQABAQAAAAgNAQABAQAAAAkIAgMBAQAAAAoJAQABAQAAAAsKAgIBAQAAAAwLAQABAQAAAA0MAgIBAQAAAAAAAEAAAAAAAAAAAAAAAAAAAAAAAAAAAA=</t>
        </r>
      </text>
    </comment>
    <comment ref="C261" authorId="0">
      <text>
        <r>
          <rPr>
            <sz val="9"/>
            <color indexed="81"/>
            <rFont val="Tahoma"/>
            <family val="2"/>
          </rPr>
          <t>Insight iXlW00003C0000261R0841462809S00000643P01432LAocjBAQBF1NjaVRlZ2ljLmRhdGEuTW9sZWN1bGUBbQF/ARJTY2lUZWdpYy5Nb2xlY3VsZQAAAQFkAv5qAQAAAAIBAgEUHAAAAPwIAPwAAgAAAAAAAPC/AqtgVFIn4BRAAmUZ4lgXNxDAAAAAABgAAAD8BAD8AAIAAAAAAADwvwL+1HjpJvEWQAJ4CyQofswTwAAAAAABEAAAAPwEAPwAAgAAAAAAAPC/Ahlz1xLyARtAArAD54wo7RLAAAAAABgAAAD8BAD8AAIAAAAAAADwvwIFxY8xd20bQAJYW7G/7J4NwAAAAAAYAAAA/AQA/AACAAAAAAAA8L8CH/RsVn2uF0AC3iQGgZVDCsAAAAAAGAAAAPwIAPwAAgAAAAAAAPC/AnUkl/+QvhBAAlhbsb/sng/AAAAAACAAAAD8CAD8AAIAAAAAAADwvwLmP6Tfvg4OQAK+MJkqGBUIwAAAAAAYCAAA/AQA/AACAAAAAAAA8L8CN6s+V1uxDEACFNBE2PA0E8AAAAAAHAAEAPwEAPwAAgAAAAAAAPC/AssyxLEubgRAAsUgsHJo0RLAAAAAABgAAAD8BAD8AAIAAAAAAADwvwIT8kHPZhUQQAKQoPgx5u4WwAAAAAAYAAAA/AQA/AACAAAAAAAA8L8CXW3F/rI7FEACPnlYqDVNF8AAAAAAGAAAAPwEAPwAAgAAAAAAAPC/Ap88LNSaZgtAAintDb4wWRrAAAAAABgAAAD8CAD8AAIAAAAAAADwvwIZBFYOLbIJQALAfR04Z0TzvwAAAAAgAPwA/AgA/AACAAAAAAAA8L8CNe84RUdyEEACmpmZmZmZ+78AAAAAIAAAAPwIAPwAAgAAAAAAAPC/AhkEVg4tsglAAi4hH/RsVsW/AAAAABgAAAD8CAD8AAIAAAAAAADwvwIy5q4l5IMCQALtnjws1Jr7vwAAAAAYAAAA/AgA/AACAAAAAAAA8L8CR5T2Bl+Y9j8C1zTvOEVH878AAAAAGAAAAPwIAPwAAgAAAAAAAPC/AnIbDeAtkOA/AsIXJlMFo/u/AAAAACAA/AD8CAD8AAIAAAAAAADwvwInMQisHFrYvwKsrdhfdk/zvwAAAAAgAAAA/AgA/AACAAAAAAAA8L8C+n5qvHST4D8Crthfdk8eBsAAAAAAARMABAQABAAAAAAcIAQUAAAAAAAcJAQAAAAAAAAkKAQAAAAAAAAkLAQAAAAAAAAECAQABAAAAAAIDAQABAAAAAAAFAQAAAAAAAAMEAQABAAAAAAUGAgAAAAAAAAQAAQABAAAAAAUHAQAAAAAAAAwNAQAAAAAAAAwOAgAAAAAAAAwPAQAAAAAAAA8ARAIDAAAAAAAAREBEgQAAAAAAAABEQETCAAAAAAAAAEQAREEAAAAAAAAAAABAAAAAAAAAAAAAAAAAAAAAAAAAAAA</t>
        </r>
      </text>
    </comment>
    <comment ref="C262" authorId="0">
      <text>
        <r>
          <rPr>
            <sz val="9"/>
            <color indexed="81"/>
            <rFont val="Tahoma"/>
            <family val="2"/>
          </rPr>
          <t>Insight iXlW00003C0000262R0841462809S00000644P00648LAocjBAQBF1NjaVRlZ2ljLmRhdGEuTW9sZWN1bGUBbQF/ARJTY2lUZWdpYy5Nb2xlY3VsZQAAAQFkAv5qAQAAAAIBAiAYAAAA/AgA/AACAAAAAAAA8L8CAAAAAAAACEACMQisHFpkAEAAAAAAHAAAAPwIAPwAAgAAAAAAAPC/AswQx7q4DQ9AAiPb+X5qvOo/AAAAAAEQAAAA/AQA/AACAAAAAAAA8L8CzBDHurgND0AC0m9fB84ZCkAAAAAAGAAAAPwIAPwAAgAAAAAAAPC/Al1txf6yOxVAAmMQWDm0yPQ/AAAAABgAAAD8CAD8AAIAAAAAAADwvwJdbcX+sjsVQAIxCKwcWmQGQAAAAAAYCAAA/AQA/AACAAAAAAAA8L8CAAAAAAAA+D8CMQisHFpkAEAAAAAAIAAAAPwEAPwAAgAAAAAAAPC/AgAAAAAAAOg/ApvmHafoyApAAAAAABgAAAD8BAD8AAIAAAAAAADwvwIAAAAAAADoPwIAAAAAAADoPwAAAAAgBAAICAQEAAAACAAEAAQEAAAADAQEAAQEAAAAEAgEAAQEAAAAFAAEAAAAAAAAFBgEFAAAAAAAHBQEAAAAAAAADBAICAQEAAAAAAABAAAAAAAAAAAAAAAAAAAAAAAAAAAA</t>
        </r>
      </text>
    </comment>
    <comment ref="C263" authorId="0">
      <text>
        <r>
          <rPr>
            <sz val="9"/>
            <color indexed="81"/>
            <rFont val="Tahoma"/>
            <family val="2"/>
          </rPr>
          <t>Insight iXlW00003C0000263R0841462809S00000645P00712LAocjBAQBF1NjaVRlZ2ljLmRhdGEuTW9sZWN1bGUBbQF/ARJTY2lUZWdpYy5Nb2xlY3VsZQAAAQFkAv5qAQAAAAIAAiQcAAAA/AgA/AACAAAAAAAA8L8CutqK/WX35L8C/Rhz1xLy5z8AAAAAGAAAAPwIAPwAAgAAAAAAAPC/AsKopE5AE/2/AiIf9GxWffk/AAAAABgAAAD8CAD8AAIAAAAAAADwvwIIzhlR2hvgPwIiH/RsVn35PwAAAAAYAAAA/AQA/AACAAAAAAAA8L8CutqK/WX35L8ChXzQs1n15b8AAAAAGAAAAPwIAPwAAgAAAAAAAPC/AusENBE2PPa/Ah8Wak3zjgdAAAAAABwAAAD8CAD8AAIAAAAAAADwvwLHuriNBvCmPwIfFmpN844HQAAAAAAYAAAA/AQA/AACAAAAAAAA8L8CSnuDL0ym4j8CW0I+6Nms9r8AAAAAGAAAAPwEAPwAAgAAAAAAAPC/AsKopE5AE/0/AoV80LNZ9eW/AAAAACAAAAD8BAD8AAIAAAAAAADwvwJKe4MvTKbiPwKOBvAWSNAGwAAAAAAkAAQEAAQEAAAAAAgEAAQEAAAAAAwEAAAAAAAABBAICAQEAAAACBQICAQEAAAADBgEAAAAAAAAGBwEAAAAAAAAGCAEAAAAAAAAEBQEAAQEAAAAAAABAAAAAAAAAAAAAAAAAAAAAAAAAAAA</t>
        </r>
      </text>
    </comment>
    <comment ref="C264" authorId="0">
      <text>
        <r>
          <rPr>
            <sz val="9"/>
            <color indexed="81"/>
            <rFont val="Tahoma"/>
            <family val="2"/>
          </rPr>
          <t>Insight iXlW00003C0000264R0841462809S00000646P00988LAocjBAQBF1NjaVRlZ2ljLmRhdGEuTW9sZWN1bGUBbQF/ARJTY2lUZWdpYy5Nb2xlY3VsZQAAAQFkAv5qAQAAAAIAAjQYAAAA/AgA/AACAAAAAAAA8L8Cf/s6cM6Isr8CP1dbsb/s8r8AAAAAGAAAAPwIAPwAAgAAAAAAAPC/AqCrrdhfdu2/Am14eqUsQ4y/AAAAABwAAAD8CAD8AAIAAAAAAADwvwIrGJXUCWj1PwJaZDvfT43wvwAAAAAcAAAA/AgA/AACAAAAAAAA8L8CkaD4Meau7b8CUkmdgCbCAsAAAAAAGAAAAPwIAPwAAgAAAAAAAPC/ApzEILByaNW/AmRd3EYDePQ/AAAAABwAAAD8CAD8AAIAAAAAAADwvwIqqRPQRFgCwAKo6Egu/yHdvwAAAAAYAAAA/AgA/AACAAAAAAAA8L8C0NVW7C+7/j8Cy6FFtvP90D8AAAAAGAAAAPwEAPwAAgAAAAAAAPC/AqmkTkATYQFAAhwN4C2QoAHAAAAAABgAAAD8CAD8AAIAAAAAAADwvwIqqRPQRFgCwALrBDQRNjz+vwAAAAAcAAAA/AgA/AACAAAAAAAA8L8CLUMc6+I28T8CSFD8GHPX9j8AAAAAIAAAAPwIAPwAAgAAAAAAAPC/AsrDQq1p3vK/AuJYF7fRgANAAAAAABgAAAD8BAD8AAIAAAAAAADwvwIVHcnlP6QLwALmP6Tfvg7YPwAAAAAgAAAA/AgA/AACAAAAAAAA8L8CjgbwFkjQCkACqTXNO07R2T8AAAAAOAAECAgEBAAAAAAIBAAEAAAAAAAMBAAEBAAAAAQQBAAEAAAAAAQUBAAEBAAAAAgYBAAEAAAAAAgcBAAAAAAAAAwgCAgEBAAAABAkBAAEAAAAABAoCAAAAAAAABQsBAAAAAAAABgwCAAAAAAAABQgBAAEBAAAABgkBAAEAAAAAAAAAQAAAAAAAAAAAAAAAAAAAAAAAAAAAA==</t>
        </r>
      </text>
    </comment>
    <comment ref="C265" authorId="0">
      <text>
        <r>
          <rPr>
            <sz val="9"/>
            <color indexed="81"/>
            <rFont val="Tahoma"/>
            <family val="2"/>
          </rPr>
          <t>Insight iXlW00003C0000265R0841462809S00000647P00504LAocjBAQBF1NjaVRlZ2ljLmRhdGEuTW9sZWN1bGUBbQF/ARJTY2lUZWdpYy5Nb2xlY3VsZQAAAQFkAv5qAQAAAAIAAhgYAAAA/AQA/AACAAAAAAAA8L8Co5I6AU2E5b8CRIts5/upoT8AAAAAGAAAAPwEAPwAAgAAAAAAAPC/AgTnjCjtDeg/AkSLbOf7qaE/AAAAABgAAAD8BAD8AAIAAAAAAADwvwLrBDQRNjz2vwK7uI0G8BbzvwAAAAAgAAAA/AQA/AACAAAAAAAA8L8C6wQ0ETY89r8CUWuad5yi9D8AAAAAGAAAAPwEAPwAAgAAAAAAAPC/Ah8Wak3zjvc/AlFrmnecovQ/AAAAACAAAAD8BAD8AAIAAAAAAADwvwIfFmpN8473PwK7uI0G8BbzvwAAAAAUAAQEAAAAAAAAAAgEAAAAAAAAAAwEAAAAAAAABBAEAAAAAAAABBQEAAAAAAAAAAABAAAAAAAAAAAAAAAAAAAAAAAAAAAA</t>
        </r>
      </text>
    </comment>
    <comment ref="C266" authorId="0">
      <text>
        <r>
          <rPr>
            <sz val="9"/>
            <color indexed="81"/>
            <rFont val="Tahoma"/>
            <family val="2"/>
          </rPr>
          <t>Insight iXlW00003C0000266R0841462809S00000648P00648LAocjBAQBF1NjaVRlZ2ljLmRhdGEuTW9sZWN1bGUBbQF/ARJTY2lUZWdpYy5Nb2xlY3VsZQAAAQFkAv5qAQAAAAIAAiAcAAAA/AgA/AACAAAAAAAA8L8CeVioNc27AkAC2xt8YTJV+z8AAAAAHAAAAPwIAPwAAgAAAAAAAPC/AlkXt9EA3v4/AgAAAAAAANw/AAAAABgAAAD8DAD8AAIAAAAAAADwvwJZF7fRAN7+PwKamZmZmZnvvwAAAAAYAAAA/AgA/AACAAAAAAAA8L8CelioNc27BEACggTFjzF37T8AAAAAGAAAAPwMAPwAAgAAAAAAAPC/AsB9HThnRPg/AjQzMzMzM/u/AAAAABgAAAD8CAD8AAIAAAAAAADwvwLAfR04Z0T4PwLbG3xhMlX7PwAAAAAYAAAA/AgA/AACAAAAAAAA8L8CjErqBDQR9D8CggTFjzF37T8AAAAAGAAAAPwEAPwAAgAAAAAAAPC/AnlYqDXNuwJAApqZmZmZmdG/AAAAACAEDAQABAQAAAAIHAQAAAAAAAAMAAgIBAQAAAAQCAwAAAAAAAAUAAQABAQAAAAYFAgIBAQAAAAcBAQAAAAAAAAYBAQABAQAAAAAAAEAAAAAAAAAAAAAAAAAAAAAAAAAAAA=</t>
        </r>
      </text>
    </comment>
    <comment ref="C267" authorId="0">
      <text>
        <r>
          <rPr>
            <sz val="9"/>
            <color indexed="81"/>
            <rFont val="Tahoma"/>
            <family val="2"/>
          </rPr>
          <t>Insight iXlW00003C0000267R0841462809S00000649P00976LAocjBAQBF1NjaVRlZ2ljLmRhdGEuTW9sZWN1bGUBbQF/ARJTY2lUZWdpYy5Nb2xlY3VsZQAAAQFkAv5qAQAAAAIAAjQYAAAA/AgA/AACAAAAAAAA8L8C6bevA+eM4L8CuK8D54wo6T8AAAAAGAAAAPwIAPwAAgAAAAAAAPC/AlR0JJf/kO6/AoenV8oyxOG/AAAAABgAAAD8CAD8AAIAAAAAAADwvwISNjy9UpbrPwIhH/RsVn3xPwAAAAAcAAAA/AgA/AACAAAAAAAA8L8Ct9EA3gIJ+78C9P3UeOkm+j8AAAAAHAAAAPwIAPwAAgAAAAAAAPC/AAIH8BZIUPz5vwAAAAAcAAAA/AgA/AACAAAAAAAA8L8Csr/snjwsA8ACf2q8dJMY4r8AAAAAHAAAAPwIAPwAAgAAAAAAAPC/ArOd76fGS/0/AkSLbOf7qaE/AAAAACAAAAD8CAD8AAIAAAAAAADwvwLNzMzMzMz0PwIPC7WmeccDQAAAAAAYAAAA/AgA/AACAAAAAAAA8L8CjgbwFkjQBsACx7q4jQbw6D8AAAAAGAAAAPwIAPwAAgAAAAAAAPC/Au7rwDkjSvY/AsKopE5AE/W/AAAAABgAAAD8BAD8AAIAAAAAAADwvwLHSzeJQeAJwAKOl24Sg8D7vwAAAAAYAAAA/AQA/AACAAAAAAAA8L8Cx0s3iUHgCUACfq62Yn/Z1T8AAAAAIAAAAPwIAPwAAgAAAAAAAPC/AsHKoUW28wJAAv2H9NvXAQPAAAAAADgABAgIBAQAAAAACAQABAAAAAAADAQABAQAAAAEEAQABAAAAAAEFAQABAQAAAAIGAQABAAAAAAIHAgAAAAAAAAMIAgIBAQAAAAQJAQABAAAAAAUKAQAAAAAAAAYLAQAAAAAAAAkMAgAAAAAAAAUIAQABAQAAAAYJAQABAAAAAAAAAEAAAAAAAAAAAAAAAAAAAAAAAAAAAA=</t>
        </r>
      </text>
    </comment>
    <comment ref="C268" authorId="0">
      <text>
        <r>
          <rPr>
            <sz val="9"/>
            <color indexed="81"/>
            <rFont val="Tahoma"/>
            <family val="2"/>
          </rPr>
          <t>Insight iXlW00003C0000268R0841462809S00000650P00716LAocjBAQBF1NjaVRlZ2ljLmRhdGEuTW9sZWN1bGUBbQF/ARJTY2lUZWdpYy5Nb2xlY3VsZQAAAQFkAv5qAQAAAAIAAiQYAAAA/AgA/AACAAAAAAAA8L8CbjSAt0CC5r8CmG4Sg8DK3b8AAAAAGAAAAPwIAPwAAgAAAAAAAPC/AnBfB84ZUfK/AtUJaCJseOw/AAAAAAEQAAAA/AQA/AACAAAAAAAA8L8C6wQ0ETY8/r8Cr7Zif9k99b8AAAAAHAAAAPwIAPwAAgAAAAAAAPC/ArKd76fGS+U/AuviNhrAW+y/AAAAABwAAAD8CAD8AAIAAAAAAADwvwJGR3L5D+kEwALVCWgibHjsPwAAAAAYAAAA/AgA/AACAAAAAAAA8L8CKKCJsOFpCMAC8fRKWYY44L8AAAAAGAAAAPwIAPwAAgAAAAAAAPC/AigPC7Wmefs/AoxK6gQ0EbY/AAAAABgAAAD8BAD8AAIAAAAAAADwvwIooImw4WkIQAKcxCCwcmjVvwAAAAAgAAAA/AgA/AACAAAAAAAA8L8C+g/pt68D9j8C0NVW7C+79j8AAAAAJAAECAgEBAAAAAAIBAAEBAAAAAAMBAAAAAAAAAQQBAAEBAAAAAgUBAAEBAAAAAwYBAAAAAAAABgcBAAAAAAAABggCAAAAAAAABAUCAgEBAAAAAAAAQAAAAAAAAAAAAAAAAAAAAAAAAAAAA==</t>
        </r>
      </text>
    </comment>
    <comment ref="C269" authorId="0">
      <text>
        <r>
          <rPr>
            <sz val="9"/>
            <color indexed="81"/>
            <rFont val="Tahoma"/>
            <family val="2"/>
          </rPr>
          <t>Insight iXlW00003C0000269R0841462809S00000651P01052LAocjBAQBF1NjaVRlZ2ljLmRhdGEuTW9sZWN1bGUBbQF/ARJTY2lUZWdpYy5Nb2xlY3VsZQAAAQFkAv5qAQAAAAIAAjgYAAAA/AgA/AACAAAAAAAA8L8CBoGVQ4vsAsACqOhILv8hzT8AAAAAGAAAAPwIAPwAAgAAAAAAAPC/AsfctYR80Pq/Ag0CK4cW2fU/AAAAABwAAAD8CAD8AAIAAAAAAADwvwIPC7Wmecf3vwLXxW00gLfovwAAAAAYAAAA/AgA/AACAAAAAAAA8L8C3GgAb4GEDcACTMgHPZtVzz8AAAAAHAAAAPwIAPwAAgAAAAAAAPC/AvXb14FzRti/ArivA+eMKPE/AAAAABgAAAD8CAD8AAIAAAAAAADwvwIbnl4py5ACwALx9EpZhjgEQAAAAAAYAAAA/AgA/AACAAAAAAAA8L8Cy6FFtvP90L8C2xt8YTJV0L8AAAAAGAAAAPwIAPwAAgAAAAAAAPC/AqmkTkATYRHAAt/gC5OpgvY/AAAAABgAAAD8CAD8AAIAAAAAAADwvwJz+Q/pty8NwAJkXdxGA3gEQAAAAAAYAAAA/AQA/AACAAAAAAAA8L8C8x/Sb18H7D8CelioNc077r8AAAAAGAAAAPwEAPwAAgAAAAAAAPC/Aq8l5IOeTQBAAjMzMzMzM9O/AAAAABgAAAD8CAD8AAIAAAAAAADwvwKgq63YX3YJQAIfFmpN847vvwAAAAAYAAAA/AQA/AACAAAAAAAA8L8CqaROQBNhEUACq2BUUieg1b8AAAAAIAAAAPwIAPwAAgAAAAAAAPC/Aq+2Yn/ZPQlAAt/gC5OpggLAAAAAADwABAgIBAQAAAAACAQABAQAAAAADAQABAQAAAAEEAQABAQAAAAEFAQABAQAAAAIGAQABAQAAAAMHAgIBAQAAAAUIAgIBAQAAAAYJAQAAAAAAAAkKAQAAAAAAAAoLAQAAAAAAAAsMAQAAAAAAAAsNAgAAAAAAAAQGAgIBAQAAAAcIAQABAQAAAAAAAEAAAAAAAAAAAAAAAAAAAAAAAAAAAA=</t>
        </r>
      </text>
    </comment>
    <comment ref="C270" authorId="0">
      <text>
        <r>
          <rPr>
            <sz val="9"/>
            <color indexed="81"/>
            <rFont val="Tahoma"/>
            <family val="2"/>
          </rPr>
          <t>Insight iXlW00003C0000270R0841462809S00000652P00716LAocjBAQBF1NjaVRlZ2ljLmRhdGEuTW9sZWN1bGUBbQF/ARJTY2lUZWdpYy5Nb2xlY3VsZQAAAQFkAv5qAQAAAAIAAiQYAAAA/AgA/AACAAAAAAAA8L8Cg1FJnYAm6j8CIUHxY8xd2z8AAAAAHAAAAPwIAPwAAgAAAAAAAPC/Ar4wmSoYFQBAAhkEVg4tsvM/AAAAAAEQAAAA/AQA/AACAAAAAAAA8L8CsJRliGNd8z8CcoqO5PIf7r8AAAAAHAAAAPwIAPwAAgAAAAAAAPC/AvH0SlmGOOC/Aqd5xyk6ku0/AAAAABgAAAD8CAD8AAIAAAAAAADwvwL0bFZ9rjYJQAKcxCCwcmjVPwAAAAAYAAAA/AgA/AACAAAAAAAA8L8Cc/kP6bcvBUAC+THmriXk778AAAAAGAAAAPwIAPwAAgAAAAAAAPC/AouO5PIf0vm/AlHaG3xhMpU/AAAAABgAAAD8BAD8AAIAAAAAAADwvwKFfNCzWfX1vwJjf9k9eVj2vwAAAAAgAAAA/AgA/AACAAAAAAAA8L8CjpduEoPAB8ACAAAAAAAA4D8AAAAAJAAECAgEBAAAAAAIBAAEBAAAAAAMBAAAAAAAAAQQBAAEBAAAAAgUBAAEBAAAAAwYBAAAAAAAABgcBAAAAAAAABggCAAAAAAAABAUCAgEBAAAAAAAAQAAAAAAAAAAAAAAAAAAAAAAAAAAAA==</t>
        </r>
      </text>
    </comment>
    <comment ref="C271" authorId="0">
      <text>
        <r>
          <rPr>
            <sz val="9"/>
            <color indexed="81"/>
            <rFont val="Tahoma"/>
            <family val="2"/>
          </rPr>
          <t>Insight iXlW00003C0000271R0841462809S00000653P00988LAocjBAQBF1NjaVRlZ2ljLmRhdGEuTW9sZWN1bGUBbQF/ARJTY2lUZWdpYy5Nb2xlY3VsZQAAAQFkAv5qAQAAAAIAAjQYAAAA/AQA/AACAAAAAAAA8L8CAAAAAAAA6D8CPN9PjZdu7j8AAAAAHAAAAPwIAPwAAgAAAAAAAPC/AgAAAAAAAAJAAjzfT42Xbu4/AAAAABgAAAD8CAD8AAIAAAAAAADwvwIAAAAAAAAIQAIAAAAAAAACQAAAAAAgAAAA/AgA/AACAAAAAAAA8L8CAAAAAAAAAkACMgisHFpkDEAAAAAAGAAAAPwIAPwAAgAAAAAAAPC/AgAAAAAAABJAAgAAAAAAAAJAAAAAABgAAAD8CAD8AAIAAAAAAADwvwJmiGNd3IYVQAJpke18P7ULQAAAAAAcAAAA/AgA/AACAAAAAAAA8L8CXW3F/rI7G0ACAAAAAAAACEAAAAAAGAAAAPwIAPwAAgAAAAAAAPC/Aru4jQbwNiBAAgAAAAAAAA5AAAAAABgAAAD8CAD8AAIAAAAAAADwvwLHuriNBtAiQAIAAAAAAAAIQAAAAAAYAAAA/AgA/AACAAAAAAAA8L8Cx7q4jQbQIkACAAAAAAAA+D8AAAAAGAAAAPwIAPwAAgAAAAAAAPC/Aru4jQbwNiBAAgAAAAAAAOg/AAAAABgAAAD8CAD8AAIAAAAAAADwvwJdbcX+sjsbQAIAAAAAAAD4PwAAAAAcAAAA/AgA/AACAAAAAAAA8L8CZohjXdyGFUACL90kBoGV8D8AAAAAOAAEBAAAAAAAAAQIBAAAAAAAAAgMCAAAAAAAAAgQBAAAAAAAABAUCAwEBAAAABQYBAAEBAAAABgcBAAEBAAAABwgCAgEBAAAACAkBAAEBAAAACQoCAgEBAAAACgsBAAEBAAAABgsBAAEBAAAACwwCAwEBAAAABAwBAAEBAAAAAAAAQAAAAAAAAAAAAAAAAAAAAAAAAAAAA==</t>
        </r>
      </text>
    </comment>
    <comment ref="C272" authorId="0">
      <text>
        <r>
          <rPr>
            <sz val="9"/>
            <color indexed="81"/>
            <rFont val="Tahoma"/>
            <family val="2"/>
          </rPr>
          <t>Insight iXlW00003C0000272R0841462809S00000654P00856LAocjBAQBF1NjaVRlZ2ljLmRhdGEuTW9sZWN1bGUBbQF/ARJTY2lUZWdpYy5Nb2xlY3VsZQAAAQFkAv5qAQAAAAIAAiwcAAAA/AgA/AACAAAAAAAA8L8ChetRuB6F678CUrgehetR4D8AAAAAGAAAAPwIAPwAAgAAAAAAAPC/AgvXo3A9Cve/AuJ6FK5H4eo/AAAAABgAAAD8CAD8AAIAAAAAAADwvwLsUbgehevRvwLiehSuR+HqPwAAAAAcAAAA/AgA/AACAAAAAAAA8L8CKVyPwvUoAMACUrgehetR4D8AAAAAGAAAAPwIAPwAAgAAAAAAAPC/AgvXo3A9Cve/AgAAAAAAAPg/AAAAACAAAAD8CAD8AAIAAAAAAADwvwIzMzMzMzPTPwJSuB6F61HgPwAAAAAYAAAA/AQA/AACAAAAAAAA8L8ChetRuB6F678CSOF6FK5H/T8AAAAAGAAAAPwEAPwAAgAAAAAAAPC/AuxRuB6F69G/AgAAAAAAAPg/AAAAABgAAAD8CAD8AAIAAAAAAADwvwLNzMzMzMwEwALiehSuR+HqPwAAAAAYAAAA/AgA/AACAAAAAAAA8L8CKVyPwvUoAMACSOF6FK5H/T8AAAAAGAAAAPwIAPwAAgAAAAAAAPC/As3MzMzMzATAAgAAAAAAAPg/AAAAADAEAAQABAAAAAAIAAQABAAAAAAMBAQABAQAAAAQBAgMBAQAAAAUCAgAAAAAAAAYHAQABAAAAAAcCAQABAAAAAAgDAgIBAQAAAAkEAQABAQAAAAoJAgIBAQAAAAYEAQABAAAAAAgKAQABAQAAAAAAAEAAAAAAAAAAAAAAAAAAAAAAAAAAAA=</t>
        </r>
      </text>
    </comment>
    <comment ref="C273" authorId="0">
      <text>
        <r>
          <rPr>
            <sz val="9"/>
            <color indexed="81"/>
            <rFont val="Tahoma"/>
            <family val="2"/>
          </rPr>
          <t>Insight iXlW00003C0000273R0841462809S00000655P00856LAocjBAQBF1NjaVRlZ2ljLmRhdGEuTW9sZWN1bGUBbQF/ARJTY2lUZWdpYy5Nb2xlY3VsZQAAAQFkAv5qAQAAAAIAAiwYAAAA/AgA/AACAAAAAAAA8L8C4L4OnDOi5D8C/Rhz1xLy5z8AAAAAGAAAAPwIAPwAAgAAAAAAAPC/AgIrhxbZzus/Arraiv1l9+S/AAAAABwAAAD8CAD8AAIAAAAAAADwvwKNuWsJ+aDlvwLo+6nx0k30PwAAAAAcAAAA/AgA/AACAAAAAAAA8L8Cb4EExY8x/D8CXW3F/rJ7+j8AAAAAIAAAAPwEAPwAAgAAAAAAAPC/Amu8dJMYBM6/Ase6uI0G8Pi/AAAAABgAAAD8CAD8AAIAAAAAAADwvwJYyjLEsa4BQAJOYhBYObTyvwAAAAAYAAAA/AgA/AACAAAAAAAA8L8C0bNZ9bna/L8CMQisHFpk1z8AAAAAGAAAAPwIAPwAAgAAAAAAAPC/Ak9AE2HD0whAAvjkYaHWNPI/AAAAABgAAAD8BAD8AAIAAAAAAADwvwIxKqkT0ET5vwJeS8gHPZvwvwAAAAAYAAAA/AgA/AACAAAAAAAA8L8CWFuxv+yeCkACy6FFtvP90L8AAAAAIAAAAPwIAPwAAgAAAAAAAPC/ArivA+eMKAnAAuviNhrAW+w/AAAAADAABAgIBAQAAAAACAQABAAAAAAADAQABAQAAAAEEAQABAAAAAAEFAQABAQAAAAIGAQABAAAAAAMHAgIBAQAAAAQIAQABAAAAAAUJAgIBAQAAAAYKAgAAAAAAAAYIAQABAAAAAAcJAQABAQAAAAAAAEAAAAAAAAAAAAAAAAAAAAAAAAAAAA=</t>
        </r>
      </text>
    </comment>
    <comment ref="C274" authorId="0">
      <text>
        <r>
          <rPr>
            <sz val="9"/>
            <color indexed="81"/>
            <rFont val="Tahoma"/>
            <family val="2"/>
          </rPr>
          <t>Insight iXlW00003C0000274R0841462809S00000656P00988LAocjBAQBF1NjaVRlZ2ljLmRhdGEuTW9sZWN1bGUBbQF/ARJTY2lUZWdpYy5Nb2xlY3VsZQAAAQFkAv5qAQAAAAIAAjQYAAAA/AgA/AACAAAAAAAA8L8CAAAAAAAAEkACAAAAAAAAAkAAAAAAARAAAAD8BAD8AAIAAAAAAADwvwJmiGNd3IYVQAIv3SQGgZXwPwAAAAAYAAAA/AgA/AACAAAAAAAA8L8CZohjXdyGFUACaZHtfD+1C0AAAAAAGAAAAPwEAPwAAgAAAAAAAPC/AgAAAAAAAAhAAgAAAAAAAAJAAAAAABgAAAD8CAD8AAIAAAAAAADwvwJdbcX+sjsbQAIAAAAAAAD4PwAAAAAYAAAA/AgA/AACAAAAAAAA8L8CXW3F/rI7G0ACAAAAAAAACEAAAAAAGAAAAPwIAPwAAgAAAAAAAPC/AgAAAAAAAAJAAjIIrBxaZAxAAAAAACAAAAD8CAD8AAIAAAAAAADwvwIAAAAAAADoPwIyCKwcWmQMQAAAAAAcAAAA/AgA/AACAAAAAAAA8L8CAAAAAAAACEACTvOOU3RkE0AAAAAAGAAAAPwIAPwAAgAAAAAAAPC/Aru4jQbwNiBAAgAAAAAAAOg/AAAAABgAAAD8CAD8AAIAAAAAAADwvwK7uI0G8DYgQAIAAAAAAAAOQAAAAAAYAAAA/AgA/AACAAAAAAAA8L8Cx7q4jQbQIkACAAAAAAAA+D8AAAAAGAAAAPwIAPwAAgAAAAAAAPC/Ase6uI0G0CJAAgAAAAAAAAhAAAAAADgEAAQABAQAAAAIAAgIBAQAAAAMAAQAAAAAAAAQBAQABAQAAAAUCAQABAQAAAAYDAQAAAAAAAAcGAgAAAAAAAAgGAQAAAAAAAAkEAQABAQAAAAoFAQABAQAAAAsJAgIBAQAAAAwKAgIBAQAAAAQFAgIBAQAAAAsMAQABAQAAAAAAAEAAAAAAAAAAAAAAAAAAAAAAAAAAAA=</t>
        </r>
      </text>
    </comment>
    <comment ref="C275" authorId="0">
      <text>
        <r>
          <rPr>
            <sz val="9"/>
            <color indexed="81"/>
            <rFont val="Tahoma"/>
            <family val="2"/>
          </rPr>
          <t>Insight iXlW00003C0000275R0841462809S00000657P00636LAocjBAQBF1NjaVRlZ2ljLmRhdGEuTW9sZWN1bGUBbQF/ARJTY2lUZWdpYy5Nb2xlY3VsZQAAAQFkAv5qAQAAAAIAAiAYAAAA/AgA/AACAAAAAAAA8L8CnMQgsHJo5b8CuY0G8BZIyL8AAAAAGAAAAPwIAPwAAgAAAAAAAPC/ApzEILByaOU/AkOtad5xitI/AAAAABwAAAD8CAD8AAIAAAAAAADwvwJgdk8eFmr8vwJYW7G/7J7mPwAAAAAgAAAA/AgA/AACAAAAAAAA8L8CzczMzMzM7L8CFvvL7snD+b8AAAAAHAAAAPwIAPwAAgAAAAAAAPC/AmB2Tx4Wavw/AiQofoy5a+O/AAAAACAAAAD8CAD8AAIAAAAAAADwvwLNzMzMzMzsPwKsrdhfdk/7PwAAAAAYAAAA/AQA/AACAAAAAAAA8L8CBHgLJCj+CMACfGEyVTAqyT8AAAAAGAAAAPwEAPwAAgAAAAAAAPC/AgR4CyQo/ghAAiFB8WPMXbu/AAAAABwABAQAAAAAAAAACAQAAAAAAAAADAgAAAAAAAAEEAQAAAAAAAAEFAgAAAAAAAAIGAQAAAAAAAAQHAQAAAAAAAAAAAEAAAAAAAAAAAAAAAAAAAAAAAAAAAA=</t>
        </r>
      </text>
    </comment>
    <comment ref="C276" authorId="0">
      <text>
        <r>
          <rPr>
            <sz val="9"/>
            <color indexed="81"/>
            <rFont val="Tahoma"/>
            <family val="2"/>
          </rPr>
          <t>Insight iXlW00003C0000276R0841462809S00000658P00836LAocjBAQBF1NjaVRlZ2ljLmRhdGEuTW9sZWN1bGUBbQF/ARJTY2lUZWdpYy5Nb2xlY3VsZQAAAQFkAv5qAQAAAAIAAiwYAAAA/AQA/AACAAAAAAAA8L8C5WGh1jTv6j8AAAAAABgAAAD8BAD8AAIAAAAAAADwvwLlYaHWNO/qPwJnZmZmZmbqvwAAAAAYAAAA/AQA/AACAAAAAAAA8L8CJLn8h/Tb+D8CQYLix5i7878AAAAAHAAAAPwEAPwAAgAAAAAAAPC/AqtgVFInIAJAAmdmZmZmZuq/AAAAABgAAAD8BAD8AAIAAAAAAADwvwKrYFRSJyACQAAAAAAAGAAAAPwEAPwAAgAAAAAAAPC/AiS5/If02/g/ApeQD3o2q9o/AAAAABgAAAD8CAD8AAIAAAAAAADwvwLvWkI+6NkHQAJP0ZFc/kPaPwAAAAABEAAAAPwEAPwAAgAAAAAAAPC/AtQrZRni2A1AAvjCZKpgVLI/AAAAABgAAAD8CAD8AAIAAAAAAADwvwJPr5RliCMRQAIkufyH9NvlPwAAAAAYAAAA/AgA/AACAAAAAAAA8L8CdSSX/5D+DkACGlHaG3xh9j8AAAAAHAAAAPwIAPwAAgAAAAAAAPC/An/7OnDOiAhAAnnpJjEIrPM/AAAAADAMEAQABAAAAAAQFAQABAAAAAAQGAQAAAAAAAAYHAQABAQAAAAABAQABAAAAAAAFAQABAAAAAAECAQABAAAAAAIDAQABAAAAAAcIAQABAQAAAAgJAgIBAQAAAAkKAQABAQAAAAoGAgMBAQAAAAAAAEAAAAAAAAAAAAAAAAAAAAAAAAAAAA=</t>
        </r>
      </text>
    </comment>
    <comment ref="C277" authorId="0">
      <text>
        <r>
          <rPr>
            <sz val="9"/>
            <color indexed="81"/>
            <rFont val="Tahoma"/>
            <family val="2"/>
          </rPr>
          <t>Insight iXlW00003C0000277R0841462809S00000659P00920LAocjBAQBF1NjaVRlZ2ljLmRhdGEuTW9sZWN1bGUBbQF/ARJTY2lUZWdpYy5Nb2xlY3VsZQAAAQFkAv5qAQAAAAIAAjAYAAAA/AgA/AACAAAAAAAA8L8CutqK/WV3CEACMQisHFpkAEAAAAAAHAAAAPwIAPwAAgAAAAAAAPC/Au/Jw0KtaQFAAtJvXwfOGQpAAAAAABwAAAD8CAD8AAIAAAAAAADwvwLvycNCrWkBQAIj2/l+arzqPwAAAAAYAAAA/AgA/AACAAAAAAAA8L8CAAAAAAAA6D8CYxBYObTI9D8AAAAAGAAAAPwIAPwAAgAAAAAAAPC/AgAAAAAAAOg/AjEIrBxaZAZAAAAAABgAAAD8BAD8AAIAAAAAAADwvwJdbcX+sjsSQAIxCKwcWmQAQAAAAAAcAAAA/AQA/AACAAAAAAAA8L8CXW3F/rI7FUACAAAAAAAA6D8AAAAAGAAAAPwEAPwAAgAAAAAAAPC/Alhbsb/sHgVAAsSxLm6jwRJAAAAAABgAAAD8BAD8AAIAAAAAAADwvwJdbcX+sjsbQAIAAAAAAADoPwAAAAAYAAAA/AQA/AACAAAAAAAA8L8CXW3F/rI7FUACm+Ydp+jICkAAAAAAGAAAAPwEAPwAAgAAAAAAAPC/Al1txf6yOx5AAjEIrBxaZABAAAAAABgAAAD8BAD8AAIAAAAAAADwvwJdbcX+sjsbQAKb5h2n6MgKQAAAAAA0BAAEAAQEAAAACAAICAQEAAAADAgEAAQEAAAAEAQEAAQEAAAAFAAEAAAAAAAAGBQEAAQAAAAAHAQEAAAAAAAAIBgEAAQAAAAAJBQEAAQAAAAAKCwEAAQAAAAALCQEAAQAAAAAEAwICAQEAAAAICgEAAQAAAAAAAABAAAAAAAAAAAAAAAAAAAAAAAAAAAA</t>
        </r>
      </text>
    </comment>
    <comment ref="C279" authorId="0">
      <text>
        <r>
          <rPr>
            <sz val="9"/>
            <color indexed="81"/>
            <rFont val="Tahoma"/>
            <family val="2"/>
          </rPr>
          <t>Insight iXlW00003C0000279R0841462809S00000660P00792LAocjBAQBF1NjaVRlZ2ljLmRhdGEuTW9sZWN1bGUBbQF/ARJTY2lUZWdpYy5Nb2xlY3VsZQAAAQFkAv5qAQAAAAIAAigcAAAA/AgA/AACAAAAAAAA8L8C5tAi2/l+FUACNKK0N/jC9T8AAAAAGAAAAPwIAPwAAgAAAAAAAPC/AsrDQq1p3hRAAv+ye/Kw0AZAAAAAABgAAAD8CAD8AAIAAAAAAADwvwIAAAAAAAD4PwKEns2qz9X9PwAAAAAYAAAA/AgA/AACAAAAAAAA8L8CAAAAAAAA6D8CrK3YX3ZPCUAAAAAAGAAAAPwIAPwAAgAAAAAAAPC/AgAAAAAAAPg/Au9aQj7o2RFAAAAAABwAAAD8CAD8AAIAAAAAAADwvwIAAAAAAAAIQALvWkI+6NkRQAAAAAAYAAAA/AgA/AACAAAAAAAA8L8CAAAAAAAADkACrK3YX3ZPCUAAAAAAGAAAAPwIAPwAAgAAAAAAAPC/AgAAAAAAAAhAAoSezarP1f0/AAAAACAAAAD8CAD8AAIAAAAAAADwvwIW+8vuyQMQQAIAAAAAAADoPwAAAAAcAAAA/AQA/AACAAAAAAAA8L8Cayv2l91TGUACK6kT0ETYDkAAAAAALAAECAgEBAAAAAAgBAAEBAAAAAQYBAAEBAAAAAQkBAAAAAAAAAgMCAgEBAAAAAgcBAAEBAAAAAwQBAAEBAAAABAUCAgEBAAAABQYBAAEBAAAABgcCAwEBAAAABwgBAAEBAAAAAAAAQAAAAAAAAAAAAAAAAAAAAAAAAAAAA==</t>
        </r>
      </text>
    </comment>
    <comment ref="C280" authorId="0">
      <text>
        <r>
          <rPr>
            <sz val="9"/>
            <color indexed="81"/>
            <rFont val="Tahoma"/>
            <family val="2"/>
          </rPr>
          <t>Insight iXlW00003C0000280R0841462809S00000661P01184LAocjBAQBF1NjaVRlZ2ljLmRhdGEuTW9sZWN1bGUBbQF/ARJTY2lUZWdpYy5Nb2xlY3VsZQAAAQFkAv5qAQAAAAIAAgEQGAAAAPwEAPwAAgAAAAAAAPC/AnWTGARWDvi/ArsnDwu1psE/AAAAABwAAAD8CAD8AAIAAAAAAADwvwKL/WX35GHZvwK7Jw8LtabBvwAAAAAYAAAA/AQA/AACAAAAAAAA8L8CZ2ZmZmZmAsACfq62Yn/Z5b8AAAAAGAAAAPwEAPwAAgAAAAAAAPC/AjY8vVKWIf2/Ao6XbhKDwPM/AAAAABgAAAD8CAD8AAIAAAAAAADwvwKL/WX35GHZPwJ+rrZif9nlPwAAAAAYAAAA/AQA/AACAAAAAAAA8L8CcPCFyVRBC8ACfIMvTKYK2r8AAAAAIAAAAPwEAPwAAgAAAAAAAPC/AgwkKH6Muf+/AmRd3EYDePy/AAAAABgAAAD8BAD8AAIAAAAAAADwvwIkKH6MuWsHwALx9EpZhjj4PwAAAAAYAAAA/AgA/AACAAAAAAAA8L8CdZMYBFYO+D8CfIMvTKYK2j8AAAAAIAAAAPwIAPwAAgAAAAAAAPC/AgajkjoBTbQ/AmRd3EYDePw/AAAAABgAAAD8BAD8AAIAAAAAAADwvwLQRNjw9MoNwAJuowG8BRLmPwAAAAAYAAAA/AgA/AACAAAAAAAA8L8CZ2ZmZmZmAkACFR3J5T+k8z8AAAAAGAAAAPwIAPwAAgAAAAAAAPC/AjY8vVKWIf0/Am6jAbwFEua/AAAAABgAAAD8CAD8AAIAAAAAAADwvwJw8IXJVEELQAJqTfOOU3TuPwAAAAAYAAAA/AgA/AACAAAAAAAA8L8CJCh+jLlrB0ACTDeJQWDl7r8AAAAAGAAAAPwIAPwAAgAAAAAAAPC/AtBE2PD0yg1AAn/7OnDOiMK/AAAAAAERAAQEAAAAAAAAAAgEAAQAAAAAAAwEAAQAAAAABBAEAAAAAAAACBQEAAQAAAAACBgEAAAAAAAADBwEAAQAAAAAECAEAAAAAAAAECQIAAAAAAAAFCgEAAQAAAAAICwIDAQEAAAAIDAEAAQEAAAALDQEAAQEAAAAMDgICAQEAAAANDwICAQEAAAAHCgEAAQAAAAAODwEAAQEAAAAAAABAAAAAAAAAAAAAAAAAAAAAAAAAAAA</t>
        </r>
      </text>
    </comment>
    <comment ref="C281" authorId="0">
      <text>
        <r>
          <rPr>
            <sz val="9"/>
            <color indexed="81"/>
            <rFont val="Tahoma"/>
            <family val="2"/>
          </rPr>
          <t>Insight iXlW00003C0000281R0841462809S00000662P00712LAocjBAQBF1NjaVRlZ2ljLmRhdGEuTW9sZWN1bGUBbQF/ARJTY2lUZWdpYy5Nb2xlY3VsZQAAAQFkAv5qAQAAAAIAAiQcAAAA/AgA/AACAAAAAAAA8L8CAAAAAABAGEACUkmdgCaiIcAAAAAAHAAAAPwIAPwAAgAAAAAAAPC/AnBfB84ZkRVAAh8Wak3zriDAAAAAABgAAAD8CAD8AAIAAAAAAADwvwI9LNSa5t0aQAK4rwPnjKggwAAAAAAYAAAA/AgA/AACAAAAAAAA8L8CzczMzMzMGUACNDMzMzMzHsAAAAAAHAAAAPwIAPwAAgAAAAAAAPC/AqOSOgFNhBZAAtfFbTSANx7AAAAAABwAAAD8BAD8AAIAAAAAAADwvwJwXwfOGREeQAJSSZ2AJiIhwAAAAAAYAAAA/AQA/AACAAAAAAAA8L8CcF8HzhmRFEACcF8HzhmRG8AAAAAAGAAAAPwEAPwAAgAAAAAAAPC/As3MzMzMTBFAAjQzMzMz8xvAAAAAABgAAAD8BAD8AAIAAAAAAADwvwI0MzMzM7MOQAJwXwfOGVEZwAAAAAAkBAAICAQEAAAACAAEAAQEAAAADAgICAQEAAAAEAQEAAQEAAAAFAgEAAAAAAAAGBAEAAAAAAAAHBgEAAAAAAAAIBwEAAAAAAAAEAwEAAQEAAAAAAABAAAAAAAAAAAAAAAAAAAAAAAAAAAA</t>
        </r>
      </text>
    </comment>
    <comment ref="C282" authorId="0">
      <text>
        <r>
          <rPr>
            <sz val="9"/>
            <color indexed="81"/>
            <rFont val="Tahoma"/>
            <family val="2"/>
          </rPr>
          <t>Insight iXlW00003C0000282R0841462809S00000663P00920LAocjBAQBF1NjaVRlZ2ljLmRhdGEuTW9sZWN1bGUBbQF/ARJTY2lUZWdpYy5Nb2xlY3VsZQAAAQFkAv5qAQAAAAIAAjAcAAAA/AgA/AACAAAAAAAA8L8C9dvXgXNG0D8CCYofY+5a2j8AAAAAGAAAAPwIAPwAAgAAAAAAAPC/AvXb14FzRtA/Atlfdk8eFvK/AAAAABwAAAD8CAD8AAIAAAAAAADwvwK8Jw8LtabvvwKSXP5D+u30PwAAAAAcAAAA/AgA/AACAAAAAAAA8L8CSS7/If329z8Cklz+Q/rt9D8AAAAAGAAAAPwIAPwAAgAAAAAAAPC/Am1Wfa62Yvk/Al2PwvUoXP6/AAAAABgAAAD8CAD8AAIAAAAAAADwvwIdWmQ730/xvwJdj8L1KFz+vwAAAAAYAAAA/AgA/AACAAAAAAAA8L8CKxiV1Alo4L8CHHxhMlUwBkAAAAAAGAAAAPwIAPwAAgAAAAAAAPC/AisYldQJaPA/Ahx8YTJVMAZAAAAAABgAAAD8CAD8AAIAAAAAAADwvwJtVn2utmL5PwIH8BZIUHwLwAAAAAAYAAAA/AgA/AACAAAAAAAA8L8CHVpkO99P8b8CB/AWSFB8C8AAAAAAHAAAAPwEAPwAAgAAAAAAAPC/As/3U+Olm/a/AraEfNCzGRBAAAAAABgAAAD8CAD8AAIAAAAAAADwvwL129eBc0bQPwJPQBNhw9MQwAAAAAA0AAQEAAAAAAAAAAgEAAQEAAAAAAwEAAQEAAAABBAIDAQEAAAABBQEAAQEAAAACBgIDAQEAAAADBwICAQEAAAAECAEAAQEAAAAFCQICAQEAAAAGCgEAAAAAAAAICwICAQEAAAAGBwEAAQEAAAAJCwEAAQEAAAAAAABAAAAAAAAAAAAAAAAAAAAAAAAAAAA</t>
        </r>
      </text>
    </comment>
    <comment ref="C283" authorId="0">
      <text>
        <r>
          <rPr>
            <sz val="9"/>
            <color indexed="81"/>
            <rFont val="Tahoma"/>
            <family val="2"/>
          </rPr>
          <t>Insight iXlW00003C0000283R0841462809S00000664P01580LAocjBAQBF1NjaVRlZ2ljLmRhdGEuTW9sZWN1bGUBbQF/ARJTY2lUZWdpYy5Nb2xlY3VsZQAAAQFkAv5qAQAAAAIAAgEWGAAAAPwIAPwAAgAAAAAAAPC/AspUwaikzgNAAiL99nXgnJE/AAAAABgAAAD8CAD8AAIAAAAAAADwvwKRoPgx5q79PwIT8kHPZtXXPwAAAAAYAAAA/AgA/AACAAAAAAAA8L8CS1mGONbFCEAC9dvXgXNG2D8AAAAAGAAAAPwIAPwAAgAAAAAAAPC/AgYSFD/G3ANAAl+YTBWMSua/AAAAABwAAAD8CAD8AAIAAAAAAADwvwKRfvs6cM7zPwIOvjCZKhiFPwAAAAAgAAAA/AgA/AACAAAAAAAA8L8CHA3gLZCg/T8CHjhnRGlv8T8AAAAAGAAAAPwIAPwAAgAAAAAAAPC/ApSHhVrTvA1AAj2bVZ+rrZg/AAAAABgAAAD8CAD8AAIAAAAAAADwvwJPQBNhw9MIQAJLWYY41sXwvwAAAAAYAAAA/AQA/AACAAAAAAAA8L8CFR3J5T+k4z8CMQisHFpk1z8AAAAAGAAAAPwEAPwAAgAAAAAAAPC/AgYSFD/G3PM/Am40gLdAgua/AAAAABgAAAD8CAD8AAIAAAAAAADwvwLQRNjw9MoNQAKFfNCzWfXlvwAAAAAYAAAA/AQA/AACAAAAAAAA8L8AAmAHzhlR2ms/AAAAABgAAAD8BAD8AAIAAAAAAADwvwIN4C2QoPjjvwJBguLHmLvWPwAAAAAcAAAA/AgA/AACAAAAAAAA8L8CBhIUP8bc878CYAfOGVHaa78AAAAAGAAAAPwIAPwAAgAAAAAAAPC/Agkbnl4py/2/Al+YTBWMStY/AAAAABgAAAD8CAD8AAIAAAAAAADwvwIGEhQ/xtwDwAIOvjCZKhiFvwAAAAAgAAAA/AgA/AACAAAAAAAA8L8CgZVDi2zn/b8CQDVeukkM8T8AAAAAGAAAAPwIAPwAAgAAAAAAAPC/Ak9AE2HD0wjAAn6utmJ/2dU/AAAAABgAAAD8CAD8AAIAAAAAAADwvwLKVMGopM4DwAIqOpLLf0jnvwAAAAAYAAAA/AgA/AACAAAAAAAA8L8C0ETY8PTKDcACIv32deCckb8AAAAAGAAAAPwIAPwAAgAAAAAAAPC/AktZhjjWxQjAAh44Z0Rpb/G/AAAAABgAAAD8CAD8AAIAAAAAAADwvwKUh4Va07wNwAIbL90kBoHnvwAAAAABFwAEBAAAAAAAAAAICAwEBAAAAAAMBAAEBAAAAAQQBAAAAAAAAAQUCAAAAAAAAAgYBAAEBAAAAAwcCAgEBAAAABAgBAAAAAAAABAkBAAAAAAAABgoCAgEBAAAACAsBAAAAAAAACwwBAAAAAAAADA0BAAAAAAAADQ4BAAAAAAAADg8BAAAAAAAADgBEAgAAAAAAAA8AREIDAQEAAAAPAESBAAEBAAAAAERARMEAAQEAAAAARIBFAgIBAQAAAABEwEVCAgEBAAAABwoBAAEBAAAAAEUARUEAAQEAAAAAAABAAAAAAAAAAAAAAAAAAAAAAAAAAAA</t>
        </r>
      </text>
    </comment>
    <comment ref="C284" authorId="0">
      <text>
        <r>
          <rPr>
            <sz val="9"/>
            <color indexed="81"/>
            <rFont val="Tahoma"/>
            <family val="2"/>
          </rPr>
          <t>Insight iXlW00003C0000284R0841462809S00000665P00900LAocjBAQBF1NjaVRlZ2ljLmRhdGEuTW9sZWN1bGUBbQF/ARJTY2lUZWdpYy5Nb2xlY3VsZQAAAQFkAv5qAQAAAAIAAjAYAAAA/AgA/AACAAAAAAAA8L8CUWuad5yi/D8AAAAAABgAAAD8CAD8AAIAAAAAAADwvwInMQisHFr1PwKLjuTyH9LxPwAAAAAYAAAA/AgA/AACAAAAAAAA8L8CT0ATYcPT8D8Cak3zjlN07r8AAAAAHAAEAPwIAPwAAgAAAAAAAPC/AgYSFD/G3AdAAqs+V1uxv8S/AAAAABgAAAD8CAD8AAIAAAAAAADwvwJhw9MrZRnCPwJkXdxGA3j0PwAAAAAYAAAA/AgA/AACAAAAAAAA8L8CYcPTK2UZwr8CuK8D54wo6b8AAAAAIAAAAPwIAPwAAgAAAAAAAPC/AtBE2PD0yg1AArivA+eMKOk/AAAAACAA/AD8CAD8AAIAAAAAAADwvwLiWBe30YALQAJkXdxGA3j0vwAAAAAYAAAA/AgA/AACAAAAAAAA8L8CLGUZ4lgX478C54wo7Q2+1D8AAAAAIAAAAPwEAPwAAgAAAAAAAPC/AlFrmnecovy/AhB6Nqs+V98/AAAAABgAAAD8BAD8AAIAAAAAAADwvwLx9EpZhjgEwAK2hHzQs1ndvwAAAAAYAAAA/AQA/AACAAAAAAAA8L8C0ETY8PTKDcACJZf/kH770r8AAAAAMAAECAgEBAAAAAAIBAAEBAAAAAAMBAAAAAAAAAQQBAAEBAAAAAgUCAgEBAAAAAwYCAAAAAAAAAwcBAAAAAAAABAgCAwEBAAAACAkBAAAAAAAACQoBAAAAAAAACgsBAAAAAAAABQgBAAEBAAAAAAAAQAAAAAAAAAAAAAAAAAAAAAAAAAAAA==</t>
        </r>
      </text>
    </comment>
    <comment ref="C285" authorId="0">
      <text>
        <r>
          <rPr>
            <sz val="9"/>
            <color indexed="81"/>
            <rFont val="Tahoma"/>
            <family val="2"/>
          </rPr>
          <t>Insight iXlW00003C0000285R0841462809S00000666P01460LAocjBAQBF1NjaVRlZ2ljLmRhdGEuTW9sZWN1bGUBbQF/ARJTY2lUZWdpYy5Nb2xlY3VsZQAAAQFkAv5qAQAAAAIAAgEUGAAAAPwIAPwAAgAAAAAAAPC/AgwkKH6Muee/An6utmJ/2eU/AAAAABgAAAD8CAD8AAIAAAAAAADwvwIkKH6MuWvzvwK5jQbwFkjIvwAAAAAcAAAA/AgA/AACAAAAAAAA8L8CxSCwcmiRzT8CKA8LtaZ56z8AAAAAGAAAAPwIAPwAAgAAAAAAAPC/AnNoke18P/S/AuLplbIMcfg/AAAAABwAAAD8CAD8AAIAAAAAAADwvwJ0RpT2Bl/qvwIPLbKd76fxvwAAAAAYAAAA/AgA/AACAAAAAAAA8L8C1lbsL7unAcACPnlYqDXNy78AAAAAGAAAAPwIAPwAAgAAAAAAAPC/Ai4hH/RsVu8/ArfRAN4CCco/AAAAABgAAAD8CAD8AAIAAAAAAADwvwL99nXgnBECwAIAAAAAAAD4PwAAAAAYAAAA/AgA/AACAAAAAAAA8L8C+FPjpZvEwD8CgZVDi2zn9b8AAAAAGAAAAPwIAPwAAgAAAAAAAPC/AouO5PIf0gXAAg3gLZCg+OM/AAAAABgAAAD8CAD8AAIAAAAAAADwvwLu68A5I0r+PwJDPujZrPriPwAAAAAYAAAA/AQA/AACAAAAAAAA8L8CgZVDi2zn7T8CuK8D54wo6b8AAAAAGAAAAPwEAPwAAgAAAAAAAPC/ArIubqMBPAbAAlJJnYAmwgJAAAAAACAAAAD8CAD8AAIAAAAAAADwvwIVHcnlP6TTPwJSSZ2AJsICwAAAAAAYAAAA/AQA/AACAAAAAAAA8L8C0ETY8PTKDcACLGUZ4lgX4z8AAAAAGAAAAPwIAPwAAgAAAAAAAPC/Anl6pSxDHABAAjEqqRPQRPk/AAAAABgAAAD8CAD8AAIAAAAAAADwvwLcaABvgYQFQAAAAAAAGAAAAPwIAPwAAgAAAAAAAPC/AiQofoy5awdAAhsv3SQGgf8/AAAAABgAAAD8CAD8AAIAAAAAAADwvwJPQBNhw9MMQALXxW00gLfYPwAAAAAYAAAA/AgA/AACAAAAAAAA8L8C0ETY8PTKDUAChXzQs1n19T8AAAAAARYABAgIBAQAAAAACAQABAAAAAAADAQABAQAAAAEEAQABAAAAAAEFAQABAQAAAAIGAgMBAAAAAAMHAgMBAQAAAAQIAQABAAAAAAUJAgMBAQAAAAYKAQAAAAAAAAYLAQABAAAAAAcMAQAAAAAAAAgNAgAAAAAAAAkOAQAAAAAAAAoPAgMBAQAAAAoARAEAAQEAAAAPAERBAAEBAAAAAEQARIICAQEAAAAAREBEwgIBAQAAAAcJAQABAQAAAAgLAQABAAAAAABEgETBAAEBAAAAAAAAQAAAAAAAAAAAAAAAAAAAAAAAAAAAA==</t>
        </r>
      </text>
    </comment>
    <comment ref="C286" authorId="0">
      <text>
        <r>
          <rPr>
            <sz val="9"/>
            <color indexed="81"/>
            <rFont val="Tahoma"/>
            <family val="2"/>
          </rPr>
          <t>Insight iXlW00003C0000286R0841462809S00000667P00988LAocjBAQBF1NjaVRlZ2ljLmRhdGEuTW9sZWN1bGUBbQF/ARJTY2lUZWdpYy5Nb2xlY3VsZQAAAQFkAv5qAQAAAAIAAjQYAAAA/AgA/AACAAAAAAAA8L8CxNMrZRni4D8CGQRWDi2y678AAAAAGAAAAPwEAPwAAgAAAAAAAPC/Amx4eqUsQ+q/Aq+2Yn/ZPfW/AAAAABwAAAD8CAD8AAIAAAAAAADwvwJbQj7o2azuPwLx9EpZhjjgPwAAAAAgAAAA/AgA/AACAAAAAAAA8L8CQz7o2az6+j8Cx9y1hHzQ+r8AAAAAGAAAAPwIAPwAAgAAAAAAAPC/AuPHmLuWkP6/Aqk1zTtO0dm/AAAAABwAAAD8CAD8AAIAAAAAAADwvwLiWBe30YADQALx9EpZhjjgPwAAAAAYAAAA/AgA/AACAAAAAAAA8L8CBoGVQ4vsBkACdEaU9gZf6r8AAAAAGAAAAPwIAPwAAgAAAAAAAPC/AvjkYaHWNPq/Avkx5q4l5O8/AAAAABgAAAD8CAD8AAIAAAAAAADwvwL99nXgnBEKwAIK+aBns+rrvwAAAAAcAAAA/AQA/AACAAAAAAAA8L8CpN++DpzzEEACnaIjufyH878AAAAAGAAAAPwIAPwAAgAAAAAAAPC/Ag0CK4cW2QXAAsWxLm6jAf8/AAAAABgAAAD8CAD8AAIAAAAAAADwvwLoaiv2l10RwAJ6xyk6ksuvPwAAAAAYAAAA/AgA/AACAAAAAAAA8L8CjErqBDRREMACppvEILBy9z8AAAAAOAAEBAAAAAAAAAAICAwEBAAAAAAMBAAEBAAAAAQQBAAAAAAAAAgUBAAEBAAAAAwYBAAEBAAAABAcBAAEBAAAABAgCAwEBAAAABgkBAAAAAAAABwoCAgEBAAAACAsBAAEBAAAACgwBAAEBAAAABQYCAgEBAAAACwwCAgEBAAAAAAAAQAAAAAAAAAAAAAAAAAAAAAAAAAAAA==</t>
        </r>
      </text>
    </comment>
    <comment ref="C287" authorId="0">
      <text>
        <r>
          <rPr>
            <sz val="9"/>
            <color indexed="81"/>
            <rFont val="Tahoma"/>
            <family val="2"/>
          </rPr>
          <t>Insight iXlW00003C0000287R0841462809S00000668P00648LAocjBAQBF1NjaVRlZ2ljLmRhdGEuTW9sZWN1bGUBbQF/ARJTY2lUZWdpYy5Nb2xlY3VsZQAAAQFkAv5qAQAAAAIAAiAcAAAA/AgA/AACAAAAAAAA8L8CfIMvTKYKE0ACCvmgZ7NqCUAAAAAAGAAAAPwIAPwAAgAAAAAAAPC/Agg9m1WfqwpAAmmR7Xw/tQVAAAAAABwAAAD8CAD8AAIAAAAAAADwvwJ8gy9MpgoTQAIAAAAAAADoPwAAAAABEAAAAPwEAPwAAgAAAAAAAPC/Agg9m1WfqwpAAtEi2/l+avM/AAAAABgAAAD8CAD8AAIAAAAAAADwvwLhC5OpgpEWQALRItv5fmr/PwAAAAAcAAAA/AQA/AACAAAAAAAA8L8CoKut2F/2AEACNKK0N/jCDEAAAAAAGAAAAPwEAPwAAgAAAAAAAPC/AuELk6mCkRxAAtEi2/l+av8/AAAAABgAAAD8BAD8AAIAAAAAAADwvwIAAAAAAADoPwIaUdobfOEHQAAAAAAgBAAICAQEAAAACBAICAQEAAAADAQEAAQEAAAAEAAEAAQEAAAAFAQEAAAAAAAAGBAEAAAAAAAAHBQEAAAAAAAACAwEAAQEAAAAAAABAAAAAAAAAAAAAAAAAAAAAAAAAAAA</t>
        </r>
      </text>
    </comment>
    <comment ref="C288" authorId="0">
      <text>
        <r>
          <rPr>
            <sz val="9"/>
            <color indexed="81"/>
            <rFont val="Tahoma"/>
            <family val="2"/>
          </rPr>
          <t>Insight iXlW00003C0000288R0841462809S00000669P00716LAocjBAQBF1NjaVRlZ2ljLmRhdGEuTW9sZWN1bGUBbQF/ARJTY2lUZWdpYy5Nb2xlY3VsZQAAAQFkAv5qAQAAAAIAAiQYAAAA/AgA/AACAAAAAAAA8L8CUkmdgCbC4j8CbXh6pSxDjD8AAAAAHAAAAPwIAPwAAgAAAAAAAPC/AuQUHcnlP+y/Am14eqUsQ4w/AAAAABwAAAD8CAD8AAIAAAAAAADwvwLx9EpZhjjwPwJyio7k8h/2vwAAAAAYAAAA/AQA/AACAAAAAAAA8L8COUVHcvkP9z8CXW3F/rJ78j8AAAAAGAAAAPwIAPwAAgAAAAAAAPC/ArKd76fGS/W/AjY8vVKWIfW/AAAAAAEQAAAA/AQA/AACAAAAAAAA8L8CJZf/kH77wr8CY+5aQj5oAcAAAAAAGAAAAPwEAPwAAgAAAAAAAPC/AigPC7Wmees/AuJYF7fRgANAAAAAABgAAAD8BAD8AAIAAAAAAADwvwLByqFFtvMGQAIXSFD8GHPvPwAAAAAcAAAA/AQA/AACAAAAAAAA8L8CIR/0bFZ9BcACsJRliGNd+78AAAAAJAAEBAAEBAAAAAAICAgEBAAAAAAMBAAAAAAAAAQQCAwEBAAAAAgUBAAEBAAAAAwYBAAAAAAAAAwcBAAAAAAAABAgBAAAAAAAABAUBAAEBAAAAAAAAQAAAAAAAAAAAAAAAAAAAAAAAAAAAA==</t>
        </r>
      </text>
    </comment>
    <comment ref="C289" authorId="0">
      <text>
        <r>
          <rPr>
            <sz val="9"/>
            <color indexed="81"/>
            <rFont val="Tahoma"/>
            <family val="2"/>
          </rPr>
          <t>Insight iXlW00003C0000289R0841462809S00000670P01468LAocjBAQBF1NjaVRlZ2ljLmRhdGEuTW9sZWN1bGUBbQF/ARJTY2lUZWdpYy5Nb2xlY3VsZQAAAQFkAv5qAQAAAAIAAgEUGAAAAPwIAPwAAgAAAAAAAPC/AoxK6gQ0Eca/ApqZmZmZmdm/AAAAABgAAAD8CAD8AAIAAAAAAADwvwJvEoPAyqHFvwL77evAOSPsPwAAAAAcAAAA/AQA/AACAAAAAAAA8L8CmG4Sg8DK7T8C097gC5Op8L8AAAAAGAAAAPwIAPwAAgAAAAAAAPC/AuviNhrAW/S/AtbFbTSAt/C/AAAAABgAAAD8CAD8AAIAAAAAAADwvwJkXdxGA3j0vwLx9EpZhjj4PwAAAAAYAAAA/AgA/AACAAAAAAAA8L8CgZVDi2zn7T8Cam/whclU+D8AAAAAGAAAAPwIAPwAAgAAAAAAAPC/Aq8l5IOeTQBAAnyDL0ymCtq/AAAAABgAAAD8BAD8AAIAAAAAAADwvwKneccpOpLtPwLf4AuTqYICwAAAAAAYAAAA/AgA/AACAAAAAAAA8L8COUVHcvkPA8ACfIMvTKYK2r8AAAAAGAAAAPwIAPwAAgAAAAAAAPC/Aru4jQbwFgPAAgIrhxbZzus/AAAAABgAAAD8CAD8AAIAAAAAAADwvwLr4jYawFsAQALzH9JvXwfsPwAAAAAgAAAA/AgA/AACAAAAAAAA8L8CgZVDi2zn7T8CZ2ZmZmZmBkAAAAAAGAAAAPwEAPwAAgAAAAAAAPC/AlAeFmpN88a/Atlfdk8elgfAAAAAACAAAAD8BAD8AAIAAAAAAADwvwKRD3o2q74MwAKLjuTyH9LpvwAAAAAgAAAA/AQA/AACAAAAAAAA8L8CS1mGONbFDMAC++3rwDkj9D8AAAAAGAAAAPwIAPwAAgAAAAAAAPC/AnP5D+m3LwlAAnxhMlUwKvg/AAAAABgAAAD8BAD8AAIAAAAAAADwvwKppE5AE2ERwAICTYQNT6/MPwAAAAAgAAAA/AQA/AACAAAAAAAA8L8C4ZwRpb0BEUACAiuHFtnO6z8AAAAAIAAAAPwIAPwAAgAAAAAAAPC/Aq+2Yn/ZPQlAAqk1zTtOUQZAAAAAABgAAAD8BAD8AAIAAAAAAADwvwLhnBGlvQERQAJ8gy9MpgravwAAAAABFgAEBAAEBAAAAAAIBAAEAAAAAAAMCAgEBAAAAAQQCAgEBAAAAAQUBAAEAAAAAAgYBAAEAAAAAAgcBAAAAAAAAAwgBAAEBAAAABAkBAAEBAAAABQoBAAEAAAAABQsCAAAAAAAABwwBAAAAAAAACA0BAAEAAAAACQ4BAAEAAAAACg8BAAAAAAAADQBEAQABAAAAAA8AREEAAAAAAAAPAESCAAAAAAAAAERARMEAAAAAAAAGCgICAQAAAAAICQICAQEAAAAOAEQBAAEAAAAAAAAAQAAAAAAAAAAAAAAAAAAAAAAAAAAAA==</t>
        </r>
      </text>
    </comment>
    <comment ref="C290" authorId="0">
      <text>
        <r>
          <rPr>
            <sz val="9"/>
            <color indexed="81"/>
            <rFont val="Tahoma"/>
            <family val="2"/>
          </rPr>
          <t>Insight iXlW00003C0000290R0841462809S00000671P00924LAocjBAQBF1NjaVRlZ2ljLmRhdGEuTW9sZWN1bGUBbQF/ARJTY2lUZWdpYy5Nb2xlY3VsZQAAAQFkAv5qAQAAAAIAAjAYAAAA/AgA/AACAAAAAAAA8L8CQ61p3nGK0r8CUdobfGEytT8AAAAAGAAAAPwIAPwAAgAAAAAAAPC/AgfwFkhQ/PE/Ase6uI0G8Ka/AAAAABwAAAD8CAD8AAIAAAAAAADwvwJ+jLlrCfnzvwJMN4lBYOXuvwAAAAAcAAAA/AgA/AACAAAAAAAA8L8CeXqlLEMc8L8Csp3vp8ZL9T8AAAAAGAAAAPwIAPwAAgAAAAAAAPC/Ahsv3SQGgf8/AhIUP8bctfE/AAAAABgAAAD8CAD8AAIAAAAAAADwvwKdoiO5/If7PwKUh4Va07z1vwAAAAAYAAAA/AgA/AACAAAAAAAA8L8CHqfoSC5/BMACqhPQRNjw2L8AAAAAARAAAAD8BAD8AAIAAAAAAADwvwLyY8xdS0gDwAJtVn2utmLwPwAAAAAYAAAA/AgA/AACAAAAAAAA8L8CcPCFyVRBC0ACW0I+6Nms7j8AAAAAGAAAAPwIAPwAAgAAAAAAAPC/Aq+2Yn/ZPQlAAv0Yc9cS8ve/AAAAABwAAAD8BAD8AAIAAAAAAADwvwIll/+QfnsOwAKLjuTyH9LxvwAAAAAYAAAA/AgA/AACAAAAAAAA8L8CxEKtad7xD0ACnMQgsHJo1b8AAAAANAAEBAAAAAAAAAAIBAAEBAAAAAAMCAwEBAAAAAQQBAAEBAAAAAQUCAwEBAAAAAgYCAwEBAAAAAwcBAAEBAAAABAgCAgEBAAAABQkBAAEBAAAABgoBAAAAAAAACAsBAAEBAAAABgcBAAEBAAAACQsCAgEBAAAAAAAAQAAAAAAAAAAAAAAAAAAAAAAAAAAAA==</t>
        </r>
      </text>
    </comment>
    <comment ref="C291" authorId="0">
      <text>
        <r>
          <rPr>
            <sz val="9"/>
            <color indexed="81"/>
            <rFont val="Tahoma"/>
            <family val="2"/>
          </rPr>
          <t>Insight iXlW00003C0000291R0841462809S00000672P00924LAocjBAQBF1NjaVRlZ2ljLmRhdGEuTW9sZWN1bGUBbQF/ARJTY2lUZWdpYy5Nb2xlY3VsZQAAAQFkAv5qAQAAAAIAAjAYAAAA/AgA/AACAAAAAAAA8L8CLGUZ4lgX4z8CE/JBz2bVt78AAAAAGAAAAPwIAPwAAgAAAAAAAPC/AgwkKH6Muee/An9qvHSTGOK/AAAAABwAAAD8CAD8AAIAAAAAAADwvwLT3uALk6nwPwLNzMzMzMz0PwAAAAABEAAAAPwEAPwAAgAAAAAAAPC/AgYSFD/G3Ps/ApGg+DHmru2/AAAAABgAAAD8CAD8AAIAAAAAAADwvwI6I0p7gy/9vwIxCKwcWmTXPwAAAAAYAAAA/AgA/AACAAAAAAAA8L8CAAAAAAAA8L8CDCQofoy5/78AAAAAGAAAAPwIAPwAAgAAAAAAAPC/AlpkO99PjQRAAs3MzMzMzPQ/AAAAABwAAAD8CAD8AAIAAAAAAADwvwKOl24Sg8AHQALVCWgibHiqvwAAAAAYAAAA/AgA/AACAAAAAAAA8L8C5WGh1jRvCcACqOhILv8hvb8AAAAAGAAAAPwIAPwAAgAAAAAAAPC/AsrDQq1p3gLAAlHaG3xhsgPAAAAAABwAAAD8BAD8AAIAAAAAAADwvwJSSZ2AJsIKQAIqqRPQRFgCQAAAAAAYAAAA/AgA/AACAAAAAAAA8L8C2V92Tx6WC8ACbVZ9rrZi+L8AAAAANAAEBAAAAAAAAAAICAwEBAAAAAAMBAAEBAAAAAQQBAAEBAAAAAQUCAwEBAAAAAgYBAAEBAAAAAwcBAAEBAAAABAgCAgEBAAAABQkBAAEBAAAABgoBAAAAAAAACAsBAAEBAAAABgcCAgEBAAAACQsCAgEBAAAAAAAAQAAAAAAAAAAAAAAAAAAAAAAAAAAAA==</t>
        </r>
      </text>
    </comment>
    <comment ref="C292" authorId="0">
      <text>
        <r>
          <rPr>
            <sz val="9"/>
            <color indexed="81"/>
            <rFont val="Tahoma"/>
            <family val="2"/>
          </rPr>
          <t>Insight iXlW00003C0000292R0841462809S00000673P00636LAocjBAQBF1NjaVRlZ2ljLmRhdGEuTW9sZWN1bGUBbQF/ARJTY2lUZWdpYy5Nb2xlY3VsZQAAAQFkAv5qAQAAAAIAAiAYAAAA/AQA/AACAAAAAAAA8L8Cs53vp8ZL/b8CutqK/WX31L8AAAAAGAAAAPwIAPwAAgAAAAAAAPC/AhPyQc9m1cc/AvJjzF1LyM8/AAAAABgAAAD8BAD8AAIAAAAAAADwvwIuIR/0bFYHwAIfFmpN8473PwAAAAAYAAAA/AQA/AACAAAAAAAA8L8C0ETY8PTKDcACgnNGlPYG9L8AAAAAIAAAAPwEAPwAAgAAAAAAAPC/Ai1DHOviNvG/Aqk1zTtOUQLAAAAAABwAAAD8CAD8AAIAAAAAAADwvwI0MzMzMzP7PwKsrdhfdk/zvwAAAAAgAAAA/AgA/AACAAAAAAAA8L8CdnEbDeAt5j8CqTXNO05RAkAAAAAAGAAAAPwEAPwAAgAAAAAAAPC/AtBE2PD0yg1AAvcGX5hMFeS/AAAAABwABAQAAAAAAAAACAQAAAAAAAAADAQAAAAAAAAAEAQAAAAAAAAEFAQAAAAAAAAEGAgAAAAAAAAUHAQAAAAAAAAAAAEAAAAAAAAAAAAAAAAAAAAAAAAAAAA=</t>
        </r>
      </text>
    </comment>
    <comment ref="C293" authorId="0">
      <text>
        <r>
          <rPr>
            <sz val="9"/>
            <color indexed="81"/>
            <rFont val="Tahoma"/>
            <family val="2"/>
          </rPr>
          <t>Insight iXlW00003C0000293R0841462809S00000674P00712LAocjBAQBF1NjaVRlZ2ljLmRhdGEuTW9sZWN1bGUBbQF/ARJTY2lUZWdpYy5Nb2xlY3VsZQAAAQFkAv5qAQAAAAIAAiQYAAAA/AgA/AACAAAAAAAA8L8CmpmZmZmZ6b8C9dvXgXNG6L8AAAAAGAAAAPwIAPwAAgAAAAAAAPC/ApqZmZmZmem/ApqZmZmZmfE/AAAAABwAAAD8CAD8AAIAAAAAAADwvwKsrdhfdk8DwAK30QDeAgn7vwAAAAAYAAAA/AgA/AACAAAAAAAA8L8Ci47k8h/S6T8Ct9EA3gIJ+78AAAAAGAAAAPwIAPwAAgAAAAAAAPC/Aqyt2F92TwPAAnNoke18PwBAAAAAABgAAAD8CAD8AAIAAAAAAADwvwI6tMh2vh8QwAL129eBc0bovwAAAAAYAAAA/AgA/AACAAAAAAAA8L8C6Gor9pddA0AC9dvXgXNG6L8AAAAAGAAAAPwIAPwAAgAAAAAAAPC/Ajq0yHa+HxDAApqZmZmZmfE/AAAAABgAAAD8BAD8AAIAAAAAAADwvwI6tMh2vh8QQAK7uI0G8Bb7vwAAAAAkAAQICAQEAAAAAAgEAAQEAAAAAAwEAAAAAAAABBAEAAQEAAAACBQICAQEAAAADBgIDAAAAAAAEBwICAQEAAAAGCAEAAAAAAAAFBwEAAQEAAAAAAABAAAAAAAAAAAAAAAAAAAAAAAAAAAA</t>
        </r>
      </text>
    </comment>
    <comment ref="C294" authorId="0">
      <text>
        <r>
          <rPr>
            <sz val="9"/>
            <color indexed="81"/>
            <rFont val="Tahoma"/>
            <family val="2"/>
          </rPr>
          <t>Insight iXlW00003C0000294R0841462809S00000675P00648LAocjBAQBF1NjaVRlZ2ljLmRhdGEuTW9sZWN1bGUBbQF/ARJTY2lUZWdpYy5Nb2xlY3VsZQAAAQFkAv5qAQAAAAIAAiAYAAAA/AgA/AACAAAAAAAA8L8CMuauJeSDxj8ChXzQs1n15b8AAAAAHAAAAPwIAPwAAgAAAAAAAPC/Ap7vp8ZLN9G/AqOSOgFNhOU/AAAAAAEQAAAA/AQA/AACAAAAAAAA8L8CY3/ZPXlY7r8CXkvIBz2b+L8AAAAAHAAAAPwEAPwAAgAAAAAAAPC/AlpkO99Pjfg/AgfwFkhQ/PG/AAAAABgAAAD8CAD8AAIAAAAAAADwvwIVHcnlP6T7vwKjkjoBTYTlPwAAAAAYAAAA/AgA/AACAAAAAAAA8L8C9GxWfa42AcAChXzQs1n15b8AAAAAGAAAAPwEAPwAAgAAAAAAAPC/AtPe4AuTqQRAAm8Sg8DKocW/AAAAABgAAAD8BAD8AAIAAAAAAADwvwLT3uALk6kEwALNzMzMzMz8PwAAAAAgAAQICAQEAAAAAAgEAAQEAAAAAAwEAAAAAAAABBAEAAQEAAAACBQEAAQEAAAADBgEAAAAAAAAEBwEAAAAAAAAEBQICAQEAAAAAAABAAAAAAAAAAAAAAAAAAAAAAAAAAAA</t>
        </r>
      </text>
    </comment>
    <comment ref="C295" authorId="0">
      <text>
        <r>
          <rPr>
            <sz val="9"/>
            <color indexed="81"/>
            <rFont val="Tahoma"/>
            <family val="2"/>
          </rPr>
          <t>Insight iXlW00003C0000295R0841462809S00000676P00924LAocjBAQBF1NjaVRlZ2ljLmRhdGEuTW9sZWN1bGUBbQF/ARJTY2lUZWdpYy5Nb2xlY3VsZQAAAQFkAv5qAQAAAAIAAjAYAAAA/AgA/AACAAAAAAAA8L8CYcPTK2UZ0r8CjErqBDQRxr8AAAAAGAAAAPwIAPwAAgAAAAAAAPC/AnyDL0ymCvI/Am14eqUsQ5y/AAAAABwAAAD8CAD8AAIAAAAAAADwvwKOl24Sg8DzvwL77evAOSPsPwAAAAAYAAAA/AgA/AACAAAAAAAA8L8CBOeMKO0N8L8C48eYu5aQ9r8AAAAAGAAAAPwIAPwAAgAAAAAAAPC/AigPC7Wmefs/AuviNhrAW/Q/AAAAABgAAAD8CAD8AAIAAAAAAADwvwIbL90kBoH/PwIwTKYKRiXzvwAAAAAYAAAA/AgA/AACAAAAAAAA8L8CZF3cRgN4BMACQs9m1edq0z8AAAAAARAAAAD8BAD8AAIAAAAAAADwvwLyY8xdS0gDwAKLjuTyH9LxvwAAAAAYAAAA/AgA/AACAAAAAAAA8L8C9GxWfa42CUAC48eYu5aQ9j8AAAAAGAAAAPwIAPwAAgAAAAAAAPC/AjQzMzMzMwtAAktZhjjWxfC/AAAAABwAAAD8BAD8AAIAAAAAAADwvwKjI7n8h3QOwALi6ZWyDHHwPwAAAAAYAAAA/AgA/AACAAAAAAAA8L8CQs9m1efqD0AC8mPMXUvIzz8AAAAANAAEBAAAAAAAAAAIBAAEBAAAAAAMCAwEBAAAAAQQBAAEBAAAAAQUCAwEBAAAAAgYCAwEBAAAAAwcBAAEBAAAABAgCAgEBAAAABQkBAAEBAAAABgoBAAAAAAAACAsBAAEBAAAABgcBAAEBAAAACQsCAgEBAAAAAAAAQAAAAAAAAAAAAAAAAAAAAAAAAAAAA==</t>
        </r>
      </text>
    </comment>
    <comment ref="C296" authorId="0">
      <text>
        <r>
          <rPr>
            <sz val="9"/>
            <color indexed="81"/>
            <rFont val="Tahoma"/>
            <family val="2"/>
          </rPr>
          <t>Insight iXlW00003C0000296R0841462809S00000677P00792LAocjBAQBF1NjaVRlZ2ljLmRhdGEuTW9sZWN1bGUBbQF/ARJTY2lUZWdpYy5Nb2xlY3VsZQAAAQFkAv5qAQAAAAIAAigYAAAA/AgA/AACAAAAAAAA8L8Cq8/VVuwv5T8CXynLEMe65j8AAAAAGAAAAPwIAPwAAgAAAAAAAPC/AqvP1VbsL+U/Al8pyxDHuua/AAAAABwAAAD8CAD8AAIAAAAAAADwvwJ+rrZif9nlvwJhVFInoInyPwAAAAAYAAAA/AgA/AACAAAAAAAA8L8CW0I+6Nms/j8CTDeJQWDl9j8AAAAAHAAAAPwIAPwAAgAAAAAAAPC/An6utmJ/2eW/AmFUUiegifK/AAAAABgAAAD8CAD8AAIAAAAAAADwvwJbQj7o2az+PwJMN4lBYOX2vwAAAAAYAAAA/AgA/AACAAAAAAAA8L8C5tAi2/l++L8CYAfOGVHaa78AAAAAGAAAAPwIAPwAAgAAAAAAAPC/AjEqqRPQRAlAAl8pyxDHuuY/AAAAABgAAAD8CAD8AAIAAAAAAADwvwIxKqkT0EQJQAJfKcsQx7rmvwAAAAAcAAAA/AQA/AACAAAAAAAA8L8CylTBqKTOB8ACYAfOGVHaa78AAAAALAAECAgEBAAAAAAIBAAEBAAAAAAMBAAEBAAAAAQQBAAEBAAAAAQUBAAEBAAAAAgYBAAEBAAAAAwcCAgEBAAAABQgCAgEBAAAABgkBAAAAAAAABAYCAgEBAAAABwgBAAEBAAAAAAAAQAAAAAAAAAAAAAAAAAAAAAAAAAAAA==</t>
        </r>
      </text>
    </comment>
    <comment ref="C297" authorId="0">
      <text>
        <r>
          <rPr>
            <sz val="9"/>
            <color indexed="81"/>
            <rFont val="Tahoma"/>
            <family val="2"/>
          </rPr>
          <t>Insight iXlW00003C0000297R0841462809S00000678P00700LAocjBAQBF1NjaVRlZ2ljLmRhdGEuTW9sZWN1bGUBbQF/ARJTY2lUZWdpYy5Nb2xlY3VsZQAAAQFkAv5qAQAAAAIAAiQcAAAA/AgA/AACAAAAAAAA8L8CX5hMFYxK5j8CPSzUmuYd7z8AAAAAGAAAAPwEAPwAAgAAAAAAAPC/AlqGONbFbeK/AiS5/If029O/AAAAABgAAAD8CAD8AAIAAAAAAADwvwLZX3ZPHpYDQALi6ZWyDHHgPwAAAAAYAAAA/AwA/AACAAAAAAAA8L8Cc/kP6bcvAcACSnuDL0ym4j8AAAAAGAAAAPwEAPwAAgAAAAAAAPC/AhIUP8bctfm/As3MzMzMzPy/AAAAABgAAAD8BAD8AAIAAAAAAADwvwKDUUmdgCbqPwIbL90kBoH3vwAAAAAYAAAA/AQA/AACAAAAAAAA8L8C0ETY8PTKDUACzczMzMzM/D8AAAAAIAAAAPwIAPwAAgAAAAAAAPC/AiQofoy5awdAAhkEVg4tsvO/AAAAABwAAAD8DAD8AAIAAAAAAADwvwLQRNjw9MoNwAKXkA96Nqv3PwAAAAAgAAQEAAAAAAAAAAgEAAAAAAAABAwEAAAAAAAABBAEAAAAAAAABBQEAAAAAAAACBgEAAAAAAAACBwIAAAAAAAADCAMAAAAAAAAAAABAAAAAAAAAAAAAAAAAAAAAAAAAAAA</t>
        </r>
      </text>
    </comment>
    <comment ref="C298" authorId="0">
      <text>
        <r>
          <rPr>
            <sz val="9"/>
            <color indexed="81"/>
            <rFont val="Tahoma"/>
            <family val="2"/>
          </rPr>
          <t>Insight iXlW00003C0000298R0841462809S00000679P00700LAocjBAQBF1NjaVRlZ2ljLmRhdGEuTW9sZWN1bGUBbQF/ARJTY2lUZWdpYy5Nb2xlY3VsZQAAAQFkAv5qAQAAAAIAAiQYAAAA/AgA/AACAAAAAAAA8L8CBhIUP8bc8z8CyzLEsS5usz8AAAAAGAAAAPwEAPwAAgAAAAAAAPC/AiFB8WPMXbu/AtWa5h2n6Ny/AAAAABwAAAD8CAD8AAIAAAAAAADwvwJDPujZrPoCQAJdbcX+snvqvwAAAAAgAAAA/AgA/AACAAAAAAAA8L8CKjqSy39I9z8CeXqlLEMc+D8AAAAAGAAAAPwEAPwAAgAAAAAAAPC/AgYSFD/G3PO/AtWa5h2n6Nw/AAAAABgAAAD8BAD8AAIAAAAAAADwvwLQRNjw9MoNQAIll/+QfvvSvwAAAAAYAAAA/AQA/AACAAAAAAAA8L8CD5wzorS3BMACyzLEsS5us78AAAAAGAAAAPwEAPwAAgAAAAAAAPC/AtBE2PD0yg3AAl1txf6ye+o/AAAAACAAAAD8BAD8AAIAAAAAAADwvwKjI7n8h3QGwAJ5eqUsQxz4vwAAAAAgAAQEAAAAAAAAAAgEAAAAAAAAAAwIAAAAAAAABBAEAAAAAAAACBQEAAAAAAAAEBgEAAAAAAAAGBwEAAAAAAAAGCAEAAAAAAAAAAABAAAAAAAAAAAAAAAAAAAAAAAAAAAA</t>
        </r>
      </text>
    </comment>
    <comment ref="C299" authorId="0">
      <text>
        <r>
          <rPr>
            <sz val="9"/>
            <color indexed="81"/>
            <rFont val="Tahoma"/>
            <family val="2"/>
          </rPr>
          <t>Insight iXlW00003C0000299R0841462809S00000680P00920LAocjBAQBF1NjaVRlZ2ljLmRhdGEuTW9sZWN1bGUBbQF/ARJTY2lUZWdpYy5Nb2xlY3VsZQAAAQFkAv5qAQAAAAIAAjAYAAAA/AgA/AACAAAAAAAA8L8CxNMrZRni4L8CtoR80LNZ3T8AAAAAGAAAAPwIAPwAAgAAAAAAAPC/AouO5PIf0uk/AiS5/If029O/AAAAABgAAAD8CAD8AAIAAAAAAADwvwLFsS5uowH/vwKrPldbsb/EvwAAAAAcAAAA/AgA/AACAAAAAAAA8L8CX5hMFYxK5r8CDCQofoy5/z8AAAAAGAAAAPwIAPwAAgAAAAAAAPC/AjY8vVKWIQFAAraEfNCzWd0/AAAAABgAAAD8CAD8AAIAAAAAAADwvwKLjuTyH9LpPwIcDeAtkKD9vwAAAAAYAAAA/AgA/AACAAAAAAAA8L8CjpduEoPAB8ACaW/whclU8D8AAAAAHAAAAPwIAPwAAgAAAAAAAPC/AljKMsSxrgHAAhueXinLkAJAAAAAABgAAAD8CAD8AAIAAAAAAADwvwIQC7WmeccLQAIkufyH9NvTvwAAAAAYAAAA/AgA/AACAAAAAAAA8L8CNjy9UpYhAUACBHgLJCj+BMAAAAAAHAAAAPwEAPwAAgAAAAAAAPC/AsE5I0p7AxLAAvMf0m9fB+w/AAAAABgAAAD8CAD8AAIAAAAAAADwvwIQC7WmeccLQAIcDeAtkKD9vwAAAAA0AAQEAAAAAAAAAAgEAAQEAAAAAAwIDAQEAAAABBAIDAQEAAAABBQEAAQEAAAACBgIDAQEAAAADBwEAAQEAAAAECAEAAQEAAAAFCQICAQEAAAAGCgEAAAAAAAAICwICAQEAAAAGBwEAAQEAAAAJCwEAAQEAAAAAAABAAAAAAAAAAAAAAAAAAAAAAAAAAAA</t>
        </r>
      </text>
    </comment>
    <comment ref="C300" authorId="0">
      <text>
        <r>
          <rPr>
            <sz val="9"/>
            <color indexed="81"/>
            <rFont val="Tahoma"/>
            <family val="2"/>
          </rPr>
          <t>Insight iXlW00003C0000300R0841462809S00000681P01176LAocjBAQBF1NjaVRlZ2ljLmRhdGEuTW9sZWN1bGUBbQF/ARJTY2lUZWdpYy5Nb2xlY3VsZQAAAQFkAv5qAQAAAAIAAgEQGAAAAPwIAPwAAgAAAAAAAPC/AiqpE9BEWAJAAsuhRbbz/dC/AAAAABwAAAD8BAD8AAIAAAAAAADwvwJkXdxGA3j0PwJpke18PzXivwAAAAAYAAAA/AgA/AACAAAAAAAA8L8C3NeBc0aUCEACAAAAAAAA8L8AAAAAGAAAAPwIAPwAAgAAAAAAAPC/Ampv8IXJVARAAu0NvjCZKug/AAAAABgAAAD8BAD8AAIAAAAAAADwvwIIzhlR2hvgPwJhw9MrZRnCPwAAAAAYAAAA/AgA/AACAAAAAAAA8L8CyQc9m1VfEEAChXzQs1n15b8AAAAAGAAAAPwIAPwAAgAAAAAAAPC/Ah6n6EgufwxAAse6uI0G8PA/AAAAABgAAAD8BAD8AAIAAAAAAADwvwIIzhlR2hvgvwJhw9MrZRnCvwAAAAAYAAAA/AgA/AACAAAAAAAA8L8CqaROQBNhEUACnMQgsHJo1T8AAAAAHAAAAPwEAPwAAgAAAAAAAPC/AmRd3EYDePS/AmmR7Xw/NeI/AAAAABgAAAD8CAD8AAIAAAAAAADwvwIqqRPQRFgCwALLoUW28/3QPwAAAAAYAAAA/AgA/AACAAAAAAAA8L8C3NeBc0aUCMABAAAAABgAAAD8CAD8AAIAAAAAAADwvwJqb/CFyVQEwALtDb4wmSrovwAAAAAYAAAA/AgA/AACAAAAAAAA8L8CyQc9m1VfEMAChXzQs1n15T8AAAAAGAAAAPwIAPwAAgAAAAAAAPC/Ah6n6EgufwzAAse6uI0G8PC/AAAAABgAAAD8CAD8AAIAAAAAAADwvwKppE5AE2ERwAKcxCCwcmjVvwAAAAABEQAEBAAAAAAAAAAICAwEBAAAAAAMBAAEBAAAAAQQBAAAAAAAAAgUBAAEBAAAAAwYCAgEBAAAABAcBAAAAAAAABQgCAgEBAAAABwkBAAAAAAAACQoBAAAAAAAACgsCAwEBAAAACgwBAAEBAAAACw0BAAEBAAAADA4CAgEBAAAADQ8CAgEBAAAABggBAAEBAAAADg8BAAEBAAAAAAAAQAAAAAAAAAAAAAAAAAAAAAAAAAAAA==</t>
        </r>
      </text>
    </comment>
    <comment ref="C301" authorId="0">
      <text>
        <r>
          <rPr>
            <sz val="9"/>
            <color indexed="81"/>
            <rFont val="Tahoma"/>
            <family val="2"/>
          </rPr>
          <t>Insight iXlW00003C0000301R0841462809S00000682P00780LAocjBAQBF1NjaVRlZ2ljLmRhdGEuTW9sZWN1bGUBbQF/ARJTY2lUZWdpYy5Nb2xlY3VsZQAAAQFkAv5qAQAAAAIAAigYAAAA/AgA/AACAAAAAAAA8L8CyzLEsS5usz8CRIts5/upob8AAAAAGAAAAPwIAPwAAgAAAAAAAPC/AssyxLEubrM/Aq8l5IOeTQBAAAAAABwAAAD8CAD8AAIAAAAAAADwvwKFfNCzWfX9PwK4rwPnjCjxvwAAAAAYAAAA/AQA/AACAAAAAAAA8L8CnaIjufyH+78CuK8D54wo8b8AAAAAGAAAAPwIAPwAAgAAAAAAAPC/AoV80LNZ9f0/AhiV1AlooghAAAAAABgAAAD8CAD8AAIAAAAAAADwvwKppE5AE2ENQAJEi2zn+6mhvwAAAAAYAAAA/AQA/AACAAAAAAAA8L8CP1dbsb/s8r8CGJXUCWiiCMAAAAAAGAAAAPwEAPwAAgAAAAAAAPC/AqmkTkATYQ3AAtnw9EpZhvy/AAAAACAAAAD8BAD8AAIAAAAAAADwvwJLWYY41sUEwAKLjuTyH9LpPwAAAAAYAAAA/AgA/AACAAAAAAAA8L8CqaROQBNhDUACryXkg55NAEAAAAAAKAAECAgEBAAAAAAIBAAEBAAAAAAMBAAAAAAAAAQQBAAEBAAAAAgUCAgEBAAAAAwYBAAAAAAAAAwcBAAAAAAAAAwgBAAAAAAAABAkCAgEBAAAABQkBAAEBAAAAAAAAQAAAAAAAAAAAAAAAAAAAAAAAAAAAA==</t>
        </r>
      </text>
    </comment>
    <comment ref="C302" authorId="0">
      <text>
        <r>
          <rPr>
            <sz val="9"/>
            <color indexed="81"/>
            <rFont val="Tahoma"/>
            <family val="2"/>
          </rPr>
          <t>Insight iXlW00003C0000302R0841462809S00000683P00716LAocjBAQBF1NjaVRlZ2ljLmRhdGEuTW9sZWN1bGUBbQF/ARJTY2lUZWdpYy5Nb2xlY3VsZQAAAQFkAv5qAQAAAAIAAiQYAAAA/AgA/AACAAAAAAAA8L8CeXqlLEMc8L8CHxZqTfOO3z8AAAAAGAAAAPwIAPwAAgAAAAAAAPC/AvXb14FzRug/Al8pyxDHuri/AAAAABgAAAD8CAD8AAIAAAAAAADwvwK4rwPnjCj5vwLo2az6XG0CQAAAAAABEAAAAPwEAPwAAgAAAAAAAPC/AspUwaikzgPAAmFUUiegieK/AAAAABwAAAD8CAD8AAIAAAAAAADwvwKUGARWDq0CQALc14FzRpTsPwAAAAAgAAAA/AgA/AACAAAAAAAA8L8CEjY8vVKW6z8Co7Q3+MJk/78AAAAAGAAAAPwIAPwAAgAAAAAAAPC/AiQofoy5awvAAujZrPpcbQJAAAAAABgAAAD8CAD8AAIAAAAAAADwvwIGEhQ/xtwPwAK0yHa+nxrhPwAAAAAYAAAA/AQA/AACAAAAAAAA8L8CBhIUP8bcD0ACIv32deCckT8AAAAAJAAEBAAAAAAAAAAICAwEBAAAAAAMBAAEBAAAAAQQBAAAAAAAAAQUCAAAAAAAAAgYBAAEBAAAAAwcBAAEBAAAABAgBAAAAAAAABgcCAgEBAAAAAAAAQAAAAAAAAAAAAAAAAAAAAAAAAAAAA==</t>
        </r>
      </text>
    </comment>
    <comment ref="C303" authorId="0">
      <text>
        <r>
          <rPr>
            <sz val="9"/>
            <color indexed="81"/>
            <rFont val="Tahoma"/>
            <family val="2"/>
          </rPr>
          <t>Insight iXlW00003C0000303R0841462809S00000684P00792LAocjBAQBF1NjaVRlZ2ljLmRhdGEuTW9sZWN1bGUBbQF/ARJTY2lUZWdpYy5Nb2xlY3VsZQAAAQFkAv5qAQAAAAIAAigYAAAA/AgA/AACAAAAAAAA8L8CescpOpLLxz8CpixDHOvitj8AAAAAHAAAAPwIAPwAAgAAAAAAAPC/As1dS8gHPeU/AspUwaikTug/AAAAAAEQAAAA/AQA/AACAAAAAAAA8L8CzV1LyAc95T8C9dvXgXNG4r8AAAAAGAAAAPwEAPwAAgAAAAAAAPC/AqabxCCwcuS/AqYsQxzr4rY/AAAAABgAAAD8CAD8AAIAAAAAAADwvwLkFB3J5T/3PwLmP6Tfvg7gPwAAAAAYAAAA/AgA/AACAAAAAAAA8L8C5BQdyeU/9z8CldQJaCJs1L8AAAAAGAAAAPwEAPwAAgAAAAAAAPC/AuQUHcnlP/e/AqYsQxzr4qa/AAAAABgAAAD8BAD8AAIAAAAAAADwvwK1yHa+nxr1vwIKaCJseHrrvwAAAAAYAAAA/AQA/AACAAAAAAAA8L8CKVyPwvUo4L8CjSjtDb4w578AAAAAIAAAAPwEAPwAAgAAAAAAAPC/Ar8OnDOitO2/AgpoImx4eus/AAAAACwABAgIBAQAAAAACAQABAQAAAAADAQAAAAAAAAEEAQABAQAAAAIFAQABAQAAAAQFAgIBAQAAAAMGAQABAAAAAAYHAQABAAAAAAcIAQABAAAAAAgDAQABAAAAAAMJAQAAAAAAAAAAAEAAAAAAAAAAAAAAAAAAAAAAAAAAAA=</t>
        </r>
      </text>
    </comment>
    <comment ref="C304" authorId="0">
      <text>
        <r>
          <rPr>
            <sz val="9"/>
            <color indexed="81"/>
            <rFont val="Tahoma"/>
            <family val="2"/>
          </rPr>
          <t>Insight iXlW00003C0000304R0841462809S00000685P01040LAocjBAQBF1NjaVRlZ2ljLmRhdGEuTW9sZWN1bGUBbQF/ARJTY2lUZWdpYy5Nb2xlY3VsZQAAAQFkAv5qAQAAAAIAAjgYAAAA/AgA/AACAAAAAAAA8L8C4QuTqYKRFkACj1N0JJd/AUAAAAAAHAAAAPwIAPwAAgAAAAAAAPC/AhE2PL1SFhFAAusENBE2PPk/AAAAACAAAAD8CAD8AAIAAAAAAADwvwL9GHPXEjIXQAJ0tRX7y24NQAAAAAAgAAAA/AQA/AACAAAAAAAA8L8CldQJaCJsG0ACiIVa07zj9D8AAAAAARAAAAD8BAD8AAIAAAAAAADwvwKXIY51cRv6PwI/V1uxv+z/PwAAAAAcAAAA/AgA/AACAAAAAAAA8L8CAAAAAAAA6D8CQRNhw9OrCUAAAAAAGAAAAPwIAPwAAgAAAAAAAPC/ApchjnVxG/o/AlVSJ6CJsBFAAAAAABwAAAD8CAD8AAIAAAAAAADwvwK62or9ZXcIQAJBE2HD06sPQAAAAAAYAAAA/AgA/AACAAAAAAAA8L8CutqK/WV3CEACQRNhw9OrA0AAAAAAGAAAAPwEAPwAAgAAAAAAAPC/AlVSJ6CJsPI/Akw3iUFgZRdAAAAAABgAAAD8BAD8AAIAAAAAAADwvwLByqFFtnMgQAK8Jw8Ltab+PwAAAAAYAAAA/AQA/AACAAAAAAAA8L8CSS7/If1WIkACAAAAAAAA6D8AAAAAGAAAAPwEAPwAAgAAAAAAAPC/Aqrx0k1i8CJAAvCnxks3CQZAAAAAABgAAAD8BAD8AAIAAAAAAADwvwKRD3o2q/4dQAKLjuTyH9IJQAAAAAA4AAQEAAAAAAAAAAgIAAAAAAAAAAwEAAAAAAAAEBQEAAQEAAAAFBgICAQEAAAAGBwEAAQEAAAAHCAICAQEAAAAECAEAAQEAAAAGCQEAAAAAAAABCAEAAAAAAAAKCwEAAAAAAAAKDAEAAAAAAAAKDQEAAAAAAAADCgEAAAAAAAAAAABAAAAAAAAAAAAAAAAAAAAAAAAAAAA</t>
        </r>
      </text>
    </comment>
    <comment ref="C305" authorId="0">
      <text>
        <r>
          <rPr>
            <sz val="9"/>
            <color indexed="81"/>
            <rFont val="Tahoma"/>
            <family val="2"/>
          </rPr>
          <t>Insight iXlW00003C0000305R0841462809S00000686P00976LAocjBAQBF1NjaVRlZ2ljLmRhdGEuTW9sZWN1bGUBbQF/ARJTY2lUZWdpYy5Nb2xlY3VsZQAAAQFkAv5qAQAAAAIAAjQYAAAA/AgA/AACAAAAAAAA8L8CSOF6FK5H6b8CzczMzMzM3L8AAAAAHAAAAPwIAPwAAgAAAAAAAPC/ArkehetRuK6/AnE9CtejcOW/AAAAABgAAAD8CAD8AAIAAAAAAADwvwJSuB6F61HgPwKkcD0K16PAvwAAAAAcAAAA/AgA/AACAAAAAAAA8L8CexSuR+F68L8CSOF6FK5H0T8AAAAAARAAAAD8BAD8AAIAAAAAAADwvwLiehSuR+H2vwLD9Shcj8LtvwAAAAAgAAAA/AQA/AACAAAAAAAA8L8CKVyPwvUo9D8CC9ejcD0K178AAAAAGAAAAPwIAPwAAgAAAAAAAPC/AkjhehSuR/2/AkjhehSuR9E/AAAAACAAAAD8CAD8AAIAAAAAAADwvwIfhetRuB7VPwLXo3A9CtfjPwAAAAAYAAAA/AgA/AACAAAAAAAA8L8CpHA9CtejAMACzczMzMzM3L8AAAAAGAAAAPwEAPwAAgAAAAAAAPC/AvYoXI/C9fw/AsP1KFyPwsU/AAAAABgAAAD8BAD8AAIAAAAAAADwvwJ7FK5H4Xr0PwIL16NwPQrnPwAAAAAYAAAA/AQA/AACAAAAAAAA8L8CexSuR+F6BEACexSuR+F6pL8AAAAAGAAAAPwEAPwAAgAAAAAAAPC/AvYoXI/C9fw/AsP1KFyPwu0/AAAAADQEAAQAAAAAAAAIBAQAAAAAAAAMAAgMBAQAAAAQAAQABAQAAAAUCAQAAAAAAAAYDAQABAQAAAAcCAgAAAAAAAAgEAQABAQAAAAkFAQAAAAAAAAoJAQAAAAAAAAsJAQAAAAAAAAwJAQAAAAAAAAgGAgIBAQAAAAAAAEAAAAAAAAAAAAAAAAAAAAAAAAAAAA=</t>
        </r>
      </text>
    </comment>
    <comment ref="C306" authorId="0">
      <text>
        <r>
          <rPr>
            <sz val="9"/>
            <color indexed="81"/>
            <rFont val="Tahoma"/>
            <family val="2"/>
          </rPr>
          <t>Insight iXlW00003C0000306R0841462809S00000687P00920LAocjBAQBF1NjaVRlZ2ljLmRhdGEuTW9sZWN1bGUBbQF/ARJTY2lUZWdpYy5Nb2xlY3VsZQAAAQFkAv5qAQAAAAIAAjAcAAAA/AgA/AACAAAAAAAA8L8CNDMzMzNzGUACZ2ZmZmYmFMAAAAAAGAAAAPwIAPwAAgAAAAAAAPC/AtfFbTSAdxhAAqOSOgFNRBHAAAAAACAAAAD8CAD8AAIAAAAAAADwvwIAAAAAAIAVQAIqOpLLf0gRwAAAAAAcAAAA/AgA/AACAAAAAAAA8L8Co5I6AU0EF0ACPSzUmubdFcAAAAAAGAAAAPwIAPwAAgAAAAAAAPC/AnBfB84ZkRRAAmdmZmZmJhTAAAAAABgAAAD8CAD8AAIAAAAAAADwvwIAAAAAAEAaQALgvg6cM6INwAAAAAAYAAAA/AQA/AACAAAAAAAA8L8C1sVtNIC3EUACmpmZmZkZFcAAAAAAGAAAAPwIAPwAAgAAAAAAAPC/AgAAAAAAABlAAuC+DpwzIgjAAAAAABgAAAD8CAD8AAIAAAAAAADwvwIAAAAAAEAdQAJ6WKg1zTsOwAAAAAAYAAAA/AgA/AACAAAAAAAA8L8C18VtNIC3GkACelioNc07A8AAAAAAGAAAAPwIAPwAAgAAAAAAAPC/AgAAAAAAAB9AAs3MzMzMTAnAAAAAABgAAAD8CAD8AAIAAAAAAADwvwIAAAAAAMAdQALNzMzMzMwDwAAAAAA0BAAICAQEAAAACAQEAAQEAAAADAAEAAQEAAAAEAwIDAQEAAAAFAQEAAAAAAAAGBAEAAAAAAAAHBQEAAQEAAAAIBQIDAQEAAAAJBwICAQEAAAAKCAEAAQEAAAALCgICAQEAAAACBAEAAQEAAAAJCwEAAQEAAAAAAABAAAAAAAAAAAAAAAAAAAAAAAAAAAA</t>
        </r>
      </text>
    </comment>
    <comment ref="C307" authorId="0">
      <text>
        <r>
          <rPr>
            <sz val="9"/>
            <color indexed="81"/>
            <rFont val="Tahoma"/>
            <family val="2"/>
          </rPr>
          <t>Insight iXlW00003C0000307R0841462809S00000688P00920LAocjBAQBF1NjaVRlZ2ljLmRhdGEuTW9sZWN1bGUBbQF/ARJTY2lUZWdpYy5Nb2xlY3VsZQAAAQFkAv5qAQAAAAIAAjAcAAAA/AQA/AACAAAAAAAA8L8CXW3F/rJ78r8CUB4Wak3z5r8AAAAAGAAAAPwIAPwAAgAAAAAAAPC/Amu8dJMYBN4/AjtwzojS3uK/AAAAABgAAAD8BAD8AAIAAAAAAADwvwISFD/G3LUBwALT3uALk6ngPwAAAAAcAAAA/AgA/AACAAAAAAAA8L8CvjCZKhgVAMACCYofY+7aAMAAAAAAGAAAAPwIAPwAAgAAAAAAAPC/AlJJnYAmwvI/Avvt68A5I+w/AAAAABgAAAD8CAD8AAIAAAAAAADwvwLu68A5I0r2PwLByqFFtvP+vwAAAAAYAAAA/AQA/AACAAAAAAAA8L8C0ETY8PTKDcACmpmZmZmZub8AAAAAGAAAAPwEAPwAAgAAAAAAAPC/ArOd76fGS/2/AgmKH2Pu2gBAAAAAABgAAAD8CAD8AAIAAAAAAADwvwJLWYY41sUMwAKhibDh6ZX7vwAAAAAYAAAA/AgA/AACAAAAAAAA8L8CZ2ZmZmZmBkACeXqlLEMc8D8AAAAAGAAAAPwIAPwAAgAAAAAAAPC/Avvt68A5IwhAAkku/yH99vy/AAAAABgAAAD8CAD8AAIAAAAAAADwvwLQRNjw9MoNQAKcxCCwcmjVvwAAAAA0AAQEAAAAAAAAAAgEAAQAAAAAAAwEAAQAAAAABBAIDAQEAAAABBQEAAQEAAAACBgEAAQAAAAACBwEAAAAAAAADCAICAQAAAAAECQEAAQEAAAAFCgICAQEAAAAJCwICAQEAAAAGCAEAAQAAAAAKCwEAAQEAAAAAAABAAAAAAAAAAAAAAAAAAAAAAAAAAAA</t>
        </r>
      </text>
    </comment>
    <comment ref="C308" authorId="0">
      <text>
        <r>
          <rPr>
            <sz val="9"/>
            <color indexed="81"/>
            <rFont val="Tahoma"/>
            <family val="2"/>
          </rPr>
          <t>Insight iXlW00003C0000308R0841462809S00000689P00712LAocjBAQBF1NjaVRlZ2ljLmRhdGEuTW9sZWN1bGUBbQF/ARJTY2lUZWdpYy5Nb2xlY3VsZQAAAQFkAv5qAQAAAAIAAiQYAAAA/AgA/AACAAAAAAAA8L8CutqK/WV3CEACMQisHFpkAEAAAAAAHAAAAPwIAPwAAgAAAAAAAPC/AgAAAAAAAOg/AjEIrBxaZAZAAAAAABwAAAD8CAD8AAIAAAAAAADwvwLvycNCrWkBQALSb18HzhkKQAAAAAAYAAAA/AgA/AACAAAAAAAA8L8CXW3F/rI7EkACMQisHFpkAEAAAAAAHAAAAPwIAPwAAgAAAAAAAPC/AgAAAAAAAOg/AmMQWDm0yPQ/AAAAABgAAAD8CAD8AAIAAAAAAADwvwLvycNCrWkBQAIj2/l+arzqPwAAAAAgAAAA/AgA/AACAAAAAAAA8L8CXW3F/rI7FUACm+Ydp+jICkAAAAAAIAAAAPwEAPwAAgAAAAAAAPC/Al1txf6yOxVAAgAAAAAAAOg/AAAAABgAAAD8BAD8AAIAAAAAAADwvwJdbcX+sjsbQAIAAAAAAADoPwAAAAAkBAgICAQEAAAACAAEAAQEAAAADAAEAAAAAAAAEBQEAAQEAAAAFAAICAQEAAAAGAwIAAAAAAAAHAwEAAAAAAAAIBwEAAAAAAAABBAEAAQEAAAAAAABAAAAAAAAAAAAAAAAAAAAAAAAAAAA</t>
        </r>
      </text>
    </comment>
    <comment ref="C309" authorId="0">
      <text>
        <r>
          <rPr>
            <sz val="9"/>
            <color indexed="81"/>
            <rFont val="Tahoma"/>
            <family val="2"/>
          </rPr>
          <t>Insight iXlW00003C0000309R0841462809S00000690P00712LAocjBAQBF1NjaVRlZ2ljLmRhdGEuTW9sZWN1bGUBbQF/ARJTY2lUZWdpYy5Nb2xlY3VsZQAAAQFkAv5qAQAAAAIAAiQYAAAA/AgA/AACAAAAAAAA8L8CW0I+6Nms3r8CidLe4AuT3T8AAAAAGAAAAPwIAPwAAgAAAAAAAPC/AqOSOgFNhOU/AnxhMlUwKsm/AAAAABgAAAD8CAD8AAIAAAAAAADwvwIukKD4MebevwLZ8PRKWYb8PwAAAAAgAAAA/AgA/AACAAAAAAAA8L8CfIMvTKYK+r8Ce6UsQxzryr8AAAAAIAAAAPwEAPwAAgAAAAAAAPC/AsKopE5AE/0/AnpYqDXNO94/AAAAACAAAAD8CAD8AAIAAAAAAADwvwKNuWsJ+aDlPwJqb/CFyVT4vwAAAAAYAAAA/AgA/AACAAAAAAAA8L8CbHh6pSxDBsAC6Pup8dJN/D8AAAAAHAAAAPwIAPwAAgAAAAAAAPC/AjC7Jw8LNQbAAsb+snvysNw/AAAAABgAAAD8BAD8AAIAAAAAAADwvwJR2ht8YbIHQAIT8kHPZtXHvwAAAAAkAAQEAAAAAAAAAAgIDAQEAAAAAAwEAAQEAAAABBAEAAAAAAAABBQIAAAAAAAACBgEAAQEAAAADBwEAAQEAAAAECAEAAAAAAAAGBwICAQEAAAAAAABAAAAAAAAAAAAAAAAAAAAAAAAAAAA</t>
        </r>
      </text>
    </comment>
    <comment ref="C310" authorId="0">
      <text>
        <r>
          <rPr>
            <sz val="9"/>
            <color indexed="81"/>
            <rFont val="Tahoma"/>
            <family val="2"/>
          </rPr>
          <t>Insight iXlW00003C0000310R0841462809S00000691P00716LAocjBAQBF1NjaVRlZ2ljLmRhdGEuTW9sZWN1bGUBbQF/ARJTY2lUZWdpYy5Nb2xlY3VsZQAAAQFkAv5qAQAAAAIAAiQYAAAA/AgA/AACAAAAAAAA8L8CAAAAAAAAEkACMQisHFpkAEAAAAAAHAAAAPwIAPwAAgAAAAAAAPC/AmaIY13chhVAAiPb+X5qvOo/AAAAAAEQAAAA/AQA/AACAAAAAAAA8L8CZohjXdyGFUAC0m9fB84ZCkAAAAAAGAAAAPwIAPwAAgAAAAAAAPC/AgAAAAAAAAhAAjEIrBxaZABAAAAAABgAAAD8CAD8AAIAAAAAAADwvwJdbcX+sjsbQAJjEFg5tMj0PwAAAAAYAAAA/AgA/AACAAAAAAAA8L8CXW3F/rI7G0ACMQisHFpkBkAAAAAAIAAAAPwEAPwAAgAAAAAAAPC/AgAAAAAAAAJAApvmHafoyApAAAAAACAAAAD8CAD8AAIAAAAAAADwvwIAAAAAAAACQAIAAAAAAADoPwAAAAAYAAAA/AQA/AACAAAAAAAA8L8CAAAAAAAA6D8Cm+Ydp+jICkAAAAAAJAQACAgEBAAAAAgABAAEBAAAAAwABAAAAAAAABAEBAAEBAAAABQIBAAEBAAAABgMBAAAAAAAABwMCAAAAAAAABAUCAgEBAAAABggBAAAAAAAAAAAAQAAAAAAAAAAAAAAAAAAAAAAAAAAAA==</t>
        </r>
      </text>
    </comment>
    <comment ref="C311" authorId="0">
      <text>
        <r>
          <rPr>
            <sz val="9"/>
            <color indexed="81"/>
            <rFont val="Tahoma"/>
            <family val="2"/>
          </rPr>
          <t>Insight iXlW00003C0000311R0841462809S00000692P00780LAocjBAQBF1NjaVRlZ2ljLmRhdGEuTW9sZWN1bGUBbQF/ARJTY2lUZWdpYy5Nb2xlY3VsZQAAAQFkAv5qAQAAAAIAAigYAAAA/AgA/AACAAAAAAAA8L8CJCh+jLmrF0AC+aBns+pz/j8AAAAAHAAAAPwIAPwAAgAAAAAAAPC/AhwN4C2QYB1AArfRAN4CCfc/AAAAABgAAAD8BAD8AAIAAAAAAADwvwJwXwfOGdESQAJjf9k9eVjwPwAAAAABEAAAAPwEAPwAAgAAAAAAAPC/AiQofoy5qxdAAn3Qs1n1OQtAAAAAABgAAAD8CAD8AAIAAAAAAADwvwIIPZtVn6sKQAKXIY51cRv6PwAAAAAYAAAA/AgA/AACAAAAAAAA8L8CwcqhRbZzIEACfdCzWfU5BUAAAAAAGAAAAPwIAPwAAgAAAAAAAPC/AhwN4C2QYB1AAuVhodY07w5AAAAAACAAAAD8CAD8AAIAAAAAAADwvwIK+aBns2oJQAKwcmiR7fwIQAAAAAAgAAAA/AQA/AACAAAAAAAA8L8CoKut2F/2AEACAAAAAAAA6D8AAAAAGAAAAPwEAPwAAgAAAAAAAPC/AgAAAAAAAOg/AjSitDf4wvU/AAAAACgEAAgMBAQAAAAIAAQAAAAAAAAMAAQABAQAAAAQCAQAAAAAAAAUBAQABAQAAAAYDAQABAQAAAAcEAgAAAAAAAAgEAQAAAAAAAAkIAQAAAAAAAAUGAgIBAQAAAAAAAEAAAAAAAAAAAAAAAAAAAAAAAAAAAA=</t>
        </r>
      </text>
    </comment>
    <comment ref="C312" authorId="0">
      <text>
        <r>
          <rPr>
            <sz val="9"/>
            <color indexed="81"/>
            <rFont val="Tahoma"/>
            <family val="2"/>
          </rPr>
          <t>Insight iXlW00003C0000312R0841462809S00000693P00848LAocjBAQBF1NjaVRlZ2ljLmRhdGEuTW9sZWN1bGUBbQF/ARJTY2lUZWdpYy5Nb2xlY3VsZQAAAQFkAv5qAQAAAAIAAiwYAAAA/AQA/AACAAAAAAAA8L8CKjqSy3/IDkACejarPlfbAUAAAAAAGAAAAPwIAPwAAgAAAAAAAPC/AhUdyeU/ZBFAAkJg5dAi2/U/AAAAACAAAAD8CAD8AAIAAAAAAADwvwIqOpLLf8gOQAIAAAAAAADgPwAAAAAgAAAA/AQA/AACAAAAAAAA8L8CFR3J5T9kFUACQmDl0CLb9T8AAAAAGAAAAPwEAPwAAgAAAAAAAPC/AhUdyeU/ZBdAAgAAAAAAAOA/AAAAABgAAAD8CAD8AAIAAAAAAADwvwKMbOf7qfH0PwJCYOXQItsFQAAAAAAcAAAA/AgA/AACAAAAAAAA8L8CTYQNT68UAkACwOyePCxUCEAAAAAAGAAAAPwIAPwAAgAAAAAAAPC/Aio6kst/yAZAAkJg5dAi2wFAAAAAAAEQAAAA/AQA/AACAAAAAAAA8L8CTYQNT68UAkAC+FPjpZvE9j8AAAAAGAAAAPwIAPwAAgAAAAAAAPC/Aoxs5/up8fQ/AoPAyqFFtvs/AAAAAAEjAAAA/AQA/AACAAAAAAAA8L8CAAAAAAAA4D8COwFNhA1P8j8AAAAALAAEBAAAAAAAAAAcBAAAAAAAAAQICAAAAAAAAAQMBAAAAAAAAAwQBAAAAAAAABQYBAAEBAAAABQkCAgEBAAAABgcCAwEBAAAABwgBAAEBAAAACAkBAAEBAAAACQoBAAAAAAAAAAAAQAAAAAAAAAAAAAAAAAAAAAAAAAAAA==</t>
        </r>
      </text>
    </comment>
    <comment ref="C313" authorId="0">
      <text>
        <r>
          <rPr>
            <sz val="9"/>
            <color indexed="81"/>
            <rFont val="Tahoma"/>
            <family val="2"/>
          </rPr>
          <t>Insight iXlW00003C0000313R0841462809S00000694P00780LAocjBAQBF1NjaVRlZ2ljLmRhdGEuTW9sZWN1bGUBbQF/ARJTY2lUZWdpYy5Nb2xlY3VsZQAAAQFkAv5qAQAAAAIAAigYAAAA/AgA/AACAAAAAAAA8L8CHeviNhrA478CQYLix5i71r8AAAAAGAAAAPwIAPwAAgAAAAAAAPC/AqW9wRcmU+E/AjBMpgpGJfO/AAAAABgAAAD8CAD8AAIAAAAAAADwvwId6+I2GsDjvwItQxzr4jbxPwAAAAAcAAAA/AgA/AACAAAAAAAA8L8Cl5APejar/78CqaROQBNh6b8AAAAAIAAAAPwEAPwAAgAAAAAAAPC/AhgmUwWjkv0/AhUdyeU/pOO/AAAAACAAAAD8CAD8AAIAAAAAAADwvwKqE9BE2PDYPwKCBMWPMfcEwAAAAAAYAAAA/AgA/AACAAAAAAAA8L8Cl5APejar/78Cam/whclU+D8AAAAAHAAAAPwIAPwAAgAAAAAAAPC/Ap0Rpb3BlwbAAiNseHqlLNc/AAAAABgAAAD8BAD8AAIAAAAAAADwvwI9vVKWIQ4IQAIqOpLLf0j3vwAAAAAYAAAA/AQA/AACAAAAAAAA8L8Cat5xio5kA8ACOUVHcvkPB0AAAAAAKAAEBAAAAAAAAAAIBAAEBAAAAAAMCAwEBAAAAAQQBAAAAAAAAAQUCAAAAAAAAAgYCAwEBAAAAAwcBAAEBAAAABAgBAAAAAAAABgkBAAAAAAAABgcBAAEBAAAAAAAAQAAAAAAAAAAAAAAAAAAAAAAAAAAAA==</t>
        </r>
      </text>
    </comment>
    <comment ref="C314" authorId="0">
      <text>
        <r>
          <rPr>
            <sz val="9"/>
            <color indexed="81"/>
            <rFont val="Tahoma"/>
            <family val="2"/>
          </rPr>
          <t>Insight iXlW00003C0000314R0841462809S00000695P01120LAocjBAQBF1NjaVRlZ2ljLmRhdGEuTW9sZWN1bGUBbQF/ARJTY2lUZWdpYy5Nb2xlY3VsZQAAAQFkAv5qAQAAAAIAAjwYAAAA/AgA/AACAAAAAAAA8L8CyCk6kst/yD8CnRGlvcEX1r8AAAAAGAAAAPwIAPwAAgAAAAAAAPC/AsgpOpLLf8g/AjXvOEVHcum/AAAAABgAAAD8CAD8AAIAAAAAAADwvwJHlPYGX5jiPwI0ETY8vVLwvwAAAAAYAAAA/AgA/AACAAAAAAAA8L8CG55eKcsQ7z8CNe84RUdy6b8AAAAAGAAAAPwIAPwAAgAAAAAAAPC/AhueXinLEO8/Ap0Rpb3BF9a/AAAAABgAAAD8CAD8AAIAAAAAAADwvwJHlPYGX5jiPwLarPpcbcW+vwAAAAAYAAAA/AgA/AACAAAAAAAA8L8C9P3UeOkmyb8CgnNGlPYGv78AAAAAIAAAAPwEAPwAAgAAAAAAAPC/AobJVMGopOK/Ai9uowG8Bda/AAAAACAAAAD8CAD8AAIAAAAAAADwvwL0/dR46SbJvwK8BRIUP8bUPwAAAAAYAAAA/AgA/AACAAAAAAAA8L8CR5T2Bl+Y4j8Cfoy5awn51D8AAAAAHAAAAPwIAPwAAgAAAAAAAPC/AgK8BRIUP+4/AlAeFmpN8+I/AAAAABgAAAD8CAD8AAIAAAAAAADwvwJ6xyk6ksvpPwI0ETY8vVLwPwAAAAAYAAAA/AgA/AACAAAAAAAA8L8CJ8KGp1fK1j8CNBE2PL1S8D8AAAAAGAAAAPwIAPwAAgAAAAAAAPC/ArYV+8vuycs/AlAeFmpN8+I/AAAAABgAAAD8BAD8AAIAAAAAAADwvwIbnl4pyxDvvwKTy39Iv329vwAAAAABEBQABAAEBAAAAAAYBAAAAAAAABgcBAAAAAAAABggCAAAAAAAABQkBAAAAAAAACQoBAAEBAAAACgsBAAEBAAAACwwCAgEBAAAADA0BAAEBAAAADQkCAwEBAAAAAAECAgEBAAAAAQIBAAEBAAAAAgMCAgEBAAAAAwQBAAEBAAAABAUCAgEBAAAABw4BAAAAAAAAAAAAQAAAAAAAAAAAAAAAAAAAAAAAAAAAA==</t>
        </r>
      </text>
    </comment>
    <comment ref="C315" authorId="0">
      <text>
        <r>
          <rPr>
            <sz val="9"/>
            <color indexed="81"/>
            <rFont val="Tahoma"/>
            <family val="2"/>
          </rPr>
          <t>Insight iXlW00003C0000315R0841462809S00000696P00844LAocjBAQBF1NjaVRlZ2ljLmRhdGEuTW9sZWN1bGUBbQF/ARJTY2lUZWdpYy5Nb2xlY3VsZQAAAQFkAv5qAQAAAAIAAiwYAAAA/AgA/AACAAAAAAAA8L8CSnuDL0ym4r8C9wZfmEwV1L8AAAAAGAAAAPwIAPwAAgAAAAAAAPC/AqvP1VbsL+U/Al5LyAc9m/C/AAAAABgAAAD8CAD8AAIAAAAAAADwvwKzne+nxkv9vwJeS8gHPZvwvwAAAAAYAAAA/AgA/AACAAAAAAAA8L8CSnuDL0ym4r8Ci47k8h/S8T8AAAAAGAAAAPwIAPwAAgAAAAAAAPC/AqvP1VbsL+U/AkLPZtXn6gPAAAAAAAEQAAAA/AQA/AACAAAAAAAA8L8CY3/ZPXlY/j8CyXa+nxov1b8AAAAAGAAAAPwIAPwAAgAAAAAAAPC/ArOd76fGS/2/AkLPZtXn6gPAAAAAACAAAAD8BAD8AAIAAAAAAADwvwLgvg6cM6LkPwJVUiegibD8PwAAAAAgAAAA/AgA/AACAAAAAAAA8L8CvsEXJlMF/b8CRkdy+Q/p/D8AAAAAGAAAAPwIAPwAAgAAAAAAAPC/Akp7gy9MpuK/AhIUP8bctQnAAAAAABgAAAD8BAD8AAIAAAAAAADwvwKrz9VW7C/lPwISFD/G3LUJQAAAAAAsAAQEAAQEAAAAAAgICAQEAAAAAAwEAAAAAAAABBAICAQEAAAABBQEAAAAAAAACBgEAAQEAAAADBwEAAAAAAAADCAIAAAAAAAAECQEAAQEAAAAHCgEAAAAAAAAGCQICAQEAAAAAAABAAAAAAAAAAAAAAAAAAAAAAAAAAAA</t>
        </r>
      </text>
    </comment>
    <comment ref="C316" authorId="0">
      <text>
        <r>
          <rPr>
            <sz val="9"/>
            <color indexed="81"/>
            <rFont val="Tahoma"/>
            <family val="2"/>
          </rPr>
          <t>Insight iXlW00003C0000316R0841462809S00000697P01052LAocjBAQBF1NjaVRlZ2ljLmRhdGEuTW9sZWN1bGUBbQF/ARJTY2lUZWdpYy5Nb2xlY3VsZQAAAQFkAv5qAQAAAAIAAjgYAAAA/AgA/AACAAAAAAAA8L8ChXzQs1n1878CeAskKH6MAUAAAAAAGAAAAPwIAPwAAgAAAAAAAPC/AkM+6Nms+vO/AiS5/If02/U/AAAAABgAAAD8CAD8AAIAAAAAAADwvwKkAbwFEhThvwJuNIC3QILuPwAAAAAYAAAA/AgA/AACAAAAAAAA8L8CbVZ9rrZixz8CWRe30QDe9T8AAAAAGAAAAPwIAPwAAgAAAAAAAPC/AvoP6bevA8c/Amsr9pfdkwFAAAAAABgAAAD8CAD8AAIAAAAAAADwvwKJQWDl0CLhvwLvWkI+6NkEQAAAAAAYAAAA/AgA/AACAAAAAAAA8L8CLiEf9GxW4b8CgLdAguLHwD8AAAAAGAAAAPwIAPwAAgAAAAAAAPC/AmN/2T15WPO/As47TtGRXNa/AAAAABwAAAD8CAD8AAIAAAAAAADwvwKRfvs6cM7uvwK/nxov3STyvwAAAAAYAAAA/AgA/AACAAAAAAAA8L8ChXzQs1n1wb8CE4PAyqFF8r8AAAAAHAAAAPwIAPwAAgAAAAAAAPC/ApM6AU2EDb8/AjQzMzMzM9e/AAAAABgAAAD8CAD8AAIAAAAAAADwvwJseHqlLEPgPwKcM6K0N/j8vwAAAAAgAAAA/AgA/AACAAAAAAAA8L8CQz7o2az68z8CINJvXwfO+78AAAAAGAAAAPwEAPwAAgAAAAAAAPC/Ag8tsp3vp9I/Au9aQj7o2QTAAAAAADwIGAQAAAAAAAAYHAgMBAQAAAAIDAgMBAQAAAAMEAQABAQAAAAECAQABAQAAAAcIAQABAQAAAAgJAQABAQAAAAkKAgIBAQAAAAoGAQABAQAAAAQFAgIBAQAAAAkLAQAAAAAAAAUAAQABAQAAAAsMAgAAAAAAAAABAgIBAQAAAAsNAQAAAAAAAAAAAEAAAAAAAAAAAAAAAAAAAAAAAAAAAA=</t>
        </r>
      </text>
    </comment>
    <comment ref="C317" authorId="0">
      <text>
        <r>
          <rPr>
            <sz val="9"/>
            <color indexed="81"/>
            <rFont val="Tahoma"/>
            <family val="2"/>
          </rPr>
          <t>Insight iXlW00003C0000317R0841462809S00000698P00648LAocjBAQBF1NjaVRlZ2ljLmRhdGEuTW9sZWN1bGUBbQF/ARJTY2lUZWdpYy5Nb2xlY3VsZQAAAQFkAv5qAQAAAAIAAiAYAAAA/AgA/AACAAAAAAAA8L8C41gXt9EArj8Cf/s6cM6Isj8AAAAAGAAAAPwIAPwAAgAAAAAAAPC/Agkbnl4py/W/An/7OnDOiLI/AAAAABgAAAD8CAD8AAIAAAAAAADwvwK+wRcmUwXtPwK4rwPnjCjxvwAAAAAcAAAA/AgA/AACAAAAAAAA8L8CvsEXJlMF7T8CCvmgZ7Pq8z8AAAAAGAAAAPwEAPwAAgAAAAAAAPC/Ag+cM6K0twDAAq+2Yn/ZPfU/AAAAACAAAAD8CAD8AAIAAAAAAADwvwIPnDOitLcAwALl8h/Sb1/yvwAAAAAYAAAA/AgA/AACAAAAAAAA8L8CdnEbDeAtAkACDeAtkKD4478AAAAAGAAAAPwIAPwAAgAAAAAAAPC/AnZxGw3gLQJAAqmkTkATYek/AAAAACAABAQAAAAAAAAACAgMBAQAAAAADAQABAQAAAAEEAQAAAAAAAAEFAgAAAAAAAAIGAQABAQAAAAMHAQABAQAAAAYHAgIBAQAAAAAAAEAAAAAAAAAAAAAAAAAAAAAAAAAAAA=</t>
        </r>
      </text>
    </comment>
    <comment ref="C318" authorId="0">
      <text>
        <r>
          <rPr>
            <sz val="9"/>
            <color indexed="81"/>
            <rFont val="Tahoma"/>
            <family val="2"/>
          </rPr>
          <t>Insight iXlW00003C0000318R0841462809S00000699P00648LAocjBAQBF1NjaVRlZ2ljLmRhdGEuTW9sZWN1bGUBbQF/ARJTY2lUZWdpYy5Nb2xlY3VsZQAAAQFkAv5qAQAAAAIAAiAgAAAA/AgA/AACAAAAAAAA8L8C87BQa5p38T8C2xt8YTJV/T8AAAAAHAAAAPwIAPwAAgAAAAAAAPC/AvOwUGuad/c/AiFB8WPM3QdAAAAAABgAAAD8CAD8AAIAAAAAAADwvwLAfR04Z0T7PwLtDb4wmSoCQAAAAAAcAAAA/AgA/AACAAAAAAAA8L8C5WGh1jTv5j8CIUHxY8zdB0AAAAAAGAAAAPwIAPwAAgAAAAAAAPC/AmRd3EYDeN8/Au0NvjCZKgJAAAAAACAAAAD8BAD8AAIAAAAAAADwvwIT8kHPZlUDQALNzMzMzEwAQAAAAAAYAAAA/AQA/AACAAAAAAAA8L8CzczMzMzMzL8CzczMzMxMAEAAAAAAGAAAAPwEAPwAAgAAAAAAAPC/AhueXinLEOm/As3MzMzMTARAAAAAACAECAgIBAQAAAAIAAQABAQAAAAMEAgIBAQAAAAQAAQABAQAAAAUCAQAAAAAAAAYEAQAAAAAAAAcGAQAAAAAAAAEDAQABAQAAAAAAAEAAAAAAAAAAAAAAAAAAAAAAAAAAAA=</t>
        </r>
      </text>
    </comment>
    <comment ref="C319" authorId="0">
      <text>
        <r>
          <rPr>
            <sz val="9"/>
            <color indexed="81"/>
            <rFont val="Tahoma"/>
            <family val="2"/>
          </rPr>
          <t>Insight iXlW00003C0000319R0841462809S00000700P00792LAocjBAQBF1NjaVRlZ2ljLmRhdGEuTW9sZWN1bGUBbQF/ARJTY2lUZWdpYy5Nb2xlY3VsZQAAAQFkAv5qAQAAAAIAAigYAAAA/AgA/AACAAAAAAAA8L8CbxKDwMqhxb8CYVRSJ6CJ4j8AAAAAGAAAAPwIAPwAAgAAAAAAAPC/AmHD0ytlGdI/AsDsnjws1Oi/AAAAABgAAAD8CAD8AAIAAAAAAADwvwKegCbChqf5vwJpke18PzXiPwAAAAAYAAAA/AgA/AACAAAAAAAA8L8Cx7q4jQbw6D8C6dms+lxt+j8AAAAAGAAAAPwIAPwAAgAAAAAAAPC/AkM+6Nms+vo/AjxO0ZFc/vC/AAAAACAAAAD8CAD8AAIAAAAAAADwvwICK4cW2c7rvwJ8gy9Mpgr6vwAAAAAcAAAA/AgA/AACAAAAAAAA8L8CLbKd76dGAMACqaROQBNh6b8AAAAAIAAAAPwEAPwAAgAAAAAAAPC/AhUdyeU/pAPAAqGJsOHplfs/AAAAABgAAAD8CAD8AAIAAAAAAADwvwKgq63YX3YBQAINAiuHFtn1PwAAAAAYAAAA/AgA/AACAAAAAAAA8L8CfPKwUGsaBUACDr4wmSoYhT8AAAAALAAECAwEBAAAAAAIBAAEBAAAAAAMBAAEBAAAAAQQBAAEBAAAAAQUBAAEBAAAAAgYCAgEBAAAAAgcBAAAAAAAAAwgCAgEBAAAABAkCAgEBAAAABQYBAAEBAAAACAkBAAEBAAAAAAAAQAAAAAAAAAAAAAAAAAAAAAAAAAAAA==</t>
        </r>
      </text>
    </comment>
    <comment ref="C320" authorId="0">
      <text>
        <r>
          <rPr>
            <sz val="9"/>
            <color indexed="81"/>
            <rFont val="Tahoma"/>
            <family val="2"/>
          </rPr>
          <t>Insight iXlW00003C0000320R0841462809S00000701P00988LAocjBAQBF1NjaVRlZ2ljLmRhdGEuTW9sZWN1bGUBbQF/ARJTY2lUZWdpYy5Nb2xlY3VsZQAAAQFkAv5qAQAAAAIAAjQcAAAA/AgA/AACAAAAAAAA8L8Ch6dXyjJECEACMzMzMzMz5b8AAAAAGAAAAPwEAPwAAgAAAAAAAPC/Aj0s1JrmXRNAAjMzMzMzM+W/AAAAABgAAAD8BAD8AAIAAAAAAADwvwJnZmZmZuYLQAKn6Egu/yH3vwAAAAAYAAAA/AQA/AACAAAAAAAA8L8CmpmZmZmZEUACp+hILv8h978AAAAAGAAAAPwIAPwAAgAAAAAAAPC/AnrHKTqSSwhAAnBfB84Z0QHAAAAAABgAAAD8CAD8AAIAAAAAAADwvwL6fmq8dBMBQAI7AU2EDc8BwAAAAAAYAAAA/AgA/AACAAAAAAAA8L8CjGzn+6nx+j8CaLPqc7UVCMAAAAAAGAAAAPwIAPwAAgAAAAAAAPC/An9qvHSTGAFAAqJFtvP9VA7AAAAAABgAAAD8CAD8AAIAAAAAAADwvwKVZYhjXVwIQAJcIEHxY0wOwAAAAAAYAAAA/AgA/AACAAAAAAAA8L8CdLUV+8vuC0AC6bevA+cMCMAAAAAAIAAAAPwEAPwAAgAAAAAAAPC/AnBfB84ZkRFAAo91cRsN4L0/AAAAABgAAAD8CAD8AAIAAAAAAADwvwIhQfFjzN0LQAIAAAAAAADAPwAAAAAgAAAA/AgA/AACAAAAAAAA8L8Cc2iR7Xw/CEAC+ORhodY07T8AAAAAOBQYBAAEBAAAAAwIBAAEAAAAABgcCAgEBAAAABwgBAAEBAAAAAgQBAAAAAAAACAkCAgEBAAAACQQBAAEBAAAAAQMBAAEAAAAAAQoBAAEAAAAABAUCAwEBAAAAAAsBAAEAAAAACwoBAAEAAAAAAgABAAEAAAAACwwCAAAAAAAAAAAAQAAAAAAAAAAAAAAAAAAAAAAAAAAAA==</t>
        </r>
      </text>
    </comment>
    <comment ref="C321" authorId="0">
      <text>
        <r>
          <rPr>
            <sz val="9"/>
            <color indexed="81"/>
            <rFont val="Tahoma"/>
            <family val="2"/>
          </rPr>
          <t>Insight iXlW00003C0000321R0841462809S00000702P00920LAocjBAQBF1NjaVRlZ2ljLmRhdGEuTW9sZWN1bGUBbQF/ARJTY2lUZWdpYy5Nb2xlY3VsZQAAAQFkAv5qAQAAAAIAAjAYAAAA/AgA/AACAAAAAAAA8L8Ck8t/SL996b8Cx7q4jQbwpj8AAAAAGAAAAPwIAPwAAgAAAAAAAPC/AmmR7Xw/NeI/AhPyQc9m1de/AAAAABgAAAD8CAD8AAIAAAAAAADwvwIZBFYOLbLzvwJ2cRsN4C32PwAAAAAcAAAA/AgA/AACAAAAAAAA8L8CGy/dJAaB/78Cklz+Q/rt6b8AAAAAGAAAAPwIAPwAAgAAAAAAAPC/ArivA+eMKPk/Aiz2l92Th+M/AAAAABgAAAD8CAD8AAIAAAAAAADwvwK+wRcmUwXtPwJgdk8eFmr8vwAAAAAYAAAA/AgA/AACAAAAAAAA8L8CIR/0bFZ9BcACdnEbDeAt9j8AAAAAHAAAAPwIAPwAAgAAAAAAAPC/AgR4CyQo/gjAAmAHzhlR2ms/AAAAABgAAAD8CAD8AAIAAAAAAADwvwKOl24Sg8AHQAIhQfFjzF3LPwAAAAAgAAAA/AQA/AACAAAAAAAA8L8Cx9y1hHzQ8j8CEAu1pnnH/z8AAAAAGAAAAPwIAPwAAgAAAAAAAPC/Aqk1zTtOUQJAAq+2Yn/ZPQHAAAAAABgAAAD8CAD8AAIAAAAAAADwvwKjI7n8h3QKQAJOYhBYObTyvwAAAAA0AAQEAAAAAAAAAAgEAAQEAAAAAAwIDAQEAAAABBAIDAQEAAAABBQEAAQEAAAACBgICAQEAAAADBwEAAQEAAAAECAEAAQEAAAAECQEAAAAAAAAFCgICAQEAAAAICwICAQEAAAAGBwEAAQEAAAAKCwEAAQEAAAAAAABAAAAAAAAAAAAAAAAAAAAAAAAAAAA</t>
        </r>
      </text>
    </comment>
    <comment ref="C322" authorId="0">
      <text>
        <r>
          <rPr>
            <sz val="9"/>
            <color indexed="81"/>
            <rFont val="Tahoma"/>
            <family val="2"/>
          </rPr>
          <t>Insight iXlW00003C0000322R0841462809S00000703P00792LAocjBAQBF1NjaVRlZ2ljLmRhdGEuTW9sZWN1bGUBbQF/ARJTY2lUZWdpYy5Nb2xlY3VsZQAAAQFkAv5qAQAAAAIAAigYAAAA/AgA/AACAAAAAAAA8L8CMuauJeSDxj8CuycPC7WmwT8AAAAAGAAAAPwIAPwAAgAAAAAAAPC/AjLmriXkg8Y/Ase6uI0G8Pg/AAAAABgAAAD8CAD8AAIAAAAAAADwvwIeOGdEaW/xvwJDPujZrPrivwAAAAAcAAAA/AgA/AACAAAAAAAA8L8CHxZqTfOO9z8CnMQgsHJo1b8AAAAAGAAAAPwIAPwAAgAAAAAAAPC/Ah44Z0Rpb/G/AjC7Jw8LNQJAAAAAABgAAAD8CAD8AAIAAAAAAADwvwIE54wo7Q34PwL67evAOSMAQAAAAAAYAAAA/AgA/AACAAAAAAAA8L8C0NVW7C+7AsACaQBvgQTFvz8AAAAAIAAAAPwEAPwAAgAAAAAAAPC/Ah44Z0Rpb/G/Anl6pSxDHADAAAAAABgAAAD8CAD8AAIAAAAAAADwvwLQ1VbsL7sCQAIhQfFjzF3rPwAAAAAYAAAA/AgA/AACAAAAAAAA8L8C0NVW7C+7AsAC4umVsgxx+D8AAAAALAAECAgEBAAAAAAIBAAEBAAAAAAMBAAEBAAAAAQQBAAEBAAAAAQUBAAEBAAAAAgYCAgEBAAAAAgcBAAAAAAAAAwgBAAEBAAAABAkCAgEBAAAABQgCAgEBAAAABgkBAAEBAAAAAAAAQAAAAAAAAAAAAAAAAAAAAAAAAAAAA==</t>
        </r>
      </text>
    </comment>
    <comment ref="C323" authorId="0">
      <text>
        <r>
          <rPr>
            <sz val="9"/>
            <color indexed="81"/>
            <rFont val="Tahoma"/>
            <family val="2"/>
          </rPr>
          <t>Insight iXlW00003C0000323R0841462809S00000704P00648LAocjBAQBF1NjaVRlZ2ljLmRhdGEuTW9sZWN1bGUBbQF/ARJTY2lUZWdpYy5Nb2xlY3VsZQAAAQFkAv5qAQAAAAIAAiAYAAAA/AgA/AACAAAAAAAA8L8C2qz6XG3F4L8CnMQgsHJo5b8AAAAAGAAAAPwIAPwAAgAAAAAAAPC/Atqs+lxtxeC/Au0NvjCZKug/AAAAABgAAAD8CAD8AAIAAAAAAADwvwJuNIC3QILmPwJ2cRsN4C32vwAAAAAgAAAA/AQA/AACAAAAAAAA8L8C6Pup8dJN/L8CdnEbDeAt9r8AAAAAGAAAAPwIAPwAAgAAAAAAAPC/Am40gLdAguY/ApeQD3o2q/c/AAAAAAEQAAAA/AQA/AACAAAAAAAA8L8C6Pup8dJN/L8Cl5APejar9z8AAAAAGAAAAPwIAPwAAgAAAAAAAPC/ArWmeccpOv8/ApzEILByaOW/AAAAABgAAAD8CAD8AAIAAAAAAADwvwK1pnnHKTr/PwLtDb4wmSroPwAAAAAgAAQICAQEAAAAAAgEAAQEAAAAAAwEAAAAAAAABBAEAAQEAAAABBQEAAAAAAAACBgICAQEAAAAEBwICAQEAAAAGBwEAAQEAAAAAAABAAAAAAAAAAAAAAAAAAAAAAAAAAAA</t>
        </r>
      </text>
    </comment>
    <comment ref="C324" authorId="0">
      <text>
        <r>
          <rPr>
            <sz val="9"/>
            <color indexed="81"/>
            <rFont val="Tahoma"/>
            <family val="2"/>
          </rPr>
          <t>Insight iXlW00003C0000324R0841462809S00000705P00616LAocjBAQBF1NjaVRlZ2ljLmRhdGEuTW9sZWN1bGUBbQF/ARJTY2lUZWdpYy5Nb2xlY3VsZQAAAQFkAv5qAQAAAAIAAiAcAAAA/AQA/AACAAAAAAAA8L8CY3/ZPXlY/r8AAAAAABgAAAD8BAD8AAIAAAAAAADwvwK8lpAPejbhvwKJ0t7gC5PdPwAAAAAYAAAA/AQA/AACAAAAAAAA8L8CQs9m1efqB8ACgZVDi2zn7T8AAAAAGAAAAPwEAPwAAgAAAAAAAPC/AqmkTkATYQHAAmpN845TdPa/AAAAABgAAAD8BAD8AAIAAAAAAADwvwK8lpAPejbhPwKJ0t7gC5PdvwAAAAAcAAAA/AQA/AACAAAAAAAA8L8CY3/ZPXlY/j8AAAAAABgAAAD8BAD8AAIAAAAAAADwvwJCz2bV5+oHQAKBlUOLbOftvwAAAAAYAAAA/AQA/AACAAAAAAAA8L8CqaROQBNhAUACak3zjlN09j8AAAAAHAAEBAAAAAAAAAAIBAAAAAAAAAAMBAAAAAAAAAQQBAAAAAAAABAUBAAAAAAAABQYBAAAAAAAABQcBAAAAAAAAAAAAQAAAAAAAAAAAAAAAAAAAAAAAAAAAA==</t>
        </r>
      </text>
    </comment>
    <comment ref="C325" authorId="0">
      <text>
        <r>
          <rPr>
            <sz val="9"/>
            <color indexed="81"/>
            <rFont val="Tahoma"/>
            <family val="2"/>
          </rPr>
          <t>Insight iXlW00003C0000325R0841462809S00000706P00832LAocjBAQBF1NjaVRlZ2ljLmRhdGEuTW9sZWN1bGUBbQF/ARJTY2lUZWdpYy5Nb2xlY3VsZQAAAQFkAv5qAQAAAAIAAiwcAAAA/AQA/AACAAAAAAAA8L8Csi5uowE8BsAClrIMcayL+T8AAAAAGAAAAPwEAPwAAgAAAAAAAPC/Auj7qfHSTfy/AkZHcvkP6QRAAAAAABgAAAD8BAD8AAIAAAAAAADwvwK1pnnHKToDwAKo6Egu/yHNPwAAAAAYAAAA/AQA/AACAAAAAAAA8L8CVVInoImwEMACppvEILBy/z8AAAAAGAAAAPwEAPwAAgAAAAAAAPC/AtfFbTSAt9i/Aj/G3LWE/AFAAAAAACAAAAD8BAD8AAIAAAAAAADwvwJgB84ZUdprvwISNjy9UpbrPwAAAAAYAAAA/AQA/AACAAAAAAAA8L8CdnEbDeAt9j8C8mPMXUvI3z8AAAAAGAAAAPwEAPwAAgAAAAAAAPC/Auj7qfHSTfw/AuviNhrAW+y/AAAAABwAAAD8BAD8AAIAAAAAAADwvwLrc7UV+0sJQAKCc0aU9gb0vwAAAAAYAAAA/AQA/AACAAAAAAAA8L8CVVInoImwEEACa7x0kxgEzr8AAAAAGAAAAPwEAPwAAgAAAAAAAPC/Aq8l5IOeTQxAAkZHcvkP6QTAAAAAACgABAQAAAAAAAAACAQAAAAAAAAADAQAAAAAAAAEEAQAAAAAAAAQFAQAAAAAAAAUGAQAAAAAAAAYHAQAAAAAAAAcIAQAAAAAAAAgJAQAAAAAAAAgKAQAAAAAAAAAAAEAAAAAAAAAAAAAAAAAAAAAAAAAAAA=</t>
        </r>
      </text>
    </comment>
    <comment ref="C326" authorId="0">
      <text>
        <r>
          <rPr>
            <sz val="9"/>
            <color indexed="81"/>
            <rFont val="Tahoma"/>
            <family val="2"/>
          </rPr>
          <t>Insight iXlW00003C0000326R0841462809S00000707P00976LAocjBAQBF1NjaVRlZ2ljLmRhdGEuTW9sZWN1bGUBbQF/ARJTY2lUZWdpYy5Nb2xlY3VsZQAAAQFkAv5qAQAAAAIAAjQYAAAA/AgA/AACAAAAAAAA8L8CW0I+6Nms9r8CyzLEsS5usz8AAAAAGAAAAPwIAPwAAgAAAAAAAPC/AlHaG3xhMpU/AgTnjCjtDei/AAAAABgAAAD8CAD8AAIAAAAAAADwvwJbQj7o2az2vwJzaJHtfD/8PwAAAAAcAAAA/AgA/AACAAAAAAAA8L8Cf/s6cM4IB8AC5tAi2/l+6L8AAAAAHAAAAPwIAPwAAgAAAAAAAPC/AjlFR3L5D/c/AlHaG3xhMqU/AAAAACAAAAD8CAD8AAIAAAAAAADwvwLHuriNBvCmPwIAAAAAAAAEwAAAAAAcAAAA/AgA/AACAAAAAAAA8L8Cf/s6cM4IB8ACRkdy+Q/pBEAAAAAAGAAAAPwIAPwAAgAAAAAAAPC/AqmkTkATYRHAAssyxLEubrM/AAAAABgAAAD8BAD8AAIAAAAAAADwvwIbnl4py5AGQAKgq63YX3btvwAAAAAYAAAA/AgA/AACAAAAAAAA8L8CqaROQBNhEcACc2iR7Xw//D8AAAAAGAAAAPwEAPwAAgAAAAAAAPC/AtzXgXNGlBBAAm8Sg8DKocU/AAAAABgAAAD8BAD8AAIAAAAAAADwvwI/xty1hPwBQAKgGi/dJIYEwAAAAAAYAAAA/AQA/AACAAAAAAAA8L8CqaROQBNhEUAC3+ALk6mC9r8AAAAANAAEBAAAAAAAAAAICAwEBAAAAAAMBAAEBAAAAAQQBAAAAAAAAAQUCAAAAAAAAAgYBAAEBAAAAAwcCAgEBAAAABAgBAAAAAAAABgkCAgEBAAAACAoBAAAAAAAACAsBAAAAAAAACAwBAAAAAAAABwkBAAEBAAAAAAAAQAAAAAAAAAAAAAAAAAAAAAAAAAAAA==</t>
        </r>
      </text>
    </comment>
    <comment ref="C327" authorId="0">
      <text>
        <r>
          <rPr>
            <sz val="9"/>
            <color indexed="81"/>
            <rFont val="Tahoma"/>
            <family val="2"/>
          </rPr>
          <t>Insight iXlW00003C0000327R0841462809S00000708P00924LAocjBAQBF1NjaVRlZ2ljLmRhdGEuTW9sZWN1bGUBbQF/ARJTY2lUZWdpYy5Nb2xlY3VsZQAAAQFkAv5qAQAAAAIAAjAYAAAA/AgA/AACAAAAAAAA8L8CcF8HzhlR0r8Cqz5XW7G/xL8AAAAAGAAAAPwIAPwAAgAAAAAAAPC/AnyDL0ymCvI/Am14eqUsQ5y/AAAAABwAAAD8CAD8AAIAAAAAAADwvwKOl24Sg8DzvwL77evAOSPsPwAAAAAYAAAA/AgA/AACAAAAAAAA8L8CBOeMKO0N8L8C48eYu5aQ9r8AAAAAGAAAAPwIAPwAAgAAAAAAAPC/AigPC7Wmefs/AuviNhrAW/Q/AAAAABgAAAD8CAD8AAIAAAAAAADwvwIbL90kBoH/PwIwTKYKRiXzvwAAAAAYAAAA/AgA/AACAAAAAAAA8L8CZF3cRgN4BMACQs9m1edq0z8AAAAAARAAAAD8BAD8AAIAAAAAAADwvwLyY8xdS0gDwAKLjuTyH9LxvwAAAAAYAAAA/AgA/AACAAAAAAAA8L8C9GxWfa42CUAC48eYu5aQ9j8AAAAAGAAAAPwIAPwAAgAAAAAAAPC/AjQzMzMzMwtAAktZhjjWxfC/AAAAAAEQAAAA/AQA/AACAAAAAAAA8L8CoyO5/Id0DsAC4umVsgxx8D8AAAAAGAAAAPwIAPwAAgAAAAAAAPC/AkLPZtXn6g9AAvJjzF1LyM8/AAAAADQABAQAAAAAAAAACAQABAQAAAAADAgMBAQAAAAEEAQABAQAAAAEFAgMBAQAAAAIGAgMBAQAAAAMHAQABAQAAAAQIAgIBAQAAAAUJAQABAQAAAAYKAQAAAAAAAAgLAQABAQAAAAYHAQABAQAAAAkLAgIBAQAAAAAAAEAAAAAAAAAAAAAAAAAAAAAAAAAAAA=</t>
        </r>
      </text>
    </comment>
    <comment ref="C328" authorId="0">
      <text>
        <r>
          <rPr>
            <sz val="9"/>
            <color indexed="81"/>
            <rFont val="Tahoma"/>
            <family val="2"/>
          </rPr>
          <t>Insight iXlW00003C0000328R0841462809S00000709P00792LAocjBAQBF1NjaVRlZ2ljLmRhdGEuTW9sZWN1bGUBbQF/ARJTY2lUZWdpYy5Nb2xlY3VsZQAAAQFkAv5qAQAAAAIAAigYAAAA/AgA/AACAAAAAAAA8L8CFR3J5T+k478Cf/s6cM6Isr8AAAAAGAAAAPwIAPwAAgAAAAAAAPC/AqFns+pztek/An/7OnDOiLK/AAAAABgAAAD8CAD8AAIAAAAAAADwvwKjtDf4wmT3vwIGEhQ/xtzzvwAAAAAcAAAA/AgA/AACAAAAAAAA8L8Co7Q3+MJk978CuK8D54wo8T8AAAAAGAAAAPwIAPwAAgAAAAAAAPC/Al1txf6ye/o/AgYSFD/G3PO/AAAAAAEQAAAA/AQA/AACAAAAAAAA8L8CXW3F/rJ7+j8CuK8D54wo8T8AAAAAGAAAAPwIAPwAAgAAAAAAAPC/ApQYBFYOrQbAAqmkTkATYem/AAAAABwAAAD8CAD8AAIAAAAAAADwvwKUGARWDq0GwAIN4C2QoPjjPwAAAAAYAAAA/AgA/AACAAAAAAAA8L8C++3rwDkjCEACqaROQBNh6b8AAAAAGAAAAPwIAPwAAgAAAAAAAPC/Avvt68A5IwhAAg3gLZCg+OM/AAAAACwABAQAAAAAAAAACAgMBAQAAAAADAQABAQAAAAEEAgMBAQAAAAEFAQABAQAAAAIGAQABAQAAAAMHAQABAQAAAAQIAQABAQAAAAUJAQABAQAAAAYHAgIBAQAAAAgJAgIBAQAAAAAAAEAAAAAAAAAAAAAAAAAAAAAAAAAAAA=</t>
        </r>
      </text>
    </comment>
    <comment ref="C329" authorId="0">
      <text>
        <r>
          <rPr>
            <sz val="9"/>
            <color indexed="81"/>
            <rFont val="Tahoma"/>
            <family val="2"/>
          </rPr>
          <t>Insight iXlW00003C0000329R0841462809S00000710P00856LAocjBAQBF1NjaVRlZ2ljLmRhdGEuTW9sZWN1bGUBbQF/ARJTY2lUZWdpYy5Nb2xlY3VsZQAAAQFkAv5qAQAAAAIAAiwYAAAA/AgA/AACAAAAAAAA8L8Ca7x0kxgE3j8CTMgHPZtVz78AAAAAGAAAAPwIAPwAAgAAAAAAAPC/AtUJaCJseOy/AsKopE5AE+W/AAAAABgAAAD8CAD8AAIAAAAAAADwvwLFjzF3LSHtPwKWsgxxrIvxPwAAAAAcAAAA/AgA/AACAAAAAAAA8L8CfIMvTKYK+j8Cpb3BFyZT8b8AAAAAGAAAAPwIAPwAAgAAAAAAAPC/AgAAAAAAAADAAj55WKg1zcs/AAAAAAEQAAAA/AQA/AACAAAAAAAA8L8COiNKe4Mv9b8CgnNGlPYGAMAAAAAAGAAAAPwIAPwAAgAAAAAAAPC/AtDVVuwvuwJAApayDHGsi/E/AAAAABwAAAD8CAD8AAIAAAAAAADwvwKpNc07TlEGQAJMyAc9m1XPvwAAAAAYAAAA/AgA/AACAAAAAAAA8L8C3GgAb4GECcACf2q8dJMY4r8AAAAAGAAAAPwIAPwAAgAAAAAAAPC/Alhbsb/sngbAAqabxCCwcv+/AAAAABgAAAD8BAD8AAIAAAAAAADwvwLcaABvgYQJQAI6tMh2vh8CQAAAAAAwAAQEAAAAAAAAAAgIDAQEAAAAAAwEAAQEAAAABBAIDAQEAAAABBQEAAQEAAAACBgEAAQEAAAADBwEAAQEAAAAECAEAAQEAAAAFCQEAAQEAAAAGCgEAAAAAAAAGBwICAQEAAAAICQICAQEAAAAAAABAAAAAAAAAAAAAAAAAAAAAAAAAAAA</t>
        </r>
      </text>
    </comment>
    <comment ref="C330" authorId="0">
      <text>
        <r>
          <rPr>
            <sz val="9"/>
            <color indexed="81"/>
            <rFont val="Tahoma"/>
            <family val="2"/>
          </rPr>
          <t>Insight iXlW00003C0000330R0841462809S00000711P00976LAocjBAQBF1NjaVRlZ2ljLmRhdGEuTW9sZWN1bGUBbQF/ARJTY2lUZWdpYy5Nb2xlY3VsZQAAAQFkAv5qAQAAAAIAAjQYAAAA/AgA/AACAAAAAAAA8L8C4umVsgxx8D8CDr4wmSoYhb8AAAAAGAAAAPwIAPwAAgAAAAAAAPC/AlAeFmpN89Y/AtnO91PjpfI/AAAAABgAAAD8CAD8AAIAAAAAAADwvwKMSuoENBHWPwLKw0Ktad7yvwAAAAAYAAAA/AQA/AACAAAAAAAA8L8Cu7iNBvAWA0ACIv32deCckb8AAAAAGAAAAPwIAPwAAgAAAAAAAPC/Avkx5q4l5O+/AlJJnYAmwvI/AAAAABgAAAD8CAD8AAIAAAAAAADwvwJ8YTJVMCrwvwJSSZ2AJsLyvwAAAAAkAAAA/AQA/AACAAAAAAAA8L8Ci47k8h/SBUACsp3vp8ZL9b8AAAAAJAAAAPwEAPwAAgAAAAAAAPC/AtBE2PD0yg1AAl1txf6ye8o/AAAAACQAAAD8BAD8AAIAAAAAAADwvwIwuycPCzUCQAKyne+nxkv1PwAAAAAYAAAA/AgA/AACAAAAAAAA8L8CysNCrWne+r8CYAfOGVHaaz8AAAAAGAAAAPwIAPwAAgAAAAAAAPC/Aq8l5IOeTQjAAg6+MJkqGIU/AAAAABwAAAD8CAD8AAIAAAAAAADwvwLQRNjw9MoNwAJdbcX+snvyvwAAAAAgAAAA/AgA/AACAAAAAAAA8L8C1lbsL7unDcACt9EA3gIJ8z8AAAAANAAEBAAEBAAAAAAICAgEBAAAAAAMBAAAAAAAAAQQCAgEBAAAAAgUBAAEBAAAAAwYBAAAAAAAAAwcBAAAAAAAAAwgBAAAAAAAABAkBAAEBAAAACQoBAAAAAAAACgsBAAAAAAAACgwCAAAAAAAABQkCAgEBAAAAAAAAQAAAAAAAAAAAAAAAAAAAAAAAAAAAA==</t>
        </r>
      </text>
    </comment>
    <comment ref="C331" authorId="0">
      <text>
        <r>
          <rPr>
            <sz val="9"/>
            <color indexed="81"/>
            <rFont val="Tahoma"/>
            <family val="2"/>
          </rPr>
          <t>Insight iXlW00003C0000331R0841462809S00000712P01028LAocjBAQBF1NjaVRlZ2ljLmRhdGEuTW9sZWN1bGUBbQF/ARJTY2lUZWdpYy5Nb2xlY3VsZQAAAQFkAv5qAQAAAAIAAjgYAAAA/AgA/AACAAAAAAAA8L8CkaD4Meau/T8AAAAAABwAAAD8CAD8AAIAAAAAAADwvwLRs1n1udrkPwLA7J48LNTovwAAAAAYAAAA/AgA/AACAAAAAAAA8L8C+n5qvHQTCUACyeU/pN++5L8AAAAAGAAAAPwIAPwAAgAAAAAAAPC/Atnw9EpZhvw/AsHKoUW28/Y/AAAAABgAAAD8CAD8AAIAAAAAAADwvwI9LNSa5h3fvwIT8kHPZtW3PwAAAAAYAAAA/AQA/AACAAAAAAAA8L8CO3DOiNLe4j8CEhQ/xty1AcAAAAAAGAAAAPwIAPwAAgAAAAAAAPC/AuhqK/aXXRFAAmkAb4EExb8/AAAAABgAAAD8CAD8AAIAAAAAAADwvwJCz2bV5+oHQAISFD/G3LUBQAAAAAAYAAAA/AQA/AACAAAAAAAA8L8Cu7iNBvAW+78ClIeFWtO85b8AAAAAIAAAAPwIAPwAAgAAAAAAAPC/Ak7zjlN0JNu/AlpkO99Pjfg/AAAAABgAAAD8CAD8AAIAAAAAAADwvwL6fmq8dBMRQAI8TtGRXP74PwAAAAAYAAAA/AgA/AACAAAAAAAA8L8ClBgEVg6tBsAC18VtNIC3yD8AAAAAIAAAAPwEAPwAAgAAAAAAAPC/AlCNl24SQxDAArraiv1l9+S/AAAAACAAAAD8CAD8AAIAAAAAAADwvwLl8h/Sb18GwAJ/arx0kxj6PwAAAAA4AAQEAAAAAAAAAAgEAAQEAAAAAAwIDAQEAAAABBAEAAAAAAAABBQEAAAAAAAACBgICAQEAAAADBwEAAQEAAAAECAEAAAAAAAAECQIAAAAAAAAGCgEAAQEAAAAICwEAAAAAAAALDAEAAAAAAAALDQIAAAAAAAAHCgICAQEAAAAAAABAAAAAAAAAAAAAAAAAAAAAAAAAAAA</t>
        </r>
      </text>
    </comment>
    <comment ref="C332" authorId="0">
      <text>
        <r>
          <rPr>
            <sz val="9"/>
            <color indexed="81"/>
            <rFont val="Tahoma"/>
            <family val="2"/>
          </rPr>
          <t>Insight iXlW00003C0000332R0841462809S00000713P00920LAocjBAQBF1NjaVRlZ2ljLmRhdGEuTW9sZWN1bGUBbQF/ARJTY2lUZWdpYy5Nb2xlY3VsZQAAAQFkAv5qAQAAAAIAAjAcAAAA/AgA/AACAAAAAAAA8L8CJZf/kH775L8CUrgehetR2L8AAAAAGAAAAPwIAPwAAgAAAAAAAPC/AsfctYR80Ou/Ah/0bFZ9rto/AAAAABgAAAD8CAD8AAIAAAAAAADwvwJKDAIrhxb7vwJxPQrXo3DdPwAAAAAYAAAA/AgA/AACAAAAAAAA8L8CGuJYF7fR/78CYAfOGVHa078AAAAAHAAAAPwIAPwAAgAAAAAAAPC/AgFvgQTFj/W/AkOtad5xiuq/AAAAABgAAAD8CAD8AAIAAAAAAADwvwI+eVioNc3DvwJDrWnecYrqPwAAAAAYAAAA/AgA/AACAAAAAAAA8L8CKKCJsOHp4T8CH/RsVn2u2j8AAAAAHAAAAPwIAPwAAgAAAAAAAPC/Aj55WKg1zcO/AtUJaCJsePo/AAAAABgAAAD8BAD8AAIAAAAAAADwvwIBb4EExY/1vwLVCWgibHj6vwAAAAAYAAAA/AgA/AACAAAAAAAA8L8C3gIJih9j9D8CQ61p3nGK6j8AAAAAGAAAAPwEAPwAAgAAAAAAAPC/AhriWBe30f8/Ah/0bFZ9rto/AAAAACAAAAD8CAD8AAIAAAAAAADwvwLeAgmKH2P0PwLVCWgibHj6PwAAAAA0AAQICAQEAAAABAgEAAQEAAAACAwICAQEAAAADBAEAAQEAAAAEAAEAAQEAAAABBQEAAAAAAAAFBgEAAQEAAAAFBwIDAQEAAAAECAEAAAAAAAAGCQIDAQEAAAAJCgEAAAAAAAAJCwEAAQEAAAAHCwEAAQEAAAAAAABAAAAAAAAAAAAAAAAAAAAAAAAAAAA</t>
        </r>
      </text>
    </comment>
    <comment ref="C333" authorId="0">
      <text>
        <r>
          <rPr>
            <sz val="9"/>
            <color indexed="81"/>
            <rFont val="Tahoma"/>
            <family val="2"/>
          </rPr>
          <t>Insight iXlW00003C0000333R0841462809S00000714P00792LAocjBAQBF1NjaVRlZ2ljLmRhdGEuTW9sZWN1bGUBbQF/ARJTY2lUZWdpYy5Nb2xlY3VsZQAAAQFkAv5qAQAAAAIAAigYAAAA/AgA/AACAAAAAAAA8L8CbjSAt0CC5j8C+FPjpZvEwD8AAAAAGAAAAPwIAPwAAgAAAAAAAPC/Al8pyxDHuua/AvhT46WbxMA/AAAAABgAAAD8CAD8AAIAAAAAAADwvwLx9EpZhjj4PwJRa5p3nKL0PwAAAAAcAAAA/AgA/AACAAAAAAAA8L8C8fRKWYY4+D8C4umVsgxx8L8AAAAAGAAAAPwIAPwAAgAAAAAAAPC/AvXb14FzRvi/AlFrmnecovQ/AAAAAAEQAAAA/AQA/AACAAAAAAAA8L8C9dvXgXNG+L8C4umVsgxx8L8AAAAAGAAAAPwIAPwAAgAAAAAAAPC/ArWmeccpOgdAAlYwKqkT0Oo/AAAAABgAAAD8CAD8AAIAAAAAAADwvwK1pnnHKToHQAJKe4MvTKbivwAAAAAYAAAA/AgA/AACAAAAAAAA8L8CtaZ5xyk6B8ACVjAqqRPQ6j8AAAAAGAAAAPwIAPwAAgAAAAAAAPC/ArWmeccpOgfAAkp7gy9MpuK/AAAAACwABAQAAAAAAAAACAgMBAQAAAAADAQABAQAAAAEEAgMBAQAAAAEFAQABAQAAAAIGAQABAQAAAAMHAQABAQAAAAQIAQABAQAAAAUJAQABAQAAAAYHAgIBAQAAAAgJAgIBAQAAAAAAAEAAAAAAAAAAAAAAAAAAAAAAAAAAAA=</t>
        </r>
      </text>
    </comment>
    <comment ref="C334" authorId="0">
      <text>
        <r>
          <rPr>
            <sz val="9"/>
            <color indexed="81"/>
            <rFont val="Tahoma"/>
            <family val="2"/>
          </rPr>
          <t>Insight iXlW00003C0000334R0841462809S00000715P01040LAocjBAQBF1NjaVRlZ2ljLmRhdGEuTW9sZWN1bGUBbQF/ARJTY2lUZWdpYy5Nb2xlY3VsZQAAAQFkAv5qAQAAAAIAAjgYAAAA/AQA/AACAAAAAAAA8L8CwH0dOGdE+D8CMzMzMzMzBMAAAAAAGAAAAPwEAPwAAgAAAAAAAPC/AkXY8PRK2QFAAgAAAAAAgAfAAAAAABgAAAD8BAD8AAIAAAAAAADwvwLjx5i7lpAHQAIzMzMzMzMEwAAAAAAcAAAA/AgA/AACAAAAAAAA8L8CgbdAguJHDUACAAAAAACAB8AAAAAAGAAAAPwIAPwAAgAAAAAAAPC/Ao9TdCSXfxFAAjMzMzMzMwTAAAAAACAAAAD8BAD8AAIAAAAAAADwvwJCYOXQIlsUQAIAAAAAAIAHwAAAAAAYAAAA/AQA/AACAAAAAAAA8L8CEVg5tMg2F0ACMzMzMzMzBMAAAAAAGAAAAPwIAPwAAgAAAAAAAPC/AuBPjZduEhpAAgAAAAAAgAfAAAAAABgAAAD8CAD8AAIAAAAAAADwvwKwA+eMKO0cQAKyv+yePCwEwAAAAAAYAAAA/AgA/AACAAAAAAAA8L8C0UTY8PTKH0ACB1+YTBUMDsAAAAAAGAAAAPwIAPwAAgAAAAAAAPC/Ah44Z0Rp7xxAAljKMsSxrhDAAAAAABgAAAD8CAD8AAIAAAAAAADwvwIRx7q4jcYfQALEQq1p3nEHwAAAAAAYAAAA/AgA/AACAAAAAAAA8L8C5IOezaoPGkACFa5H4XoUDsAAAAAAIAAAAPwIAPwAAgAAAAAAAPC/Ao9TdCSXfxFAAjQzMzMzM/u/AAAAADgIDAQAAAAAAAAYHAQAAAAAAAAcIAgMBAQAAAAkKAQABAQAAAAMEAQAAAAAAAAECAQAAAAAAAAQFAQAAAAAAAAABAQAAAAAAAAcMAQABAQAAAAgLAQABAQAAAAsJAgIBAQAAAAoMAgIBAQAAAAUGAQAAAAAAAAQNAgAAAAAAAAAAAEAAAAAAAAAAAAAAAAAAAAAAAAAAAA=</t>
        </r>
      </text>
    </comment>
    <comment ref="C335" authorId="0">
      <text>
        <r>
          <rPr>
            <sz val="9"/>
            <color indexed="81"/>
            <rFont val="Tahoma"/>
            <family val="2"/>
          </rPr>
          <t>Insight iXlW00003C0000335R0841462809S00000716P00768LAocjBAQBF1NjaVRlZ2ljLmRhdGEuTW9sZWN1bGUBbQF/ARJTY2lUZWdpYy5Nb2xlY3VsZQAAAQFkAv5qAQAAAAIAAigYAAAA/AgA/AACAAAAAAAA8L8CmpmZmZmZub8CnMQgsHJo1b8AAAAAGAAAAPwIAPwAAgAAAAAAAPC/Ap2iI7n8h/M/Asl2vp8aL8U/AAAAABwAAAD8CAD8AAIAAAAAAADwvwKdoiO5/IfzvwKWsgxxrIvhPwAAAAAYAAAA/AgA/AACAAAAAAAA8L8C54wo7Q2+1L8C9wZfmEwV/L8AAAAAIAAAAPwEAPwAAgAAAAAAAPC/AlJJnYAmwgJAAlAeFmpN8+a/AAAAACAAAAD8CAD8AAIAAAAAAADwvwI9LNSa5h33PwKppE5AE2H5PwAAAAAYAAAA/AgA/AACAAAAAAAA8L8CZF3cRgN4BMACRIts5/upoT8AAAAAGAAAAPwEAPwAAgAAAAAAAPC/AtxoAG+BhA1AArfRAN4CCcq/AAAAABgAAAD8BAD8AAIAAAAAAADwvwLcaABvgYQNwAJyio7k8h/uPwAAAAAgAAAA/AgA/AACAAAAAAAA8L8CKqkT0ERYBsAChXzQs1n19b8AAAAAJAAEBAAAAAAAAAAIBAAAAAAAAAAMCAAAAAAAAAQQBAAAAAAAAAQUCAAAAAAAAAgYBAAAAAAAABAcBAAAAAAAABggBAAAAAAAABgkCAAAAAAAAAAAAQAAAAAAAAAAAAAAAAAAAAAAAAAAAA==</t>
        </r>
      </text>
    </comment>
    <comment ref="C336" authorId="0">
      <text>
        <r>
          <rPr>
            <sz val="9"/>
            <color indexed="81"/>
            <rFont val="Tahoma"/>
            <family val="2"/>
          </rPr>
          <t>Insight iXlW00003C0000336R0841462809S00000717P01104LAocjBAQBF1NjaVRlZ2ljLmRhdGEuTW9sZWN1bGUBbQF/ARJTY2lUZWdpYy5Nb2xlY3VsZQAAAQFkAv5qAQAAAAIAAjwYAAAA/AgA/AACAAAAAAAA8L8CAAAAAAAACEACm+Ydp+jICkAAAAAAGAAAAPwIAPwAAgAAAAAAAPC/AgAAAAAAAA5AAmb35GGhlhJAAAAAABwAAAD8CAD8AAIAAAAAAADwvwIAAAAAAAAOQAIxCKwcWmQAQAAAAAAYAAAA/AgA/AACAAAAAAAA8L8CAAAAAAAA+D8Cm+Ydp+jICkAAAAAAGAAAAPwIAPwAAgAAAAAAAPC/AgAAAAAAABVAAmb35GGhlhJAAAAAABgAAAD8CAD8AAIAAAAAAADwvwIMk6mCUUkGQALNzMzMzMzsPwAAAAAgAAAA/AQA/AACAAAAAAAA8L8CAAAAAAAA6D8CMQisHFpkAEAAAAAAIAAAAPwIAPwAAgAAAAAAAPC/AgAAAAAAAOg/Amb35GGhlhJAAAAAABgAAAD8CAD8AAIAAAAAAADwvwIAAAAAAAAYQAKb5h2n6MgXQAAAAAAYAAAA/AgA/AACAAAAAAAA8L8CAAAAAAAAGEACm+Ydp+jICkAAAAAAGAAAAPwEAPwAAgAAAAAAAPC/Avkx5q4lZApAAspUwaikTuC/AAAAACAAAAD8CAD8AAIAAAAAAADwvwLzH9JvXwf8PwJwXwfOGVHxPwAAAAAYAAAA/AgA/AACAAAAAAAA8L8CAAAAAAAAHkACm+Ydp+jIF0AAAAAAGAAAAPwIAPwAAgAAAAAAAPC/AgAAAAAAAB5AApvmHafoyApAAAAAABgAAAD8CAD8AAIAAAAAAADwvwIAAAAAAIAgQAJm9+RhoZYSQAAAAAA8AAQICAAAAAAAAAgEAAAAAAAAAAwEAAAAAAAABBAEAAAAAAAACBQEAAAAAAAADBgEAAAAAAAADBwIAAAAAAAAECAIDAQEAAAAECQEAAQEAAAAFCgEAAAAAAAAFCwIAAAAAAAAIDAEAAQEAAAAJDQICAQEAAAAMDgICAQEAAAANDgEAAQEAAAAAAABAAAAAAAAAAAAAAAAAAAAAAAAAAAA</t>
        </r>
      </text>
    </comment>
    <comment ref="C337" authorId="0">
      <text>
        <r>
          <rPr>
            <sz val="9"/>
            <color indexed="81"/>
            <rFont val="Tahoma"/>
            <family val="2"/>
          </rPr>
          <t>Insight iXlW00003C0000337R0841462809S00000718P00768LAocjBAQBF1NjaVRlZ2ljLmRhdGEuTW9sZWN1bGUBbQF/ARJTY2lUZWdpYy5Nb2xlY3VsZQAAAQFkAv5qAQAAAAIAAigYAAAA/AgA/AACAAAAAAAA8L8CBhIUP8bc4z8C9wZfmEwV1D8AAAAAGAAAAPwIAPwAAgAAAAAAAPC/Au/Jw0KtaeS/AiFB8WPMXdu/AAAAACAAAAD8BAD8AAIAAAAAAADwvwL+9nXgnBH+PwLmP6Tfvg7YvwAAAAAgAAAA/AgA/AACAAAAAAAA8L8CBhIUP8bc4z8CFR3J5T+k+z8AAAAAGAAAAPwIAPwAAgAAAAAAAPC/AqOSOgFNhP2/AkzIBz2bVc8/AAAAABgAAAD8BAD8AAIAAAAAAADwvwKCBMWPMfcIQAL3Bl+YTBXUPwAAAAAcAAAA/AQA/AACAAAAAAAA8L8CVVInoImwCMAC8mPMXUvI378AAAAAGAAAAPwEAPwAAgAAAAAAAPC/AqmkTkATYRFAAlAeFmpN89a/AAAAABgAAAD8BAD8AAIAAAAAAADwvwJaZDvfT40IwALu68A5I0r+vwAAAAAYAAAA/AQA/AACAAAAAAAA8L8CqaROQBNhEcACBqOSOgFNxD8AAAAAJAAEBAAAAAAAAAAIBAAAAAAAAAAMCAAAAAAAAAQQCAwAAAAAAAgUBAAAAAAAABAYBAAAAAAAABQcBAAAAAAAABggBAAAAAAAABgkBAAAAAAAAAAAAQAAAAAAAAAAAAAAAAAAAAAAAAAAAA==</t>
        </r>
      </text>
    </comment>
    <comment ref="C338" authorId="0">
      <text>
        <r>
          <rPr>
            <sz val="9"/>
            <color indexed="81"/>
            <rFont val="Tahoma"/>
            <family val="2"/>
          </rPr>
          <t>Insight iXlW00003C0000338R0841462809S00000719P00976LAocjBAQBF1NjaVRlZ2ljLmRhdGEuTW9sZWN1bGUBbQF/ARJTY2lUZWdpYy5Nb2xlY3VsZQAAAQFkAv5qAQAAAAIAAjQYAAAA/AgA/AACAAAAAAAA8L8CwqikTkAT/T8ClrIMcayL4b8AAAAAHAAAAPwIAPwAAgAAAAAAAPC/Ao51cRsN4OE/AhIUP8bctfG/AAAAABgAAAD8CAD8AAIAAAAAAADwvwJh5dAi23kHQAKUh4Va07z1vwAAAAAYAAAA/AgA/AACAAAAAAAA8L8CLiEf9GxW/z8Ck8t/SL996T8AAAAAGAAAAPwIAPwAAgAAAAAAAPC/ArTIdr6fGuG/AiWX/5B++9K/AAAAABgAAAD8CAD8AAIAAAAAAADwvwIvbqMBvMUQQAKTy39Iv33pvwAAAAAYAAAA/AgA/AACAAAAAAAA8L8Ci47k8h/SCUAClIeFWtO89T8AAAAAGAAAAPwEAPwAAgAAAAAAAPC/AlVSJ6CJsPy/AjcawFsgQeu/AAAAACAAAAD8CAD8AAIAAAAAAADwvwK4rwPnjCjZvwLE0ytlGeLwPwAAAAAYAAAA/AgA/AACAAAAAAAA8L8CqaROQBNhEUAClrIMcayL4T8AAAAAGAAAAPwIAPwAAgAAAAAAAPC/AvJjzF1LSAfAAlHaG3xhMqW/AAAAABgAAAD8BAD8AAIAAAAAAADwvwL99nXgnBEGwAJGR3L5D+n0PwAAAAAgAAAA/AgA/AACAAAAAAAA8L8ClBgEVg6tEMACMzMzMzMz478AAAAANAAEBAAAAAAAAAAICAwEBAAAAAAMBAAEBAAAAAQQBAAAAAAAAAgUBAAEBAAAAAwYCAgEBAAAABAcBAAAAAAAABAgCAAAAAAAABQkCAgEBAAAABwoBAAAAAAAACgsBAAAAAAAACgwCAAAAAAAABgkBAAEBAAAAAAAAQAAAAAAAAAAAAAAAAAAAAAAAAAAAA==</t>
        </r>
      </text>
    </comment>
    <comment ref="C339" authorId="0">
      <text>
        <r>
          <rPr>
            <sz val="9"/>
            <color indexed="81"/>
            <rFont val="Tahoma"/>
            <family val="2"/>
          </rPr>
          <t>Insight iXlW00003C0000339R0841462809S00000720P00832LAocjBAQBF1NjaVRlZ2ljLmRhdGEuTW9sZWN1bGUBbQF/ARJTY2lUZWdpYy5Nb2xlY3VsZQAAAQFkAv5qAQAAAAIAAiwcAAAA/AgA/AACAAAAAAAA8L8CCvmgZ7Pq878Cf/s6cM6Isr8AAAAAGAAAAPwIAPwAAgAAAAAAAPC/Ap7vp8ZLN8E/AvJjzF1LyM8/AAAAABgAAAD8BAD8AAIAAAAAAADwvwIDCYofY+4BwAJjf9k9eVjuPwAAAAAYAAAA/AQA/AACAAAAAAAA8L8CcF8HzhlR+r8CKjqSy39I978AAAAAGAAAAPwEAPwAAgAAAAAAAPC/An9qvHSTGPI/At4CCYofY+i/AAAAACAAAAD8CAD8AAIAAAAAAADwvwKti9toAG/hPwJ/arx0kxj6PwAAAAAYAAAA/AQA/AACAAAAAAAA8L8CQDVeukkMDcACOwFNhA1P4z8AAAAAGAAAAPwEAPwAAgAAAAAAAPC/AuviNhrAWwjAAs3MzMzMzPy/AAAAABgAAAD8CAD8AAIAAAAAAADwvwJzaJHtfD8EQAIhQfFjzF3bvwAAAAAYAAAA/AQA/AACAAAAAAAA8L8CppvEILByB0ACcoqO5PIf7j8AAAAAIAAAAPwIAPwAAgAAAAAAAPC/AvH0SlmGOAxAAqabxCCwcve/AAAAACgABAQAAAAAAAAACAQAAAAAAAAADAQAAAAAAAAEEAQAAAAAAAAEFAgAAAAAAAAIGAQAAAAAAAAMHAQAAAAAAAAQIAQAAAAAAAAgJAQAAAAAAAAgKAgAAAAAAAAAAAEAAAAAAAAAAAAAAAAAAAAAAAAAAAA=</t>
        </r>
      </text>
    </comment>
    <comment ref="C340" authorId="0">
      <text>
        <r>
          <rPr>
            <sz val="9"/>
            <color indexed="81"/>
            <rFont val="Tahoma"/>
            <family val="2"/>
          </rPr>
          <t>Insight iXlW00003C0000340R0841462809S00000721P01052LAocjBAQBF1NjaVRlZ2ljLmRhdGEuTW9sZWN1bGUBbQF/ARJTY2lUZWdpYy5Nb2xlY3VsZQAAAQFkAv5qAQAAAAIAAjgcAAAA/AgA/AACAAAAAAAA8L8CUkmdgCbC+r8CumsJ+aBno78AAAAAGAAAAPwEAPwAAgAAAAAAAPC/Aj0s1JrmHd+/Aqk1zTtO0dk/AAAAABgAAAD8CAD8AAIAAAAAAADwvwINAiuHFtkFwAKrz9VW7C/lPwAAAAAYAAAA/AQA/AACAAAAAAAA8L8CeXqlLEMcAMAC++3rwDkj9L8AAAAAGAAAAPwEAPwAAgAAAAAAAPC/Aj0s1JrmHd8/Aqk1zTtO0dm/AAAAABgAAAD8BAD8AAIAAAAAAADwvwLQRNjw9MoNwAJpAG+BBMW/vwAAAAAgAAAA/AgA/AACAAAAAAAA8L8CbHh6pSxDBsACSVD8GHPX/j8AAAAAGAAAAPwEAPwAAgAAAAAAAPC/ArIubqMBPArAAkku/yH99vS/AAAAABwAAAD8CAD8AAIAAAAAAADwvwJSSZ2AJsL6PwK6awn5oGejPwAAAAAYAAAA/AgA/AACAAAAAAAA8L8CDQIrhxbZBUACq8/VVuwv5b8AAAAAGAAAAPwEAPwAAgAAAAAAAPC/Anl6pSxDHABAAvvt68A5I/Q/AAAAABgAAAD8BAD8AAIAAAAAAADwvwLQRNjw9MoNQAJpAG+BBMW/PwAAAAAgAAAA/AgA/AACAAAAAAAA8L8CbHh6pSxDBkACSVD8GHPX/r8AAAAAGAAAAPwEAPwAAgAAAAAAAPC/ArIubqMBPApAAkku/yH99vQ/AAAAADwABAQAAAAAAAAACAQABAAAAAAADAQABAAAAAAEEAQAAAAAAAAIFAQABAAAAAAIGAgAAAAAAAAMHAQABAAAAAAQIAQAAAAAAAAgJAQABAAAAAAgKAQABAAAAAAkLAQABAAAAAAkMAgAAAAAAAAoNAQABAAAAAAUHAQABAAAAAAsNAQABAAAAAAAAAEAAAAAAAAAAAAAAAAAAAAAAAAAAAA=</t>
        </r>
      </text>
    </comment>
    <comment ref="C341" authorId="0">
      <text>
        <r>
          <rPr>
            <sz val="9"/>
            <color indexed="81"/>
            <rFont val="Tahoma"/>
            <family val="2"/>
          </rPr>
          <t>Insight iXlW00003C0000341R0841462809S00000722P00844LAocjBAQBF1NjaVRlZ2ljLmRhdGEuTW9sZWN1bGUBbQF/ARJTY2lUZWdpYy5Nb2xlY3VsZQAAAQFkAv5qAQAAAAIAAiwYAAAA/AQA/AACAAAAAAAA8L8C18VtNIC3GEACG55eKcsQ6b8AAAAAGAAAAPwIAPwAAgAAAAAAAPC/AtfFbTSAtxhAAkGC4seYu/m/AAAAABwAAAD8CAD8AAIAAAAAAADwvwLjx5i7lpAbQALgvg6cMyIAwAAAAAAYAAAA/AQA/AACAAAAAAAA8L8C48eYu5aQG0ACZF3cRgN4178AAAAAGAAAAPwEAPwAAgAAAAAAAPC/Au/Jw0KtaR5AAhueXinLEOm/AAAAABgAAAD8BAD8AAIAAAAAAADwvwISpb3BF2YeQAJBguLHmLv5vwAAAAAYAAAA/AgA/AACAAAAAAAA8L8Cy6FFtvOdIEACsr/snjwsAMAAAAAAIAAAAPwEAPwAAgAAAAAAAPC/AnctIR/0DCJAAjGZKhiV1Pm/AAAAABgAAAD8BAD8AAIAAAAAAADwvwLmP6Tfvg4iQAL7y+7Jw0LpvwAAAAAgAAAA/AgA/AACAAAAAAAA8L8CsVBrmnfcFUACW0I+6NksAMAAAAAAIAAAAPwIAPwAAgAAAAAAAPC/ArMMcayLmyBAAhODwMqhxQbAAAAAACwABAQABAAAAAAADAQABAAAAAAECAQABAAAAAAIFAQABAAAAAAUGAQAAAAAAAAYHAQAAAAAAAAcIAQAAAAAAAAQDAQABAAAAAAEJAgAAAAAAAAQFAQABAAAAAAYKAgAAAAAAAAAAAEAAAAAAAAAAAAAAAAAAAAAAAAAAAA=</t>
        </r>
      </text>
    </comment>
    <comment ref="C342" authorId="0">
      <text>
        <r>
          <rPr>
            <sz val="9"/>
            <color indexed="81"/>
            <rFont val="Tahoma"/>
            <family val="2"/>
          </rPr>
          <t>Insight iXlW00003C0000342R0841462809S00000723P01096LAocjBAQBF1NjaVRlZ2ljLmRhdGEuTW9sZWN1bGUBbQF/ARJTY2lUZWdpYy5Nb2xlY3VsZQAAAQFkAv5qAQAAAAIAAjwYAAAA/AgA/AACAAAAAAAA8L8C2fD0SlmGC0ACtOpztRX7378AAAAAGAAAAPwIAPwAAgAAAAAAAPC/Atnw9EpZhgtAAhriWBe30fe/AAAAABgAAAD8CAD8AAIAAAAAAADwvwIi/fZ14JwEQAAAAAAAGAAAAPwIAPwAAgAAAAAAAPC/AiL99nXgnARAAsfctYR80P+/AAAAABgAAAD8CAD8AAIAAAAAAADwvwJUdCSX/5D7PwK06nO1FfvfvwAAAAAYAAAA/AgA/AACAAAAAAAA8L8CVHQkl/+Q+z8CGuJYF7fR978AAAAAHAAAAPwIAPwAAgAAAAAAAPC/As4ZUdobfOs/AAAAAAAYAAAA/AgA/AACAAAAAAAA8L8CzhlR2ht86z8Cx9y1hHzQ/78AAAAAGAAAAPwIAPwAAgAAAAAAAPC/ApX2Bl+YTHW/ArTqc7UV+9+/AAAAABgAAAD8CAD8AAIAAAAAAADwvwKV9gZfmEx1vwIa4lgXt9H3vwAAAAAYAAAA/AQA/AACAAAAAAAA8L8C8kHPZtXn8L8CWvW52or91b8AAAAAHAAAAPwIAPwAAgAAAAAAAPC/AtgS8kHPZvi/AgfwFkhQ/Oo/AAAAABgAAAD8CAD8AAIAAAAAAADwvwIZBFYOLbIEwALazvdT46XvPwAAAAAgAAAA/AgA/AACAAAAAAAA8L8C2fD0SlmGC8ACeJyiI7n83z8AAAAAGAAAAPwEAPwAAgAAAAAAAPC/AhkEVg4tsgTAAsfctYR80P8/AAAAAAEQAAQEAAQEAAAAAAgICAQEAAAABAwICAQEAAAACBAEAAQEAAAADBQEAAQEAAAAEBQICAQEAAAAEBgEAAQEAAAAFBwEAAQEAAAAGCAICAQEAAAAHCQICAQEAAAAICQEAAQEAAAAICgEAAAAAAAAKCwEAAAAAAAALDAEAAAAAAAAMDQIAAAAAAAAMDgEAAAAAAAAAAABAAAAAAAAAAAAAAAAAAAAAAAAAAAA</t>
        </r>
      </text>
    </comment>
    <comment ref="C343" authorId="0">
      <text>
        <r>
          <rPr>
            <sz val="9"/>
            <color indexed="81"/>
            <rFont val="Tahoma"/>
            <family val="2"/>
          </rPr>
          <t>Insight iXlW00003C0000343R0841462809S00000724P00700LAocjBAQBF1NjaVRlZ2ljLmRhdGEuTW9sZWN1bGUBbQF/ARJTY2lUZWdpYy5Nb2xlY3VsZQAAAQFkAv5qAQAAAAIAAiQYAAAA/AgA/AACAAAAAAAA8L8Cpb3BFyZT4T8CBqOSOgFNxD8AAAAAGAAAAPwEAPwAAgAAAAAAAPC/AqW9wRcmU+G/Au0NvjCZKui/AAAAABwAAAD8CAD8AAIAAAAAAADwvwJjf9k9eVj+PwLnjCjtDb7UvwAAAAAgAAAA/AgA/AACAAAAAAAA8L8CJZf/kH770j8Ctch2vp8a+T8AAAAAGAAAAPwIAPwAAgAAAAAAAPC/AmN/2T15WP6/AgjOGVHaG9C/AAAAABgAAAD8BAD8AAIAAAAAAADwvwJz+Q/pty8BQAKOl24Sg8D7vwAAAAAYAAAA/AQA/AACAAAAAAAA8L8CAAAAAAAACEACUkmdgCbC4j8AAAAAGAAAAPwEAPwAAgAAAAAAAPC/AgAAAAAAAAjAAsfctYR80PK/AAAAACAAAAD8CAD8AAIAAAAAAADwvwJz+Q/pty8BwALo2az6XG3yPwAAAAAgAAQEAAAAAAAAAAgEAAAAAAAAAAwIAAAAAAAABBAEAAAAAAAACBQEAAAAAAAACBgEAAAAAAAAEBwEAAAAAAAAECAIAAAAAAAAAAABAAAAAAAAAAAAAAAAAAAAAAAAAAAA</t>
        </r>
      </text>
    </comment>
    <comment ref="C344" authorId="0">
      <text>
        <r>
          <rPr>
            <sz val="9"/>
            <color indexed="81"/>
            <rFont val="Tahoma"/>
            <family val="2"/>
          </rPr>
          <t>Insight iXlW00003C0000344R0841462809S00000725P00716LAocjBAQBF1NjaVRlZ2ljLmRhdGEuTW9sZWN1bGUBbQF/ARJTY2lUZWdpYy5Nb2xlY3VsZQAAAQFkAv5qAQAAAAIAAiQYAAAA/AgA/AACAAAAAAAA8L8CbXh6pSxDfD8CIUHxY8xdy78AAAAAARAAAAD8BAD8AAIAAAAAAADwvwJdbcX+snvyPwJPQBNhw9PwvwAAAAAcAAAA/AgA/AACAAAAAAAA8L8CqOhILv8h3T8CcF8HzhlR8j8AAAAAARAAAAD8BAD8AAIAAAAAAADwvwKFfNCzWfX1vwLRs1n1udrkvwAAAAAYAAAA/AgA/AACAAAAAAAA8L8CG55eKcuQAkACmpmZmZmZyb8AAAAAHAAAAPwIAPwAAgAAAAAAAPC/AvoP6bevA/4/AnBfB84ZUfI/AAAAABgAAAD8BAD8AAIAAAAAAADwvwLiWBe30YADwALZ8PRKWYbUPwAAAAAcAAAA/AQA/AACAAAAAAAA8L8CGCZTBaOSDUACMzMzMzMz478AAAAAGAAAAPwEAPwAAgAAAAAAAPC/AmdmZmZmZg7AAqjoSC7/Ib2/AAAAACQABAQABAQAAAAACAgIBAQAAAAADAQAAAAAAAAEEAQABAQAAAAIFAQABAQAAAAMGAQAAAAAAAAQHAQAAAAAAAAYIAQAAAAAAAAQFAgIBAQAAAAAAAEAAAAAAAAAAAAAAAAAAAAAAAAAAAA=</t>
        </r>
      </text>
    </comment>
    <comment ref="C345" authorId="0">
      <text>
        <r>
          <rPr>
            <sz val="9"/>
            <color indexed="81"/>
            <rFont val="Tahoma"/>
            <family val="2"/>
          </rPr>
          <t>Insight iXlW00003C0000345R0841462809S00000726P01040LAocjBAQBF1NjaVRlZ2ljLmRhdGEuTW9sZWN1bGUBbQF/ARJTY2lUZWdpYy5Nb2xlY3VsZQAAAQFkAv5qAQAAAAIAAjgYAAAA/AgA/AACAAAAAAAA8L8CzczMzMzM/L8CbqMBvAUS5r8AAAAAGAAAAPwEAPwAAgAAAAAAAPC/AvH0SlmGOAjAAmN/2T15WPa/AAAAABgAAAD8CAD8AAIAAAAAAADwvwLNzMzMzMz8vwIMJCh+jLnnPwAAAAAYAAAA/AgA/AACAAAAAAAA8L8Cf2q8dJMY4r8CY3/ZPXlY9r8AAAAAJAAAAPwEAPwAAgAAAAAAAPC/AkGC4seYexDAAm3n+6nxUgHAAAAAACQAAAD8BAD8AAIAAAAAAADwvwKdoiO5/IcHwAIbnl4py5AGwAAAAAAkAAAA/AQA/AACAAAAAAAA8L8C9rnaiv2lEMACtMh2vp8a4b8AAAAAGAAAAPwIAPwAAgAAAAAAAPC/AnBfB84ZUeK/Aio6kst/SPc/AAAAABgAAAD8CAD8AAIAAAAAAADwvwKjkjoBTYTlPwJ+rrZif9nlvwAAAAAYAAAA/AgA/AACAAAAAAAA8L8Csp3vp8ZL5T8CE/JBz2bV5z8AAAAAGAAAAPwIAPwAAgAAAAAAAPC/Au7rwDkjSv4/Ah8Wak3zjvc/AAAAABwAAAD8CAD8AAIAAAAAAADwvwJGR3L5D+kIQAIE54wo7Q3oPwAAAAAgAAAA/AgA/AACAAAAAAAA8L8CgZVDi2zn/T8CrK3YX3ZPB0AAAAAAGAAAAPwEAPwAAgAAAAAAAPC/AqmkTkATYRFAAio6kst/SPc/AAAAADgABAQAAAAAAAAACAgMBAQAAAAADAQABAQAAAAEEAQAAAAAAAAEFAQAAAAAAAAEGAQAAAAAAAAIHAQABAQAAAAMIAgIBAQAAAAcJAgMBAQAAAAkKAQAAAAAAAAoLAQAAAAAAAAoMAgAAAAAAAAsNAQAAAAAAAAgJAQABAQAAAAAAAEAAAAAAAAAAAAAAAAAAAAAAAAAAAA=</t>
        </r>
      </text>
    </comment>
    <comment ref="C346" authorId="0">
      <text>
        <r>
          <rPr>
            <sz val="9"/>
            <color indexed="81"/>
            <rFont val="Tahoma"/>
            <family val="2"/>
          </rPr>
          <t>Insight iXlW00003C0000346R0841462809S00000727P00856LAocjBAQBF1NjaVRlZ2ljLmRhdGEuTW9sZWN1bGUBbQF/ARJTY2lUZWdpYy5Nb2xlY3VsZQAAAQFkAv5qAQAAAAIAAiwYAAAA/AQA/AACAAAAAAAA8L8Cx7q4jQbwpr8C3gIJih9j6D8AAAAAGAAAAPwEAPwAAgAAAAAAAPC/Ase6uI0G8Ka/AtGzWfW52uS/AAAAABgAAAD8CAD8AAIAAAAAAADwvwLf4AuTqYL2vwKsrdhfdk/zPwAAAAAYAAAA/AQA/AACAAAAAAAA8L8CMEymCkYl8z8Cl5APejar9z8AAAAAGAAAAPwIAPwAAgAAAAAAAPC/At/gC5Opgva/Ap6AJsKGp/G/AAAAABgAAAD8BAD8AAIAAAAAAADwvwIwTKYKRiXzPwJyio7k8h/2vwAAAAAcAAAA/AgA/AACAAAAAAAA8L8CfIMvTKYKAsACUdobfGEypT8AAAAAIAAAAPwIAPwAAgAAAAAAAPC/ApGg+DHmrv2/AlpkO99PjQRAAAAAABgAAAD8BAD8AAIAAAAAAADwvwLiWBe30YADQALeAgmKH2PoPwAAAAAgAAAA/AgA/AACAAAAAAAA8L8CkaD4Meau/b8CylTBqKTOA8AAAAAAGAAAAPwEAPwAAgAAAAAAAPC/AuJYF7fRgANAAtGzWfW52uS/AAAAADAABAQABAAAAAAACAQABAAAAAAADAQABAAAAAAEEAQABAAAAAAEFAQABAAAAAAIGAQABAAAAAAIHAgAAAAAAAAMIAQABAAAAAAQJAgAAAAAAAAUKAQABAAAAAAQGAQABAAAAAAgKAQABAAAAAAAAAEAAAAAAAAAAAAAAAAAAAAAAAAAAAA=</t>
        </r>
      </text>
    </comment>
    <comment ref="C347" authorId="0">
      <text>
        <r>
          <rPr>
            <sz val="9"/>
            <color indexed="81"/>
            <rFont val="Tahoma"/>
            <family val="2"/>
          </rPr>
          <t>Insight iXlW00003C0000347R0841462809S00000728P00712LAocjBAQBF1NjaVRlZ2ljLmRhdGEuTW9sZWN1bGUBbQF/ARJTY2lUZWdpYy5Nb2xlY3VsZQAAAQFkAv5qAQAAAAIAAiQYAAAA/AgA/AACAAAAAAAA8L8CumsJ+aBnoz8C5tAi2/l+6D8AAAAAGAAAAPwEAPwAAgAAAAAAAPC/AjBMpgpGJfO/Al8pyxDHuqg/AAAAABwAAAD8CAD8AAIAAAAAAADwvwJgdk8eFmr0PwLVCWgibHiqPwAAAAAgAAAA/AgA/AACAAAAAAAA8L8CumsJ+aBnoz8CGCZTBaOSAUAAAAAAGAAAAPwIAPwAAgAAAAAAAPC/AjBMpgpGJfO/AnZxGw3gLfa/AAAAABgAAAD8CAD8AAIAAAAAAADwvwJgdk8eFmr0PwL99nXgnBH2vwAAAAAcAAAA/AgA/AACAAAAAAAA8L8CRIts5/upoT8CzczMzMzMAMAAAAAAIAAAAPwIAPwAAgAAAAAAAPC/Ah8Wak3zjgPAAk9AE2HD0wDAAAAAACAAAAD8CAD8AAIAAAAAAADwvwI3qz5XWzEEQAJLWYY41sUAwAAAAAAkAAQEAAQAAAAAAAgEAAQAAAAAAAwIAAAAAAAABBAEAAQAAAAACBQEAAQAAAAAEBgEAAQAAAAAEBwIAAAAAAAAFCAIAAAAAAAAFBgEAAQAAAAAAAABAAAAAAAAAAAAAAAAAAAAAAAAAAAA</t>
        </r>
      </text>
    </comment>
    <comment ref="C348" authorId="0">
      <text>
        <r>
          <rPr>
            <sz val="9"/>
            <color indexed="81"/>
            <rFont val="Tahoma"/>
            <family val="2"/>
          </rPr>
          <t>Insight iXlW00003C0000348R0841462809S00000729P00552LAocjBAQBF1NjaVRlZ2ljLmRhdGEuTW9sZWN1bGUBbQF/ARJTY2lUZWdpYy5Nb2xlY3VsZQAAAQFkAv5qAQAAAAIAAhwYAAAA/AgA/AACAAAAAAAA8L8CHeviNhrA478AAAAAABgAAAD8BAD8AAIAAAAAAADwvwJR2ht8YTK1PwKRfvs6cM7zPwAAAAAYAAAA/AgA/AACAAAAAAAA8L8CUdobfGEytT8CkX77OnDO878AAAAAIAAAAPwIAPwAAgAAAAAAAPC/AmRd3EYDeADAAAAAAAAYAAAA/AQA/AACAAAAAAAA8L8C9dvXgXNG+D8CkX77OnDO8z8AAAAAGAAAAPwIAPwAAgAAAAAAAPC/AvXb14FzRvg/ApF++zpwzvO/AAAAABgAAAD8BAD8AAIAAAAAAADwvwIDCYofY+4BQAAAAAAAHAAEBAAEAAAAAAAIBAAEAAAAAAAMCAAAAAAAAAQQBAAEAAAAAAgUCAgEAAAAABAYBAAEAAAAABQYBAAEAAAAAAAAAQAAAAAAAAAAAAAAAAAAAAAAAAAAAA==</t>
        </r>
      </text>
    </comment>
    <comment ref="C349" authorId="0">
      <text>
        <r>
          <rPr>
            <sz val="9"/>
            <color indexed="81"/>
            <rFont val="Tahoma"/>
            <family val="2"/>
          </rPr>
          <t>Insight iXlW00003C0000349R0841462809S00000730P00572LAocjBAQBF1NjaVRlZ2ljLmRhdGEuTW9sZWN1bGUBbQF/ARJTY2lUZWdpYy5Nb2xlY3VsZQAAAQFkAv5qAQAAAAIAAhwYAAAA/AgA/AACAAAAAAAA8L8C2fD0SlmG5L8CnMQgsHJo1T8AAAAAGAAAAPwIAPwAAgAAAAAAAPC/Atnw9EpZhuQ/AphuEoPAyu0/AAAAACAAAAD8BAD8AAIAAAAAAADwvwK+wRcmUwX9vwJSSZ2AJsLyPwAAAAAgAAAA/AgA/AACAAAAAAAA8L8Cx7q4jQbw6L8CMSqpE9BE8b8AAAAAGAAAAPwIAPwAAgAAAAAAAPC/Ar7BFyZTBf0/AhPyQc9m1bc/AAAAABgAAAD8BAD8AAIAAAAAAADwvwKCBMWPMfcIwAJpke18PzXiPwAAAAAYAAAA/AQA/AACAAAAAAAA8L8CggTFjzH3CEACZ2ZmZmZm5j8AAAAAGAAEBAAAAAAAAAAIBAAAAAAAAAAMCAAAAAAAAAQQCAwAAAAAAAgUBAAAAAAAABAYBAAAAAAAAAAAAQAAAAAAAAAAAAAAAAAAAAAAAAAAAA==</t>
        </r>
      </text>
    </comment>
    <comment ref="C350" authorId="0">
      <text>
        <r>
          <rPr>
            <sz val="9"/>
            <color indexed="81"/>
            <rFont val="Tahoma"/>
            <family val="2"/>
          </rPr>
          <t>Insight iXlW00003C0000350R0841462809S00000731P00572LAocjBAQBF1NjaVRlZ2ljLmRhdGEuTW9sZWN1bGUBbQF/ARJTY2lUZWdpYy5Nb2xlY3VsZQAAAQFkAv5qAQAAAAIAAhwYAAAA/AgA/AACAAAAAAAA8L8CXynLEMe6qL8CUdobfGEytb8AAAAAGAAAAPwIAPwAAgAAAAAAAPC/Akku/yH99vQ/AqtgVFInoNU/AAAAABgAAAD8BAD8AAIAAAAAAADwvwKegCbChqfxvwLzH9JvXwfsPwAAAAAgAAAA/AgA/AACAAAAAAAA8L8CUB4Wak3z1r8CDCQofoy5978AAAAAGAAAAPwEAPwAAgAAAAAAAPC/AnyDL0ymCvo/Agr5oGez6vs/AAAAACAAAAD8CAD8AAIAAAAAAADwvwJDPujZrPoCQAIN4C2QoPjjvwAAAAAYAAAA/AQA/AACAAAAAAAA8L8CylTBqKTOA8ACxv6ye/Kw3D8AAAAAGAAEBAAAAAAAAAAIBAAAAAAAAAAMCAAAAAAAAAQQBAAAAAAAAAQUCAAAAAAAAAgYBAAAAAAAAAAAAQAAAAAAAAAAAAAAAAAAAAAAAAAAAA==</t>
        </r>
      </text>
    </comment>
    <comment ref="C351" authorId="0">
      <text>
        <r>
          <rPr>
            <sz val="9"/>
            <color indexed="81"/>
            <rFont val="Tahoma"/>
            <family val="2"/>
          </rPr>
          <t>Insight iXlW00003C0000351R0841462809S00000732P00792LAocjBAQBF1NjaVRlZ2ljLmRhdGEuTW9sZWN1bGUBbQF/ARJTY2lUZWdpYy5Nb2xlY3VsZQAAAQFkAv5qAQAAAAIAAigYAAAA/AgA/AACAAAAAAAA8L8Cqz5XW7G/xL8C87BQa5p33D8AAAAAGAAAAPwIAPwAAgAAAAAAAPC/AmHD0ytlGdI/AtWa5h2n6Oy/AAAAABgAAAD8CAD8AAIAAAAAAADwvwKamZmZmZn5vwIhQfFjzF3bPwAAAAAYAAAA/AgA/AACAAAAAAAA8L8CwOyePCzU6D8Cam/whclU+D8AAAAAGAAAAPwIAPwAAgAAAAAAAPC/ArfRAN4CCfs/Aru4jQbwFvO/AAAAABgAAAD8BAD8AAIAAAAAAADwvwIZBFYOLbLrvwJvgQTFjzH8vwAAAAAgAAAA/AQA/AACAAAAAAAA8L8Cc2iR7Xw/AMACoKut2F927b8AAAAAIAAAAPwIAPwAAgAAAAAAAPC/ApeQD3o2qwPAApayDHGsi/k/AAAAABgAAAD8CAD8AAIAAAAAAADwvwKgq63YX3YBQAIZBFYOLbLzPwAAAAAYAAAA/AgA/AACAAAAAAAA8L8CNjy9UpYhBUACXLG/7J48vL8AAAAALAAECAwEBAAAAAAIBAAEAAAAAAAMBAAEBAAAAAQQBAAEBAAAAAQUBAAEAAAAAAgYBAAEAAAAAAgcCAAAAAAAAAwgCAgEBAAAABAkCAgEBAAAABQYBAAEAAAAACAkBAAEBAAAAAAAAQAAAAAAAAAAAAAAAAAAAAAAAAAAAA==</t>
        </r>
      </text>
    </comment>
    <comment ref="C352" authorId="0">
      <text>
        <r>
          <rPr>
            <sz val="9"/>
            <color indexed="81"/>
            <rFont val="Tahoma"/>
            <family val="2"/>
          </rPr>
          <t>Insight iXlW00003C0000352R0841462809S00000733P01120LAocjBAQBF1NjaVRlZ2ljLmRhdGEuTW9sZWN1bGUBbQF/ARJTY2lUZWdpYy5Nb2xlY3VsZQAAAQFkAv5qAQAAAAIAAjwYAAAA/AgA/AACAAAAAAAA8L8CE/JBz2bVt78CjErqBDQR1r8AAAAAGAAAAPwIAPwAAgAAAAAAAPC/Atnw9EpZhvS/AgIrhxbZzts/AAAAABgAAAD8CAD8AAIAAAAAAADwvwI/V1uxv+zyPwKe76fGSzfRPwAAAAAcAAAA/AgA/AACAAAAAAAA8L8CE/JBz2bVx78CZF3cRgN4/L8AAAAAGAAAAPwIAPwAAgAAAAAAAPC/Aj9XW7G/7PK/AoGVQ4ts5/0/AAAAABgAAAD8CAD8AAIAAAAAAADwvwLc14FzRpQEwAIy5q4l5IPGvwAAAAAYAAAA/AgA/AACAAAAAAAA8L8C2fD0SlmG9D8CNxrAWyBB+z8AAAAAGAAAAPwIAPwAAgAAAAAAAPC/Aru4jQbwFgNAAvjCZKpgVOC/AAAAABwAAAD8BAD8AAIAAAAAAADwvwIbL90kBoH3vwKsrdhfdk8DwAAAAAAYAAAA/AgA/AACAAAAAAAA8L8Cu7iNBvAWA8ACY+5aQj5oBUAAAAAAGAAAAPwIAPwAAgAAAAAAAPC/Ajq0yHa+Hw7AAjsBTYQNT+M/AAAAABgAAAD8CAD8AAIAAAAAAADwvwLc14FzRpQEQAKUGARWDq0CQAAAAAAYAAAA/AgA/AACAAAAAAAA8L8CqaROQBNhDUACXLG/7J48vD8AAAAAGAAAAPwIAPwAAgAAAAAAAPC/AqmkTkATYQ3AAq8l5IOeTQBAAAAAABgAAAD8CAD8AAIAAAAAAADwvwI6tMh2vh8OQAJaZDvfT434PwAAAAABEAAEBAAAAAAAAAAIBAAAAAAAAAAMCAgAAAAAAAQQCAwEBAAAAAQUBAAEBAAAAAgYBAAEBAAAAAgcCAwEBAAAAAwgBAAAAAAAABAkBAAEBAAAABQoCAgEBAAAABgsCAgEBAAAABwwBAAEBAAAACQ0CAgEBAAAACw4BAAEBAAAACg0BAAEBAAAADA4CAgEBAAAAAAAAQAAAAAAAAAAAAAAAAAAAAAAAAAAAA==</t>
        </r>
      </text>
    </comment>
    <comment ref="C353" authorId="0">
      <text>
        <r>
          <rPr>
            <sz val="9"/>
            <color indexed="81"/>
            <rFont val="Tahoma"/>
            <family val="2"/>
          </rPr>
          <t>Insight iXlW00003C0000353R0841462809S00000734P01104LAocjBAQBF1NjaVRlZ2ljLmRhdGEuTW9sZWN1bGUBbQF/ARJTY2lUZWdpYy5Nb2xlY3VsZQAAAQFkAv5qAQAAAAIAAjwYAAAA/AQA/AACAAAAAAAA8L8Cf/s6cM6Isr8CwqikTkAT9b8AAAAAHAAAAPwIAPwAAgAAAAAAAPC/AsTTK2UZ4vA/AqvP1VbsL+W/AAAAABgAAAD8CAD8AAIAAAAAAADwvwJ/+zpwzoiyvwKCBMWPMfcEwAAAAAAYAAAA/AQA/AACAAAAAAAA8L8CMzMzMzMz878Cq8/VVuwv5b8AAAAAGAAAAPwIAPwAAgAAAAAAAPC/AnyDL0ymCuo/AhUdyeU/pOM/AAAAABwAAAD8CAD8AAIAAAAAAADwvwIzMzMzMzPzvwJ2cRsN4C0KwAAAAAAgAAAA/AgA/AACAAAAAAAA8L8CxNMrZRni8D8CdnEbDeAtCsAAAAAAGAAAAPwEAPwAAgAAAAAAAPC/AtnO91PjpQLAAsKopE5AE/W/AAAAACAAAAD8BAD8AAIAAAAAAADwvwJJLv8h/fb8PwKjtDf4wmT3PwAAAAAgAAAA/AgA/AACAAAAAAAA8L8Cih9j7lpC2r8CT0ATYcPT8D8AAAAAGAAAAPwEAPwAAgAAAAAAAPC/AtnO91PjpQLAAoIExY8x9wTAAAAAABgAAAD8BAD8AAIAAAAAAADwvwIrGJXUCWj1PwKgq63YX3YFQAAAAAAYAAAA/AQA/AACAAAAAAAA8L8C2c73U+OlAkAC8fRKWYY4DEAAAAAAGAAAAPwEAPwAAgAAAAAAAPC/Aqk1zTtO0dk/Ag+cM6K0twxAAAAAABgAAAD8BAD8AAIAAAAAAADwvwJR2ht8YTK1PwKdEaW9wZcCQAAAAAA8AAQEAAAAAAAAAAgEAAQAAAAAAAwEAAQAAAAABBAEAAAAAAAACBQEAAQAAAAACBgIAAAAAAAADBwEAAQAAAAAECAEAAAAAAAAECQIAAAAAAAAFCgEAAQAAAAAICwEAAAAAAAALDAEAAAAAAAALDQEAAAAAAAALDgEAAAAAAAAHCgEAAQAAAAAAAABAAAAAAAAAAAAAAAAAAAAAAAAAAAA</t>
        </r>
      </text>
    </comment>
    <comment ref="C354" authorId="0">
      <text>
        <r>
          <rPr>
            <sz val="9"/>
            <color indexed="81"/>
            <rFont val="Tahoma"/>
            <family val="2"/>
          </rPr>
          <t>Insight iXlW00003C0000354R0841462809S00000735P00712LAocjBAQBF1NjaVRlZ2ljLmRhdGEuTW9sZWN1bGUBbQF/ARJTY2lUZWdpYy5Nb2xlY3VsZQAAAQFkAv5qAQAAAAIAAiQYAAAA/AgA/AACAAAAAAAA8L8CvAUSFD/G0L8CumsJ+aBnoz8AAAAAGAAAAPwIAPwAAgAAAAAAAPC/AvOwUGuad9w/Atnw9EpZhvQ/AAAAABgAAAD8CAD8AAIAAAAAAADwvwLzsFBrmnfcPwK30QDeAgnzvwAAAAAYAAAA/AgA/AACAAAAAAAA8L8CNxrAWyBB+78CumsJ+aBnoz8AAAAAGAAAAPwIAPwAAgAAAAAAAPC/AnKKjuTyH/4/Atnw9EpZhvQ/AAAAABgAAAD8CAD8AAIAAAAAAADwvwJyio7k8h/+PwK30QDeAgnzvwAAAAAcAAAA/AgA/AACAAAAAAAA8L8C6Gor9pddA8AC2fD0SlmG9D8AAAAAHAAAAPwIAPwAAgAAAAAAAPC/AuhqK/aXXQPAArfRAN4CCfO/AAAAABgAAAD8CAD8AAIAAAAAAADwvwJPQBNhw9MEQAK6awn5oGejPwAAAAAkAAQEAAQEAAAAAAgICAQEAAAAAAwEAAAAAAAABBAICAQEAAAACBQEAAQEAAAADBgEAAAAAAAADBwIAAAAAAAAECAEAAQEAAAAFCAICAQEAAAAAAABAAAAAAAAAAAAAAAAAAAAAAAAAAAA</t>
        </r>
      </text>
    </comment>
    <comment ref="C355" authorId="0">
      <text>
        <r>
          <rPr>
            <sz val="9"/>
            <color indexed="81"/>
            <rFont val="Tahoma"/>
            <family val="2"/>
          </rPr>
          <t>Insight iXlW00003C0000355R0841462809S00000736P00604LAocjBAQBF1NjaVRlZ2ljLmRhdGEuTW9sZWN1bGUBbQF/ARJTY2lUZWdpYy5Nb2xlY3VsZQAAAQFkAv5qAQAAAAIAAiAYAAAA/AgA/AACAAAAAAAA8L8CUdobfGEytT8AAAAAABgAAAD8CAD8AAIAAAAAAADwvwKamZmZmZnpPwKRfvs6cM7zvwAAAAAYAAAA/AgA/AACAAAAAAAA8L8CmpmZmZmZ6T8CkX77OnDO8z8AAAAAGAAAAPwMAPwAAgAAAAAAAPC/AicxCKwcWvW/AAAAAAAYAAAA/AgA/AACAAAAAAAA8L8CDQIrhxbZAUACkX77OnDO878AAAAAGAAAAPwIAPwAAgAAAAAAAPC/Ag0CK4cW2QFAApF++zpwzvM/AAAAABwAAAD8DAD8AAIAAAAAAADwvwIwuycPCzUGwAAAAAAAGAAAAPwIAPwAAgAAAAAAAPC/ApeQD3o2qwdAAAAAAAAgAAQICAQEAAAAAAgEAAQEAAAAAAwEAAAAAAAABBAEAAQEAAAACBQICAQEAAAADBgMAAAAAAAAEBwICAQEAAAAFBwEAAQEAAAAAAABAAAAAAAAAAAAAAAAAAAAAAAAAAAA</t>
        </r>
      </text>
    </comment>
    <comment ref="C356" authorId="0">
      <text>
        <r>
          <rPr>
            <sz val="9"/>
            <color indexed="81"/>
            <rFont val="Tahoma"/>
            <family val="2"/>
          </rPr>
          <t>Insight iXlW00003C0000356R0841462809S00000737P00572LAocjBAQBF1NjaVRlZ2ljLmRhdGEuTW9sZWN1bGUBbQF/ARJTY2lUZWdpYy5Nb2xlY3VsZQAAAQFkAv5qAQAAAAIAAhwYAAAA/AgA/AACAAAAAAAA8L8CYVRSJ6CJ8r8CqhPQRNjw2D8AAAAAGAAAAPwIAPwAAgAAAAAAAPC/AAIZBFYOLbLzPwAAAAAcAAAA/AgA/AACAAAAAAAA8L8CXynLEMe65r8CNl66SQwC778AAAAAGAAAAPwEAPwAAgAAAAAAAPC/AvH0SlmGOATAAlYwKqkT0Oo/AAAAABgAAAD8CAD8AAIAAAAAAADwvwJhVFInoInyPwKqE9BE2PDYPwAAAAAgAAAA/AgA/AACAAAAAAAA8L8CXynLEMe65j8CNl66SQwC778AAAAAGAAAAPwEAPwAAgAAAAAAAPC/AvH0SlmGOARAAlYwKqkT0Oo/AAAAABwABAQABAQAAAAACAgIBAQAAAAADAQAAAAAAAAEEAgMBAQAAAAIFAQABAQAAAAQGAQAAAAAAAAQFAQABAQAAAAAAAEAAAAAAAAAAAAAAAAAAAAAAAAAAAA=</t>
        </r>
      </text>
    </comment>
    <comment ref="C357" authorId="0">
      <text>
        <r>
          <rPr>
            <sz val="9"/>
            <color indexed="81"/>
            <rFont val="Tahoma"/>
            <family val="2"/>
          </rPr>
          <t>Insight iXlW00003C0000357R0841462809S00000738P00856LAocjBAQBF1NjaVRlZ2ljLmRhdGEuTW9sZWN1bGUBbQF/ARJTY2lUZWdpYy5Nb2xlY3VsZQAAAQFkAv5qAQAAAAIAAiwYAAAA/AgA/AACAAAAAAAA8L8CLPaX3ZOH478ClrIMcayL4b8AAAAAGAAAAPwIAPwAAgAAAAAAAPC/AvJjzF1LyM8/AmFUUiegieI/AAAAABgAAAD8CAD8AAIAAAAAAADwvwLT3uALk6kAwAKWsgxxrIvhvwAAAAAcAAAA/AgA/AACAAAAAAAA8L8CjErqBDQRxr8Cak3zjlN0/r8AAAAAGAAAAPwIAPwAAgAAAAAAAPC/Aj9XW7G/7Po/AiFB8WPMXds/AAAAABgAAAD8CAD8AAIAAAAAAADwvwJwXwfOGVHSvwL+9nXgnBH+PwAAAAAYAAAA/AgA/AACAAAAAAAA8L8CtTf4wmQqBMACOUVHcvkP/78AAAAAHAAAAPwIAPwAAgAAAAAAAPC/ApCg+DHmrvW/ArhAguLHGAbAAAAAABgAAAD8CAD8AAIAAAAAAADwvwK1N/jCZCoEQALE0ytlGeL4PwAAAAAYAAAA/AgA/AACAAAAAAAA8L8CtMh2vp8a4T8CN6s+V1sxCEAAAAAAGAAAAPwIAPwAAgAAAAAAAPC/ArK/7J48LP8/AkM+6Nms+gZAAAAAADAABAQAAAAAAAAACAQABAQAAAAADAgMBAQAAAAEEAgMBAQAAAAEFAQABAQAAAAIGAgIBAQAAAAMHAQABAQAAAAQIAQABAQAAAAUJAgIBAQAAAAgKAgIBAQAAAAYHAQABAQAAAAkKAQABAQAAAAAAAEAAAAAAAAAAAAAAAAAAAAAAAAAAAA=</t>
        </r>
      </text>
    </comment>
    <comment ref="C358" authorId="0">
      <text>
        <r>
          <rPr>
            <sz val="9"/>
            <color indexed="81"/>
            <rFont val="Tahoma"/>
            <family val="2"/>
          </rPr>
          <t>Insight iXlW00003C0000358R0841462809S00000739P00648LAocjBAQBF1NjaVRlZ2ljLmRhdGEuTW9sZWN1bGUBbQF/ARJTY2lUZWdpYy5Nb2xlY3VsZQAAAQFkAv5qAQAAAAIAAiAYAAAA/AgA/AACAAAAAAAA8L8Ct9EA3gIJyr8C5BQdyeU/zD8AAAAAGAAAAPwIAPwAAgAAAAAAAPC/ArfRAN4CCco/AvjkYaHWNPK/AAAAABwAAAD8CAD8AAIAAAAAAADwvwLtDb4wmSroPwJRa5p3nKL0PwAAAAAcAAAA/AQA/AACAAAAAAAA8L8CnoAmwoan+b8CvJaQD3o24T8AAAAAGAAAAPwIAPwAAgAAAAAAAPC/Ap6AJsKGp/k/Aio6kst/SPe/AAAAABgAAAD8CAD8AAIAAAAAAADwvwKvtmJ/2T0BQAJbQj7o2azuPwAAAAAYAAAA/AQA/AACAAAAAAAA8L8CVVInoImwBMACCM4ZUdob4L8AAAAAGAAAAPwIAPwAAgAAAAAAAPC/AlVSJ6CJsARAAqoT0ETY8Ni/AAAAACAABAQABAQAAAAACAgIBAQAAAAADAQAAAAAAAAEEAgIBAQAAAAIFAQABAQAAAAMGAQAAAAAAAAQHAQABAQAAAAUHAgIBAQAAAAAAAEAAAAAAAAAAAAAAAAAAAAAAAAAAAA=</t>
        </r>
      </text>
    </comment>
    <comment ref="C359" authorId="0">
      <text>
        <r>
          <rPr>
            <sz val="9"/>
            <color indexed="81"/>
            <rFont val="Tahoma"/>
            <family val="2"/>
          </rPr>
          <t>Insight iXlW00003C0000359R0841462809S00000740P00844LAocjBAQBF1NjaVRlZ2ljLmRhdGEuTW9sZWN1bGUBbQF/ARJTY2lUZWdpYy5Nb2xlY3VsZQAAAQFkAv5qAQAAAAIAAiwYAAAA/AgA/AACAAAAAAAA8L8CaZHtfD814j8CIUHxY8xd278AAAAAGAAAAPwIAPwAAgAAAAAAAPC/AmmR7Xw/NeI/AoV80LNZ9f2/AAAAABgAAAD8CAD8AAIAAAAAAADwvwKjkjoBTYTlvwJDrWnecYrSPwAAAAAYAAAA/AgA/AACAAAAAAAA8L8CSS7/If32/D8CQ61p3nGK0j8AAAAAGAAAAPwIAPwAAgAAAAAAAPC/AqOSOgFNhOW/Ag+cM6K0twTAAAAAABgAAAD8CAD8AAIAAAAAAADwvwJYW7G/7J7+vwIhQfFjzF3bvwAAAAAcAAAA/AgA/AACAAAAAAAA8L8CSS7/If32/D8CJCh+jLlr+z8AAAAAHAAAAPwEAPwAAgAAAAAAAPC/AiigibDhaQhAAoofY+5aQtq/AAAAABgAAAD8CAD8AAIAAAAAAADwvwJYW7G/7J7+vwKFfNCzWfX9vwAAAAAgAAAA/AQA/AACAAAAAAAA8L8CSnuDL0ym4j8C6Gor9pddA0AAAAAAGAAAAPwEAPwAAgAAAAAAAPC/Aq+2Yn/ZPQnAAg+cM6K0twTAAAAAACwABAgIBAQAAAAACAQABAQAAAAADAQAAAAAAAAEEAQABAQAAAAIFAgIBAQAAAAMGAgIAAAAAAAMHAQAAAAAAAAQIAgMBAQAAAAYJAQAAAAAAAAgKAQAAAAAAAAUIAQABAQAAAAAAAEAAAAAAAAAAAAAAAAAAAAAAAAAAAA=</t>
        </r>
      </text>
    </comment>
    <comment ref="C360" authorId="0">
      <text>
        <r>
          <rPr>
            <sz val="9"/>
            <color indexed="81"/>
            <rFont val="Tahoma"/>
            <family val="2"/>
          </rPr>
          <t>Insight iXlW00003C0000360R0841462809S00000741P01264LAocjBAQBF1NjaVRlZ2ljLmRhdGEuTW9sZWN1bGUBbQF/ARJTY2lUZWdpYy5Nb2xlY3VsZQAAAQFkAv5qAQAAAAIAAgERGAAAAPwIAPwAAgAAAAAAAPC/Am8Sg8DKocU/Amx4eqUsQ+o/AAAAABwAAAD8CAD8AAIAAAAAAADwvwKHp1fKMsThvwJcsb/snjy8vwAAAAAYAAAA/AgA/AACAAAAAAAA8L8CHA3gLZCg9T8CseHplbIM6T8AAAAAHAAAAPwIAPwAAgAAAAAAAPC/Ah8Wak3zjt+/AkJg5dAi2/w/AAAAABgAAAD8CAD8AAIAAAAAAADwvwJOYhBYObT6vwJDrWnecYrSPwAAAAAgAAAA/AQA/AACAAAAAAAA8L8CqOhILv8hzb8Cfoy5awn5878AAAAAGAAAAPwIAPwAAgAAAAAAAPC/ApeQD3o2q/8/AlFrmnecovw/AAAAABgAAAD8CAD8AAIAAAAAAADwvwLjx5i7lpD+PwLpt68D54zQvwAAAAAYAAAA/AgA/AACAAAAAAAA8L8Cf2q8dJMY+r8Ck6mCUUmd9z8AAAAAGAAAAPwIAPwAAgAAAAAAAPC/ApSHhVrTvAXAArwFEhQ/xtC/AAAAABgAAAD8BAD8AAIAAAAAAADwvwJLWYY41sXwvwJPQBNhw9MAwAAAAAAYAAAA/AgA/AACAAAAAAAA8L8Cbef7qfFSCUACf4y5awn5+z8AAAAAGAAAAPwIAPwAAgAAAAAAAPC/AktZhjjWxQhAAjMzMzMzM9O/AAAAABgAAAD8CAD8AAIAAAAAAADwvwJ88rBQaxoFwAJPQBNhw9MAQAAAAAAYAAAA/AgA/AACAAAAAAAA8L8C0ETY8PTKDcACUB4Wak3z1j8AAAAAGAAAAPwIAPwAAgAAAAAAAPC/AtBE2PD0yg1AAm40gLdAguY/AAAAABgAAAD8CAD8AAIAAAAAAADwvwKgq63YX3YNwALXxW00gLf4PwAAAAABEwAEBAAEBAAAAAAIBAAAAAAAAAAMCAgEBAAAAAQQBAAEBAAAAAQUBAAAAAAAAAgYCAwEBAAAAAgcBAAEBAAAAAwgBAAEBAAAABAkBAAEBAAAABQoBAAAAAAAABgsBAAEBAAAABwwCAgEBAAAACA0BAAEBAAAACQ4CAgEBAAAACw8CAgEBAAAADQBEAgIBAQAAAAQIAgIBAQAAAAwPAQABAQAAAA4ARAEAAQEAAAAAAABAAAAAAAAAAAAAAAAAAAAAAAAAAAA</t>
        </r>
      </text>
    </comment>
    <comment ref="C361" authorId="0">
      <text>
        <r>
          <rPr>
            <sz val="9"/>
            <color indexed="81"/>
            <rFont val="Tahoma"/>
            <family val="2"/>
          </rPr>
          <t>Insight iXlW00003C0000361R0841462809S00000742P00712LAocjBAQBF1NjaVRlZ2ljLmRhdGEuTW9sZWN1bGUBbQF/ARJTY2lUZWdpYy5Nb2xlY3VsZQAAAQFkAv5qAQAAAAIAAiQcAAAA/AgA/AACAAAAAAAA8L8C8fRKWYY44L8Cnu+nxks30T8AAAAAGAAAAPwIAPwAAgAAAAAAAPC/Atqs+lxtxeC/AtnO91PjpfK/AAAAABgAAAD8CAD8AAIAAAAAAADwvwIiH/RsVn35vwLc14FzRpTsPwAAAAAYAAAA/AgA/AACAAAAAAAA8L8CWoY41sVt4j8C3NeBc0aU7D8AAAAAIAAAAPwEAPwAAgAAAAAAAPC/Al8pyxDHuuY/AoV80LNZ9f2/AAAAACAAAAD8CAD8AAIAAAAAAADwvwJzaJHtfD/8vwL+9nXgnBH+vwAAAAAYAAAA/AgA/AACAAAAAAAA8L8CIh/0bFZ9+b8CNjy9UpYhAUAAAAAAGAAAAPwIAPwAAgAAAAAAAPC/AlqGONbFbeI/AjY8vVKWIQFAAAAAABgAAAD8BAD8AAIAAAAAAADwvwKyv+yePCz/PwJwXwfOGVHyvwAAAAAkAAQEAAAAAAAAAAgEAAQEAAAAAAwEAAQEAAAABBAEAAAAAAAABBQIAAAAAAAACBgICAQEAAAADBwICAQEAAAAECAEAAAAAAAAGBwEAAQEAAAAAAABAAAAAAAAAAAAAAAAAAAAAAAAAAAA</t>
        </r>
      </text>
    </comment>
    <comment ref="C362" authorId="0">
      <text>
        <r>
          <rPr>
            <sz val="9"/>
            <color indexed="81"/>
            <rFont val="Tahoma"/>
            <family val="2"/>
          </rPr>
          <t>Insight iXlW00003C0000362R0841462809S00000743P01108LAocjBAQBF1NjaVRlZ2ljLmRhdGEuTW9sZWN1bGUBbQF/ARJTY2lUZWdpYy5Nb2xlY3VsZQAAAQFkAv5qAQAAAAIAAjwYAAAA/AgA/AACAAAAAAAA8L8CY+5aQj5oAUACf/s6cM6Iwj8AAAAAGAAAAPwIAPwAAgAAAAAAAPC/AjY8vVKWIfU/AvcGX5hMFdS/AAAAABgAAAD8CAD8AAIAAAAAAADwvwLi6ZWyDHEIQAKe76fGSzfRvwAAAAABEAAAAPwEAPwAAgAAAAAAAPC/AujZrPpcbQJAAhb7y+7Jw/E/AAAAABwAAAD8CAD8AAIAAAAAAADwvwIfFmpN847fPwK5jQbwFkjIPwAAAAAgAAAA/AgA/AACAAAAAAAA8L8CyeU/pN++9D8C3NeBc0aU9L8AAAAAHAAAAPwIAPwAAgAAAAAAAPC/AtBE2PD0yg1AAi/dJAaBlds/AAAAABgAAAD8BAD8AAIAAAAAAADwvwINAiuHFtkJQAKgibDh6ZXzvwAAAAAcAAAA/AgA/AACAAAAAAAA8L8C/fZ14JwRCkAC3NeBc0aU9D8AAAAAGAAAAPwEAPwAAgAAAAAAAPC/AkGC4seYu9a/Aq2L22gAb9G/AAAAABgAAAD8CAD8AAIAAAAAAADwvwJDPujZrPryvwLFILByaJHNPwAAAAAgAAAA/AQA/AACAAAAAAAA8L8CryXkg55NAMACqOhILv8hzb8AAAAAIAAAAPwIAPwAAgAAAAAAAPC/Atbnaiv2l/K/AjcawFsgQfM/AAAAABgAAAD8BAD8AAIAAAAAAADwvwLByqFFtvMGwAKA2T15WKjRPwAAAAAYAAAA/AQA/AACAAAAAAAA8L8C0ETY8PTKDcACE/JBz2bVx78AAAAAPAAEBAAAAAAAAAAICAwEBAAAAAAMBAAEBAAAAAQQBAAAAAAAAAQUCAAAAAAAAAgYBAAEBAAAAAgcBAAAAAAAAAwgBAAEBAAAABAkBAAAAAAAACQoBAAAAAAAACgsBAAAAAAAACgwCAAAAAAAACw0BAAAAAAAADQ4BAAAAAAAABggCAgEBAAAAAAAAQAAAAAAAAAAAAAAAAAAAAAAAAAAAA==</t>
        </r>
      </text>
    </comment>
    <comment ref="C363" authorId="0">
      <text>
        <r>
          <rPr>
            <sz val="9"/>
            <color indexed="81"/>
            <rFont val="Tahoma"/>
            <family val="2"/>
          </rPr>
          <t>Insight iXlW00003C0000363R0841462809S00000744P00520LAocjBAQBF1NjaVRlZ2ljLmRhdGEuTW9sZWN1bGUBbQF/ARJTY2lUZWdpYy5Nb2xlY3VsZQAAAQFkAv5qAQAAAAIAAhgYAAAA/AgA/AACAAAAAAAA8L8CL90kBoGV2z8CfGEyVTAqyb8AAAAAHAAAAPwIAPwAAgAAAAAAAPC/Am14eqUsQ3y/AnBfB84ZUfI/AAAAAAEQAAAA/AQA/AACAAAAAAAA8L8CDCQofoy5578CS1mGONbF8L8AAAAAIAAAAPwEAPwAAgAAAAAAAPC/AlFrmnecovw/AhUdyeU/pOO/AAAAABgAAAD8CAD8AAIAAAAAAADwvwIuIR/0bFb3vwJwXwfOGVHyPwAAAAAYAAAA/AgA/AACAAAAAAAA8L8C7uvAOSNK/r8Ca7x0kxgEzr8AAAAAGAAECAgEBAAAAAAIBAAEBAAAAAAMBAAAAAAAAAQQBAAEBAAAAAgUBAAEBAAAABAUCAgEBAAAAAAAAQAAAAAAAAAAAAAAAAAAAAAAAAAAAA==</t>
        </r>
      </text>
    </comment>
    <comment ref="C364" authorId="0">
      <text>
        <r>
          <rPr>
            <sz val="9"/>
            <color indexed="81"/>
            <rFont val="Tahoma"/>
            <family val="2"/>
          </rPr>
          <t>Insight iXlW00003C0000364R0841462809S00000745P00648LAocjBAQBF1NjaVRlZ2ljLmRhdGEuTW9sZWN1bGUBbQF/ARJTY2lUZWdpYy5Nb2xlY3VsZQAAAQFkAv5qAQAAAAIAAiAYAAAA/AgA/AACAAAAAAAA8L8CXynLEMe6uL8Csp3vp8ZL5b8AAAAAGAAAAPwIAPwAAgAAAAAAAPC/Al8pyxDHuri/AvXb14FzRug/AAAAABwAAAD8CAD8AAIAAAAAAADwvwI6I0p7gy/1vwL6D+m3rwP2vwAAAAABEAAAAPwEAPwAAgAAAAAAAPC/AnyDL0ymCvI/AvoP6bevA/a/AAAAABwAAAD8CAD8AAIAAAAAAADwvwI6I0p7gy/1vwIbL90kBoH3PwAAAAAYAAAA/AgA/AACAAAAAAAA8L8CKKCJsOFpBMACsp3vp8ZL5b8AAAAAGAAAAPwEAPwAAgAAAAAAAPC/AiigibDhaQRAAmU730+Nl+q/AAAAABgAAAD8CAD8AAIAAAAAAADwvwIooImw4WkEwAL129eBc0boPwAAAAAgAAQICAQEAAAAAAgEAAQEAAAAAAwEAAAAAAAABBAEAAQEAAAACBQICAQEAAAADBgEAAAAAAAAEBwICAQEAAAAFBwEAAQEAAAAAAABAAAAAAAAAAAAAAAAAAAAAAAAAAAA</t>
        </r>
      </text>
    </comment>
    <comment ref="C365" authorId="0">
      <text>
        <r>
          <rPr>
            <sz val="9"/>
            <color indexed="81"/>
            <rFont val="Tahoma"/>
            <family val="2"/>
          </rPr>
          <t>Insight iXlW00003C0000365R0841462809S00000746P01332LAocjBAQBF1NjaVRlZ2ljLmRhdGEuTW9sZWN1bGUBbQF/ARJTY2lUZWdpYy5Nb2xlY3VsZQAAAQFkAv5qAQAAAAIAAgESGAAAAPwIAPwAAgAAAAAAAPC/AlpkO99PjQDAAoj029eBc84/AAAAABgAAAD8CAD8AAIAAAAAAADwvwJaZDvfT40AwAK7uI0G8BbzPwAAAAAcAAAA/AgA/AACAAAAAAAA8L8CkX77OnDO878CiPTb14Fzzr8AAAAAGAAAAPwIAPwAAgAAAAAAAPC/ArK/7J48LAfAAoj029eBc86/AAAAABgAAAD8CAD8AAIAAAAAAADwvwKRfvs6cM7zvwJOYhBYObT6PwAAAAAYAAAA/AgA/AACAAAAAAAA8L8Csr/snjwsB8ACTmIQWDm0+j8AAAAAGAAAAPwIAPwAAgAAAAAAAPC/AoofY+5aQtq/Aoj029eBc84/AAAAABgAAAD8CAD8AAIAAAAAAADwvwLQRNjw9MoNwAKI9NvXgXPOPwAAAAAYAAAA/AgA/AACAAAAAAAA8L8Cih9j7lpC2r8Cu7iNBvAW8z8AAAAAGAAAAPwIAPwAAgAAAAAAAPC/AtBE2PD0yg3AAru4jQbwFvM/AAAAABgAAAD8CAD8AAIAAAAAAADwvwKKH2PuWkLaPwKI9NvXgXPOvwAAAAAYAAAA/AgA/AACAAAAAAAA8L8CkX77OnDO8z8CiPTb14Fzzj8AAAAAGAAAAPwIAPwAAgAAAAAAAPC/AlpkO99PjQBAAoj029eBc86/AAAAABgAAAD8CAD8AAIAAAAAAADwvwKyv+yePCwHQAKI9NvXgXPOPwAAAAAYAAAA/AgA/AACAAAAAAAA8L8CWmQ730+NAEACu7iNBvAW878AAAAAGAAAAPwIAPwAAgAAAAAAAPC/AtBE2PD0yg1AAoj029eBc86/AAAAABgAAAD8CAD8AAIAAAAAAADwvwKyv+yePCwHQAJOYhBYObT6vwAAAAAYAAAA/AgA/AACAAAAAAAA8L8C0ETY8PTKDUACu7iNBvAW878AAAAAARQABAgIBAQAAAAACAQABAQAAAAADAQABAQAAAAEEAQABAQAAAAEFAQABAQAAAAIGAgMBAQAAAAMHAgIBAQAAAAQIAgIBAQAAAAUJAgIBAQAAAAYKAQAAAAAAAAoLAgMAAAAAAAsMAQAAAAAAAAwNAgMBAQAAAAwOAQABAQAAAA0PAQABAQAAAA4ARAICAQEAAAAPAERCAgEBAAAABggBAAEBAAAABwkBAAEBAAAAAEQAREEAAQEAAAAAAABAAAAAAAAAAAAAAAAAAAAAAAAAAAA</t>
        </r>
      </text>
    </comment>
    <comment ref="C366" authorId="0">
      <text>
        <r>
          <rPr>
            <sz val="9"/>
            <color indexed="81"/>
            <rFont val="Tahoma"/>
            <family val="2"/>
          </rPr>
          <t>Insight iXlW00003C0000366R0841462809S00000747P01308LAocjBAQBF1NjaVRlZ2ljLmRhdGEuTW9sZWN1bGUBbQF/ARJTY2lUZWdpYy5Nb2xlY3VsZQAAAQFkAv5qAQAAAAIBAgESGAAAAPwIAPwAAgAAAAAAAPC/AoiFWtO84/E/ArwnDwu1pqm/AAAAABgAAAD8CAD8AAIAAAAAAADwvwJIUPwYc9fxPwIFNBE2PL3oPwAAAAAYAAAA/AgA/AACAAAAAAAA8L8CZhniWBe32T8CNYC3QILi8j8AAAAAGAAAAPwIAPwAAgAAAAAAAPC/Ai2yne+nxtO/AubQItv5fug/AAAAABgAAAD8CAD8AAIAAAAAAADwvwKHFtnO91PTvwLnHafoSC6vvwAAAAAYAAAA/AgA/AACAAAAAAAA8L8CzjtO0ZFc2j8CZhniWBe33b8AAAAAGAgAAPwEAPwAAgAAAAAAAPC/Aq2L22gAbwRAAn6utmJ/2a2/AAAAABgAAAD8CAD8AAIAAAAAAADwvwLgvg6cMyIKQAI2PL1SliHevwAAAAAcAAAA/AgA/AACAAAAAAAA8L8CE/JBz2bVD0ACAAAAAAAAsL8AAAAAGAAAAPwEAPwAAgAAAAAAAPC/AqOSOgFNxBJAAmdmZmZmZt6/AAAAABgAAAD8DAD8AAIAAAAAAADwvwI9LNSa5p0VQAKx4emVsgyxvwAAAAAgAAAA/AgA/AACAAAAAAAA8L8CmpmZmZkZCkACQYLix5i79L8AAAAAHAAAAPwMAPwAAgAAAAAAAPC/AtfFbTSAdxhAAmdmZmZmZtY/AAAAABwAAAD8BAD8AAIAAAAAAADwvwJnZmZmZmb9PwLKw0Ktad7dvwAAAAAYAAAA/AQA/AACAAAAAAAA8L8CZ2ZmZmZmBEACf/s6cM6I6D8AAAAAGAAAAPwEAPwAAgAAAAAAAPC/ApqZmZmZGQpAAuVhodY07/I/AAAAABgAAAD8BAD8AAIAAAAAAADwvwJUdCSX/xAKQAKMSuoENBEAQAAAAAAYAAAA/AQA/AACAAAAAAAA8L8CzczMzMzMD0ACl5APejar6D8AAAAAARIQFAgIBAQAAAAUAAQABAQAAAAYHAQAAAAAAAAcIAQAAAAAAAAgJAQAAAAAAAAkKAQAAAAAAAAcLAgAAAAAAAAoMAwAAAAAAAAABAgIBAQAAAAYNAQAAAAAAAA0AAQAAAAAAAAIDAgIBAQAAAAMEAQABAQAAAAECAQABAQAAAA4PAQAAAAAAAA8ARAEAAAAAAAAPAERBAAAAAAAABg4BBAAAAAAAAAAAQAAAAAAAAAAAAAAAAAAAAAAAAAAAA==</t>
        </r>
      </text>
    </comment>
    <comment ref="C367" authorId="0">
      <text>
        <r>
          <rPr>
            <sz val="9"/>
            <color indexed="81"/>
            <rFont val="Tahoma"/>
            <family val="2"/>
          </rPr>
          <t>Insight iXlW00003C0000367R0841462809S00000748P00844LAocjBAQBF1NjaVRlZ2ljLmRhdGEuTW9sZWN1bGUBbQF/ARJTY2lUZWdpYy5Nb2xlY3VsZQAAAQFkAv5qAQAAAAIAAiwYAAAA/AgA/AACAAAAAAAA8L8CUkmdgCbC0r8C6Gor9pfdw78AAAAAGAAAAPwIAPwAAgAAAAAAAPC/AphuEoPAyt2/ArivA+eMKNk/AAAAACAAAAD8CAD8AAIAAAAAAADwvwLtDb4wmSrovwI9LNSa5h3fvwAAAAAYAAAA/AQA/AACAAAAAAAA8L8C2xt8YTJV0D8CnMQgsHJo1b8AAAAAGAAAAPwIAPwAAgAAAAAAAPC/AtPe4AuTqfC/ArivA+eMKNk/AAAAABwAAAD8CAD8AAIAAAAAAADwvwKgibDh6ZXzvwLoaiv2l93DvwAAAAAYAAAA/AQA/AACAAAAAAAA8L8Cfq62Yn/Z5T8CXynLEMe6qD8AAAAAIAAAAPwEAPwAAgAAAAAAAPC/AnZxGw3gLfa/AhkEVg4tsus/AAAAABgAAAD8CAD8AAIAAAAAAADwvwIVHcnlP6TzPwL4U+Olm8TAvwAAAAAgAAAA/AQA/AACAAAAAAAA8L8Co5I6AU2E9T8CdnEbDeAt5r8AAAAAIAAAAPwIAPwAAgAAAAAAAPC/AmFUUiegifo/AgjOGVHaG9A/AAAAACwABAgIBAQAAAAACAQABAQAAAAADAQAAAAAAAAEEAQABAQAAAAIFAQABAQAAAAMGAQAAAAAAAAQHAQAAAAAAAAYIAQAAAAAAAAgJAQAAAAAAAAgKAgAAAAAAAAQFAgIBAQAAAAAAAEAAAAAAAAAAAAAAAAAAAAAAAAAAAA=</t>
        </r>
      </text>
    </comment>
    <comment ref="C368" authorId="0">
      <text>
        <r>
          <rPr>
            <sz val="9"/>
            <color indexed="81"/>
            <rFont val="Tahoma"/>
            <family val="2"/>
          </rPr>
          <t>Insight iXlW00003C0000368R0841462809S00000749P01120LAocjBAQBF1NjaVRlZ2ljLmRhdGEuTW9sZWN1bGUBbQF/ARJTY2lUZWdpYy5Nb2xlY3VsZQAAAQFkAv5qAQAAAAIBAjwcAAAA/AQA/AACAAAAAAAA8L8ChXzQs1n1/T8CZTvfT42X6j8AAAAAGAwAAPwEAPwAAgAAAAAAAPC/AoV80LNZ9f0/AixlGeJYF+O/AAAAABgAAAD8BAD8AAIAAAAAAADwvwJ5eqUsQxwIQAIH8BZIUPz5PwAAAAAYAAAA/AQA/AACAAAAAAAA8L8CUB4Wak3z5j8CB/AWSFD8+T8AAAAAGAgAAPwEAPwAAgAAAAAAAPC/Ag3gLZCg+OM/Aq+2Yn/ZPfW/AAAAABgAAAD8BAD8AAIAAAAAAADwvwIJih9j7toIQAJJLv8h/fb0vwAAAAAYAAAA/AQA/AACAAAAAAAA8L8C097gC5OpBEAC++3rwDkjCEAAAAAAGAAAAPwEAPwAAgAAAAAAAPC/AtnO91PjpfI/Avvt68A5IwhAAAAAABgAAAD8CAD8AAIAAAAAAADwvwL3Bl+YTBXkvwIVHcnlP6TjvwAAAAAgAAAA/AQA/AACAAAAAAAA8L8CDeAtkKD44z8CfIMvTKYKBsAAAAAAGAAAAPwIAPwAAgAAAAAAAPC/AoV80LNZ9f2/Aq+2Yn/ZPfW/AAAAABgAAAD8CAD8AAIAAAAAAADwvwL3Bl+YTBXkvwJlO99PjZfqPwAAAAAYAAAA/AgA/AACAAAAAAAA8L8CCYofY+7aCMACFR3J5T+k478AAAAAGAAAAPwIAPwAAgAAAAAAAPC/AoV80LNZ9f2/AktZhjjWxfg/AAAAABgAAAD8CAD8AAIAAAAAAADwvwIJih9j7toIwAJlO99PjZfqPwAAAAABEAQABBAAAAAAAAAIBAAEAAAAAAAMBAAEAAAAAAQQBAAAAAAAAAQUBAAAAAAAAAgYBAAEAAAAAAwcBAAEAAAAABAgBAAAAAAAABAkBBQAAAAAACAoBAAEBAAAACAsCAwEBAAAACgwCAgEBAAAACw0BAAEBAAAADA4BAAEBAAAABgcBAAEAAAAADQ4CAgEBAAAAAAAAQAAAAAAAAAAAAAAAAAAAAAAAAAAAA==</t>
        </r>
      </text>
    </comment>
    <comment ref="C369" authorId="0">
      <text>
        <r>
          <rPr>
            <sz val="9"/>
            <color indexed="81"/>
            <rFont val="Tahoma"/>
            <family val="2"/>
          </rPr>
          <t>Insight iXlW00003C0000369R0841462809S00000750P01320LAocjBAQBF1NjaVRlZ2ljLmRhdGEuTW9sZWN1bGUBbQF/ARJTY2lUZWdpYy5Nb2xlY3VsZQAAAQFkAv5qAQAAAAIBAgESGAgAAPwEAPwAAgAAAAAAAPC/AjojSnuDL/W/AsuhRbbz/eA/AAAAABwAAAD8CAD8AAIAAAAAAADwvwJjf9k9eVjuvwIH8BZIUPz5PwAAAAAYAAAA/AQA/AACAAAAAAAA8L8CcF8HzhlR4r8CnMQgsHJo1b8AAAAAGAAAAPwEAPwAAgAAAAAAAPC/Ao6XbhKDwAPAApayDHGsi+E/AAAAABgAAAD8CAD8AAIAAAAAAADwvwIGo5I6AU3EPwIuIR/0bFb/PwAAAAAYAAAA/AgA/AACAAAAAAAA8L8CCRueXinL/b8CoyO5/Id0AkAAAAAAGAAAAPwIAPwAAgAAAAAAAPC/AnpYqDXNO+6/AtDVVuwvu/a/AAAAACAAAAD8BAD8AAIAAAAAAADwvwJnZmZmZmYGwAJdbcX+snv6PwAAAAAYAAAA/AQA/AACAAAAAAAA8L8CeXqlLEMc8D8CP1dbsb/s8j8AAAAAIAAAAPwIAPwAAgAAAAAAAPC/AoofY+5aQto/AlVSJ6CJsAhAAAAAACAAAAD8CAD8AAIAAAAAAADwvwIrGJXUCWj9vwKXkA96NqsLQAAAAAAYAAAA/AgA/AACAAAAAAAA8L8ClyGOdXGbAMAC+ORhodY0+r8AAAAAGAAAAPwIAPwAAgAAAAAAAPC/ArfRAN4CCcq/Amx4eqUsQwLAAAAAABgAAAD8BAD8AAIAAAAAAADwvwLNzMzMzMwAQAL129eBc0b4PwAAAAAYAAAA/AgA/AACAAAAAAAA8L8CW9O84xSdA8AC0ETY8PTKBcAAAAAAGAAAAPwIAPwAAgAAAAAAAPC/AnBfB84ZUeK/Av2H9NvXAQvAAAAAABgAAAD8BAD8AAIAAAAAAADwvwLZX3ZPHpYHQAIbL90kBoHnPwAAAAAYAAAA/AgA/AACAAAAAAAA8L8Cv58aL90k+78CkQ96Nqu+DMAAAAAAARMABAQABAAAAAAACAQQAAAAAAAADAQABAAAAAAEEAQAAAAAAAAEFAQABAAAAAAIGAQAAAAAAAAMHAQABAAAAAAQIAQAAAAAAAAQJAgAAAAAAAAUKAgAAAAAAAAYLAgMBAQAAAAYMAQABAQAAAAgNAQAAAAAAAAsOAQABAQAAAAwPAgIBAQAAAA0ARAEAAAAAAAAOAERCAgEBAAAABQcBAAEAAAAADwBEQQABAQAAAAAAAEAAAAAAAAAAAAAAAAAAAAAAAAAAAA=</t>
        </r>
      </text>
    </comment>
    <comment ref="C370" authorId="0">
      <text>
        <r>
          <rPr>
            <sz val="9"/>
            <color indexed="81"/>
            <rFont val="Tahoma"/>
            <family val="2"/>
          </rPr>
          <t>Insight iXlW00003C0000370R0841462809S00000751P00712LAocjBAQBF1NjaVRlZ2ljLmRhdGEuTW9sZWN1bGUBbQF/ARJTY2lUZWdpYy5Nb2xlY3VsZQAAAQFkAv5qAQAAAAIAAiQYAAAA/AQA/AACAAAAAAAA8L8CAAAAAAAA6D8CAAAAAAAA6D8AAAAAGAAAAPwEAPwAAgAAAAAAAPC/AgAAAAAAAPg/AjEIrBxaZABAAAAAACAAAAD8BAD8AAIAAAAAAADwvwIAAAAAAADoPwKb5h2n6MgKQAAAAAAYAAAA/AgA/AACAAAAAAAA8L8CAAAAAAAACEACMQisHFpkAEAAAAAAHAAAAPwIAPwAAgAAAAAAAPC/AswQx7q4DQ9AAtJvXwfOGQpAAAAAABgAAAD8CAD8AAIAAAAAAADwvwJdbcX+sjsVQAIxCKwcWmQGQAAAAAAYAAAA/AQA/AACAAAAAAAA8L8CEjY8vVIWGkAC/Rhz1xJyDUAAAAAAHAAAAPwIAPwAAgAAAAAAAPC/Al1txf6yOxVAAmMQWDm0yPQ/AAAAACAAAAD8CAD8AAIAAAAAAADwvwLMEMe6uA0PQAIj2/l+arzqPwAAAAAkAAQEAAAAAAAABAgEAAAAAAAABAwEAAAAAAAADBAIDAQEAAAAEBQEAAQEAAAAFBgEAAAAAAAAFBwICAQEAAAAHCAEAAQEAAAADCAEAAQEAAAAAAABAAAAAAAAAAAAAAAAAAAAAAAAAAAA</t>
        </r>
      </text>
    </comment>
    <comment ref="C371" authorId="0">
      <text>
        <r>
          <rPr>
            <sz val="9"/>
            <color indexed="81"/>
            <rFont val="Tahoma"/>
            <family val="2"/>
          </rPr>
          <t>Insight iXlW00003C0000371R0841462809S00000752P01336LAocjBAQBF1NjaVRlZ2ljLmRhdGEuTW9sZWN1bGUBbQF/ARJTY2lUZWdpYy5Nb2xlY3VsZQAAAQFkAv5qAQAAAAIAAgESGAAAAPwIAPwAAgAAAAAAAPC/Al8pyxDHuqg/AgjOGVHaG+A/AAAAABwAAAD8CAD8AAIAAAAAAADwvwJjf9k9eVjuvwKOdXEbDeDxPwAAAAABEAAAAPwEAPwAAgAAAAAAAPC/AgJNhA1Pr8y/Auj7qfHSTeS/AAAAABgAAAD8BAD8AAIAAAAAAADwvwJ/arx0kxjyPwJqTfOOU3TuPwAAAAAYAAAA/AgA/AACAAAAAAAA8L8CoKut2F92/b8CUB4Wak3z1j8AAAAAGAAAAPwIAPwAAgAAAAAAAPC/AmN/2T15WPa/AkETYcPTK+e/AAAAABgAAAD8CAD8AAIAAAAAAADwvwKjkjoBTYT9PwJR2ht8YTKVPwAAAAAYAAAA/AQA/AACAAAAAAAA8L8CBHgLJCj+AEACMSqpE9BE+T8AAAAAIAAAAPwEAPwAAgAAAAAAAPC/AkM+6Nms+uI/AoiFWtO84/8/AAAAABgAAAD8CAD8AAIAAAAAAADwvwI9vVKWIQ4IwALi6ZWyDHHgPwAAAAAYAAAA/AgA/AACAAAAAAAA8L8Ci/1l9+ThAMACXW3F/rJ7+r8AAAAAGAAAAPwIAPwAAgAAAAAAAPC/Ar4wmSoYFQhAAm8Sg8DKocU/AAAAABgAAAD8CAD8AAIAAAAAAADwvwLu68A5I0r2PwI8TtGRXP7wvwAAAAAYAAAA/AgA/AACAAAAAAAA8L8C0ETY8PTKDcACXW3F/rJ72r8AAAAAGAAAAPwIAPwAAgAAAAAAAPC/AjC7Jw8LNQrAAgAAAAAAAPi/AAAAABgAAAD8CAD8AAIAAAAAAADwvwLQRNjw9MoNQAL129eBc0bovwAAAAAYAAAA/AgA/AACAAAAAAAA8L8CCYofY+7aAEACiIVa07zj/78AAAAAGAAAAPwIAPwAAgAAAAAAAPC/AnZxGw3gLQpAAqCrrdhfdv2/AAAAAAEUAAQICAQEAAAAAAgEAAQEAAAAAAwEAAAAAAAABBAEAAQEAAAACBQEAAQEAAAADBgEAAAAAAAADBwEAAAAAAAADCAEAAAAAAAAECQEAAQEAAAAFCgEAAQEAAAAGCwIDAQEAAAAGDAEAAQEAAAAJDQICAQEAAAAKDgICAQEAAAALDwEAAQEAAAAMAEQCAgEBAAAADwBEQgIBAQAAAAQFAgIBAQAAAA0OAQABAQAAAABEAERBAAEBAAAAAAAAQAAAAAAAAAAAAAAAAAAAAAAAAAAAA==</t>
        </r>
      </text>
    </comment>
    <comment ref="C372" authorId="0">
      <text>
        <r>
          <rPr>
            <sz val="9"/>
            <color indexed="81"/>
            <rFont val="Tahoma"/>
            <family val="2"/>
          </rPr>
          <t>Insight iXlW00003C0000372R0841462809S00000753P00712LAocjBAQBF1NjaVRlZ2ljLmRhdGEuTW9sZWN1bGUBbQF/ARJTY2lUZWdpYy5Nb2xlY3VsZQAAAQFkAv5qAQAAAAIAAiQYAAAA/AgA/AACAAAAAAAA8L8CKjqSy3/IDkACumsJ+aBn+T8AAAAAGAAAAPwEAPwAAgAAAAAAAPC/AhUdyeU/ZBFAAv5l9+RhoQNAAAAAACAAAAD8CAD8AAIAAAAAAADwvwIVHcnlP2QRQALwFkhQ/BjnPwAAAAAYAAAA/AgA/AACAAAAAAAA8L8CTYQNT68UAkACXf5D+u3r6D8AAAAAGAAAAPwIAPwAAgAAAAAAAPC/Aoxs5/up8fQ/ArprCfmgZ/E/AAAAABwAAAD8CAD8AAIAAAAAAADwvwKMbOf7qfH0PwLdtYR80LMAQAAAAAAgAAAA/AgA/AACAAAAAAAA8L8CTYQNT68UAkACI2x4eqUsA0AAAAAAGAAAAPwIAPwAAgAAAAAAAPC/Aio6kst/yAZAArprCfmgZ/k/AAAAABgAAAD8BAD8AAIAAAAAAADwvwIAAAAAAADgPwIAAAAAAADgPwAAAAAkAAQEAAAAAAAAAAgIAAAAAAAAABwEAAAAAAAADBAEAAQEAAAADBwIDAQEAAAAEBQICAQEAAAAECAEAAAAAAAAFBgEAAQEAAAAGBwEAAQEAAAAAAABAAAAAAAAAAAAAAAAAAAAAAAAAAAA</t>
        </r>
      </text>
    </comment>
    <comment ref="C373" authorId="0">
      <text>
        <r>
          <rPr>
            <sz val="9"/>
            <color indexed="81"/>
            <rFont val="Tahoma"/>
            <family val="2"/>
          </rPr>
          <t>Insight iXlW00003C0000373R0841462809S00000754P00908LAocjBAQBF1NjaVRlZ2ljLmRhdGEuTW9sZWN1bGUBbQF/ARJTY2lUZWdpYy5Nb2xlY3VsZQAAAQFkAv5qAQAAAAIAAjAYAAAA/AQA/AACAAAAAAAA8L8CP8bctYT8AUACiPTb14Fzzj8AAAAAGAAAAPwIAPwAAgAAAAAAAPC/Amx4eqUsQ+o/AmwJ+aBns9o/AAAAABgAAAD8BAD8AAIAAAAAAADwvwI5RUdy+Q//PwLo2az6XG3yvwAAAAAYAAAA/AQA/AACAAAAAAAA8L8CvsEXJlMFDUAC9rnaiv1lx78AAAAAGAAAAPwEAPwAAgAAAAAAAPC/AmdmZmZmZgZAAkA1XrpJDPk/AAAAABgAAAD8CAD8AAIAAAAAAADwvwLHuriNBvCmvwJuNIC3QILmvwAAAAAYAAAA/AgA/AACAAAAAAAA8L8Cnu+nxks30T8CgnNGlPYG/D8AAAAAGAAAAPwIAPwAAgAAAAAAAPC/AqO0N/jCZPe/Aum3rwPnjOC/AAAAABgAAAD8CAD8AAIAAAAAAADwvwJseHqlLEPyvwJMN4lBYOX+PwAAAAAYAAAA/AgA/AACAAAAAAAA8L8CvjCZKhgVAMACotY07zhF6T8AAAAAIAAAAPwEAPwAAgAAAAAAAPC/AtnO91PjpQLAAk5iEFg5tPq/AAAAACAAAAD8BAD8AAIAAAAAAADwvwIfFmpN844LwAInUwWjkjrvPwAAAAAwAAQEAAAAAAAAAAgEAAAAAAAAAAwEAAAAAAAAABAEAAAAAAAABBQIDAQEAAAABBgEAAQEAAAAFBwEAAQEAAAAGCAICAQEAAAAHCQIDAQEAAAAHCgEAAAAAAAAJCwEAAAAAAAAICQEAAQEAAAAAAABAAAAAAAAAAAAAAAAAAAAAAAAAAAA</t>
        </r>
      </text>
    </comment>
    <comment ref="C374" authorId="0">
      <text>
        <r>
          <rPr>
            <sz val="9"/>
            <color indexed="81"/>
            <rFont val="Tahoma"/>
            <family val="2"/>
          </rPr>
          <t>Insight iXlW00003C0000374R0841462809S00000755P00792LAocjBAQBF1NjaVRlZ2ljLmRhdGEuTW9sZWN1bGUBbQF/ARJTY2lUZWdpYy5Nb2xlY3VsZQAAAQFkAv5qAQAAAAIAAigYAAAA/AgA/AACAAAAAAAA8L8Csp3vp8ZL5T8CUdobfGEytb8AAAAAGAAAAPwIAPwAAgAAAAAAAPC/As/3U+Olm+i/AlHaG3xhMrW/AAAAABgAAAD8CAD8AAIAAAAAAADwvwJ5eqUsQxz4PwIGEhQ/xtzzvwAAAAAcAAAA/AgA/AACAAAAAAAA8L8CeXqlLEMc+D8CLUMc6+I28T8AAAAAGAAAAPwIAPwAAgAAAAAAAPC/Ahb7y+7Jw/m/AgYSFD/G3PO/AAAAACAAAAD8CAD8AAIAAAAAAADwvwIW+8vuycP5vwItQxzr4jbxPwAAAAAYAAAA/AgA/AACAAAAAAAA8L8CwcqhRbbzBkACmpmZmZmZ6b8AAAAAHAAAAPwIAPwAAgAAAAAAAPC/AsHKoUW28wZAAuj7qfHSTeQ/AAAAABgAAAD8CAD8AAIAAAAAAADwvwIPC7WmeccHwAKamZmZmZnpvwAAAAAYAAAA/AgA/AACAAAAAAAA8L8CDwu1pnnHB8AC/tR46SYx5D8AAAAALAAEBAAAAAAAAAAIBAAEBAAAAAAMCAwEBAAAAAQQCAwEBAAAAAQUBAAEBAAAAAgYCAgEBAAAAAwcBAAEBAAAABAgBAAEBAAAABQkBAAEBAAAABgcBAAEBAAAACAkCAgEBAAAAAAAAQAAAAAAAAAAAAAAAAAAAAAAAAAAAA==</t>
        </r>
      </text>
    </comment>
    <comment ref="C375" authorId="0">
      <text>
        <r>
          <rPr>
            <sz val="9"/>
            <color indexed="81"/>
            <rFont val="Tahoma"/>
            <family val="2"/>
          </rPr>
          <t>Insight iXlW00003C0000375R0841462809S00000756P01468LAocjBAQBF1NjaVRlZ2ljLmRhdGEuTW9sZWN1bGUBbQF/ARJTY2lUZWdpYy5Nb2xlY3VsZQAAAQFkAv5qAQAAAAIBAgEUGAAAAPwIAPwAAgAAAAAAAPC/Ahzr4jYaABFAAkymCkYlddK/AAAAABgAAAD8CAD8AAIAAAAAAADwvwLbG3xhMpUUQAJPr5RliGPNPwAAAAAYAAAA/AgA/AACAAAAAAAA8L8C1lbsL7snGEACjGzn+6nx0r8AAAAAGAAAAPwIAPwAAgAAAAAAAPC/AoDZPXlYKBhAAnctIR/0bPW/AAAAABgAAAD8CAD8AAIAAAAAAADwvwLgT42XbpIUQAL5MeauJeT9vwAAAAAYAAAA/AgA/AACAAAAAAAA8L8CUkmdgCYCEUACx0s3iUFg9b8AAAAAGAAAAPwEAPwAAgAAAAAAAPC/Ak/RkVz+wwtAAoNRSZ2AJgDAAAAAABgMAAD8BAD8AAIAAAAAAADwvwLzH9JvXwcPQAKb5h2n6MgHwAAAAAAYDAAA/AQA/AACAAAAAAAA8L8C9rnaiv2lE0ACmioYldQJB8AAAAAAIAAAAPwEAPwAAgAAAAAAAPC/AhODwMqhxQpAAu/Jw0Kt6Q7AAAAAABwAAAD8CAD8AAIAAAAAAADwvwLiehSuR2EWQALu68A5I0oNwAAAAAAYAAAA/AgA/AACAAAAAAAA8L8CwcqhRbZzGkACyXa+nxqvC8AAAAAAGAAAAPwEAPwAAgAAAAAAAPC/Aq2L22gALx1AAg+cM6K09xDAAAAAACAAAAD8CAD8AAIAAAAAAADwvwLtL7snD8sbQAKHFtnO99MDwAAAAAAYAAAA/AgA/AACAAAAAAAA8L8Ckst/SL+dIEACRUdy+Q8pEMAAAAAAGAAAAPwIAPwAAgAAAAAAAPC/AjxO0ZFc/iFAAifChqdXShPAAAAAABgAAAD8CAD8AAIAAAAAAADwvwLyY8xdSwgkQAK62or9ZXcSwAAAAAAYAAAA/AgA/AACAAAAAAAA8L8Cw2SqYFSyJEACnaIjufwHDcAAAAAAGAAAAPwIAPwAAgAAAAAAAPC/ApF++zpwTiNAAoQvTKYKxgbAAAAAABgAAAD8CAD8AAIAAAAAAADwvwJLWYY41kUhQAIydy0hH3QIwAAAAAABFiAQBAAEAAAAAAAEBAAEBAAAABwkBBQAAAAAACAoBBQAAAAAABAUBAAEBAAAACgsBAAAAAAAACwwBAAAAAAAAAQICAgEBAAAACw0CAAAAAAAADA4BAAAAAAAABAMCAwEBAAAAAgMBAAEBAAAADg8CAwEBAAAAAAUCAgEBAAAADwBEAQABAQAAAAUGAQABAAAAAABEAERCAgEBAAAABgcBAAEAAAAAAERARIEAAQEAAAAHCAEAAQAAAAAARIBEwgIBAQAAAABEzgEAAQEAAAAAAABAAAAAAAAAAAAAAAAAAAAAAAAAAAA</t>
        </r>
      </text>
    </comment>
    <comment ref="C376" authorId="0">
      <text>
        <r>
          <rPr>
            <sz val="9"/>
            <color indexed="81"/>
            <rFont val="Tahoma"/>
            <family val="2"/>
          </rPr>
          <t>Insight iXlW00003C0000376R0841462809S00000757P01704LAocjBAQBF1NjaVRlZ2ljLmRhdGEuTW9sZWN1bGUBbQF/ARJTY2lUZWdpYy5Nb2xlY3VsZQAAAQFkAv5qAQAAAAIBAgEYGAwAAPwEAPwAAgAAAAAAAPC/As/3U+OlGwHAAg+cM6K0N+q/AAAAABgIAAD8BAD8AAIAAAAAAADwvwLyY8xdS8j2vwKhZ7Pqc7XzvwAAAAAcAAAA/AgA/AACAAAAAAAA8L8Cz/dT46UbAcAC4ZwRpb3BZz8AAAAAGAAAAPwEAPwAAgAAAAAAAPC/AvJjzF1LyPa/AmpN845TdADAAAAAABgAAAD8BAD8AAIAAAAAAADwvwKXIY51cRsBwAI3GsBbIMEDwAAAAAAYAAAA/AQA/AACAAAAAAAA8L8CNBE2PL3SBsACak3zjlN0AMAAAAAAGAAAAPwEAPwAAgAAAAAAAPC/AjQRNjy90gbAAqFns+pztfO/AAAAABwAAAD8CAD8AAIAAAAAAADwvwJjEFg5tMjmvwJseHqlLEPqvwAAAAAYAAAA/AgA/AACAAAAAAAA8L8AAqFns+pztfO/AAAAACAAAAD8CAD8AAIAAAAAAADwvwACAwmKH2NuAMAAAAAAGAAAAPwIAPwAAgAAAAAAAPC/AmMQWDm0yOY/Amx4eqUsQ+q/AAAAABgAAAD8CAD8AAIAAAAAAADwvwJt5/up8dL2PwLQ1VbsL7vzvwAAAAAYAAAA/AgA/AACAAAAAAAA8L8CHA3gLZAgAUACbHh6pSxD6r8AAAAAGAAAAPwIAPwAAgAAAAAAAPC/AhwN4C2QIAFAAiL99nXgnHE/AAAAABgAAAD8CAD8AAIAAAAAAADwvwJt5/up8dL2PwIf9GxWfa7aPwAAAAAYAAAA/AgA/AACAAAAAAAA8L8CYxBYObTI5j8CIv32deCccT8AAAAAJAAAAPwEAPwAAgAAAAAAAPC/AjQRNjy90gZAAqGJsOHpldo/AAAAACAAAAD8BAD8AAIAAAAAAADwvwJt5/up8dL2vwKeXinLEMfzPwAAAAAYAAAA/AQA/AACAAAAAAAA8L8Cd76fGi/d5r8CmN2Th4Va+j8AAAAAGAAAAPwEAPwAAgAAAAAAAPC/Ane+nxov3ea/AjcawFsgwQNAAAAAABgAAAD8BAD8AAIAAAAAAADwvwJ7FK5H4XpkvwKCBMWPMXcAQAAAAAAYAAAA/AQA/AACAAAAAAAA8L8CexSuR+F6ZL8Cnl4pyxDH8z8AAAAAGAAAAPwIAPwAAgAAAAAAAPC/Am3n+6nx0va/AiIf9GxWfdo/AAAAACAAAAD8CAD8AAIAAAAAAADwvwJ3vp8aL93mvwLhnBGlvcFnPwAAAAABGQAIBBQAAAAAAAQABAAEAAAAAAQMBAAEAAAAAAwQBAAEAAAAABAUBAAEAAAAABQYBAAEAAAAABgABAAEAAAAAAQcBBQAAAAAAAgBFgQAAAAAAAAcIAQAAAAAAAAgJAgAAAAAAAAgKAQAAAAAAAAoLAgMBAQAAAAsMAQABAQAAAAwNAgIBAQAAAA0OAQABAQAAAA4PAgIBAQAAAA8KAQABAQAAAA0ARAEAAAAAAAAAREBEgQAAAAAAAABEgETBAAAAAAAAAESARQEAAAAAAAAARIBFQQAAAAAAAABFgEXCAAAAAAAAAERARYEAAAAAAAAAAABAAAAAAAAAAAAAAAAAAAAAAAAAAAA</t>
        </r>
      </text>
    </comment>
    <comment ref="C377" authorId="0">
      <text>
        <r>
          <rPr>
            <sz val="9"/>
            <color indexed="81"/>
            <rFont val="Tahoma"/>
            <family val="2"/>
          </rPr>
          <t>Insight iXlW00003C0000377R0841462809S00000758P01716LAocjBAQBF1NjaVRlZ2ljLmRhdGEuTW9sZWN1bGUBbQF/ARJTY2lUZWdpYy5Nb2xlY3VsZQAAAQFkAv5qAQAAAAIAAgEYGAAAAPwIAPwAAgAAAAAAAPC/Ase6uI0G8Ka/ApqZmZmZmek/AAAAABgAAAD8CAD8AAIAAAAAAADwvwIGo5I6AU3UvwK7uI0G8BbzPwAAAAAYAAAA/AgA/AACAAAAAAAA8L8CTMgHPZtVz78CI2x4eqUs1z8AAAAAIAAAAPwEAPwAAgAAAAAAAPC/Ai/dJAaBlds/Aj9XW7G/7Oo/AAAAABgAAAD8CAD8AAIAAAAAAADwvwKTy39Iv33pvwLl8h/Sb1/yPwAAAAAYAAAA/AgA/AACAAAAAAAA8L8CQRNhw9Mr578C2fD0SlmG1D8AAAAAGAAAAPwEAPwAAgAAAAAAAPC/Alhbsb/snuY/Asb+snvysNw/AAAAABgAAAD8CAD8AAIAAAAAAADwvwIAAAAAAADwvwJIUPwYc9fmPwAAAAAYAAAA/AQA/AACAAAAAAAA8L8CQz7o2az68j8CEHo2qz5X3z8AAAAAGAAAAPwEAPwAAgAAAAAAAPC/ApeQD3o2q/e/AqOSOgFNhOU/AAAAACAAAAD8BAD8AAIAAAAAAADwvwKjtDf4wmT3PwJfKcsQx7q4PwAAAAAYAAAA/AQA/AACAAAAAAAA8L8CysNCrWne+r8CiPTb14Fzzj8AAAAAGAAAAPwEAPwAAgAAAAAAAPC/AsWxLm6jAf8/ArsnDwu1psE/AAAAABgAAAD8BAD8AAIAAAAAAADwvwIxKqkT0EQBwALXxW00gLfIPwAAAAAYAAAA/AQA/AACAAAAAAAA8L8CEhQ/xty1AUACCM4ZUdob0L8AAAAAGAAAAPwEAPwAAgAAAAAAAPC/AoUNT6+U5QLAAoj029eBc86/AAAAACAAAAD8BAD8AAIAAAAAAADwvwJe3EYDeIsFQAJdbcX+snvKvwAAAAAYAAAA/AQA/AACAAAAAAAA8L8CFoxK6gS0BsACjnVxGw3g0b8AAAAAGAAAAPwEAPwAAgAAAAAAAPC/Ao6XbhKDwAdAAjMzMzMzM+O/AAAAABgAAAD8BAD8AAIAAAAAAADwvwJqb/CFyVQIwAJIUPwYc9fmvwAAAAAYAAAA/AQA/AACAAAAAAAA8L8C2V92Tx6WC0ACjnVxGw3g4b8AAAAAGAAAAPwEAPwAAgAAAAAAAPC/ArU3+MJkKgzAAu0NvjCZKui/AAAAACAAAAD8BAD8AAIAAAAAAADwvwLQRNjw9MoNQAJqTfOOU3TuvwAAAAAYAAAA/AQA/AACAAAAAAAA8L8C0ETY8PTKDcACu7iNBvAW878AAAAAARgABAgIBAQAAAAACAQABAQAAAAADAQAAAAAAAAEEAQABAQAAAAIFAgIBAQAAAAMGAQAAAAAAAAQHAgMBAQAAAAYIAQAAAAAAAAcJAQAAAAAAAAgKAQAAAAAAAAkLAQAAAAAAAAoMAQAAAAAAAAsNAQAAAAAAAAwOAQAAAAAAAA0PAQAAAAAAAA4ARAEAAAAAAAAPAERBAAAAAAAAAEQARIEAAAAAAAAAREBEwQAAAAAAAABEgEUBAAAAAAAAAETARUEAAAAAAAAARQBFgQAAAAAAAABFQEXBAAAAAAAABQcBAAEBAAAAAAAAQAAAAAAAAAAAAAAAAAAAAAAAAAAAA==</t>
        </r>
      </text>
    </comment>
    <comment ref="C378" authorId="0">
      <text>
        <r>
          <rPr>
            <sz val="9"/>
            <color indexed="81"/>
            <rFont val="Tahoma"/>
            <family val="2"/>
          </rPr>
          <t>Insight iXlW00003C0000378R0841462809S00000759P01792LAocjBAQBF1NjaVRlZ2ljLmRhdGEuTW9sZWN1bGUBbQF/ARJTY2lUZWdpYy5Nb2xlY3VsZQAAAQFkAv5qAQAAAAIBAgEZGAgAAPwEAPwAAgAAAAAAAPC/ApayDHGsi/m/AhUdyeU/pPM/AAAAABwAAAD8CAD8AAIAAAAAAADwvwK1N/jCZCoEwAKOdXEbDeDhPwAAAAAYDAAA/AQA/AACAAAAAAAA8L8CtaZ5xyk6/78ChQ1Pr5TlAkAAAAAAGAAAAPwIAPwAAgAAAAAAAPC/AlJJnYAmwuK/AuC+DpwzouQ/AAAAABgAAAD8BAD8AAIAAAAAAADwvwKOl24Sg8ALwAL3Bl+YTBX0PwAAAAAYAAAA/AgA/AACAAAAAAAA8L8CN6s+V1sxBMACLPaX3ZOH478AAAAAGAAAAPwEAPwAAgAAAAAAAPC/AoIExY8x9wjAAoUNT6+U5QJAAAAAABgAAAD8BAD8AAIAAAAAAADwvwJvgQTFjzH0vwLp2az6XG0KQAAAAAAcAAAA/AgA/AACAAAAAAAA8L8CTvOOU3Qk2z8CGQRWDi2y8z8AAAAAIAAAAPwIAPwAAgAAAAAAAPC/Akp7gy9MpuK/Atqs+lxtxeC/AAAAACAAAAD8BAD8AAIAAAAAAADwvwJ/jLlrCfkLwAJDPujZrPryvwAAAAAgAAAA/AgA/AACAAAAAAAA8L8CiIVa07zj978CkX77OnDO878AAAAAGAAAAPwEAPwAAgAAAAAAAPC/An/7OnDOiMK/AtNNYhBYuQdAAAAAABgMAAD8BAD8AAIAAAAAAADwvwJJLv8h/fb0PwJ6WKg1zTvePwAAAAAYAAAA/AQA/AACAAAAAAAA8L8COrTIdr4fCsAC2c73U+OlAsAAAAAAGAAAAPwIAPwAAgAAAAAAAPC/AhueXinLkAJAAsTTK2UZ4vA/AAAAABgAAAD8BAD8AAIAAAAAAADwvwKsrdhfdk/zPwJuowG8BRLmvwAAAAAYAAAA/AQA/AACAAAAAAAA8L8CVVInoImwAMAC6Gor9pddA8AAAAAAGAAAAPwEAPwAAgAAAAAAAPC/AqmkTkATYRHAAv2H9NvXAQfAAAAAABgAAAD8BAD8AAIAAAAAAADwvwKFfNCzWfUFwALp2az6XG0KwAAAAAAYAAAA/AgA/AACAAAAAAAA8L8ClBgEVg6tCkACTaYKRiV13j8AAAAAGAAAAPwIAPwAAgAAAAAAAPC/AhueXinLkAJAAtBE2PD0ygFAAAAAABgAAAD8CAD8AAIAAAAAAADwvwKppE5AE2ERQALHuriNBvDwPwAAAAAYAAAA/AgA/AACAAAAAAAA8L8C2c73U+OlCkACJZf/kH57BkAAAAAAGAAAAPwIAPwAAgAAAAAAAPC/AuhqK/aXXRFAAouO5PIf0gFAAAAAAAEaAAQEAAQAAAAAAAgEAAQAAAAAAAwEEAAAAAAABBAEAAQAAAAABBQEAAAAAAAACBgEAAQAAAAACBwEFAAAAAAADCAEAAAAAAAADCQIAAAAAAAAFCgEAAAAAAAAFCwIAAAAAAAAHDAEAAAAAAAAIDQEAAAAAAAAKDgEAAAAAAAANDwEAAAAAAAANAEQBBQAAAAAADgBEQQAAAAAAAA4ARIEAAAAAAAAOAETBAAAAAAAADwBFAQABAQAAAA8ARUIDAQEAAAAARQBFggIBAQAAAABFQEXBAAEBAAAAAEWARgEAAQEAAAAEBgEAAQAAAAAARcBGAgIBAQAAAAAAAEAAAAAAAAAAAAAAAAAAAAAAAAAAAA=</t>
        </r>
      </text>
    </comment>
    <comment ref="C379" authorId="0">
      <text>
        <r>
          <rPr>
            <sz val="9"/>
            <color indexed="81"/>
            <rFont val="Tahoma"/>
            <family val="2"/>
          </rPr>
          <t>Insight iXlW00003C0000379R0841462809S00000760P01800LAocjBAQBF1NjaVRlZ2ljLmRhdGEuTW9sZWN1bGUBbQF/ARJTY2lUZWdpYy5Nb2xlY3VsZQAAAQFkAv5qAQAAAAIBAgEZGAAAAPwIAPwAAgAAAAAAAPC/AjEqqRPQRNy/AmdmZmZmZtK/AAAAABgAAAD8BAD8AAIAAAAAAADwvwJqb/CFyVTRPwIAAAAAAADAPwAAAAAYDAAA/AQA/AACAAAAAAAA8L8CggTFjzF37z8CNjy9UpYh0r8AAAAAGAAAAPwIAPwAAgAAAAAAAPC/ApqZmZmZmfY/AoSezarP1do/AAAAABwAAAD8CAD8AAIAAAAAAADwvwKS7Xw/Nd4BQAJvEoPAyqHZPwAAAAAYAAAA/AQA/AACAAAAAAAA8L8CPnlYqDVNBUACSnuDL0ym8T8AAAAAGAAAAPwIAPwAAgAAAAAAAPC/AigPC7WmefK/Au0NvjCZKsA/AAAAABgAAAD8CAD8AAIAAAAAAADwvwJZF7fRAN79vwITg8DKoUXSvwAAAAAYAAAA/AgA/AACAAAAAAAA8L8CJLn8h/Tb/b8CcPCFyVTB8b8AAAAAGAAAAPwIAPwAAgAAAAAAAPC/Aj/o2az6XPK/AqW9wRcmU/i/AAAAABgAAAD8CAD8AAIAAAAAAADwvwJvowG8BRLcvwL7XG3F/rLxvwAAAAAcAAAA/AgA/AACAAAAAAAA8L8CTMgHPZtV7z8CQYLix5i78b8AAAAAIAAAAPwIAPwAAgAAAAAAAPC/AvXb14FzRvA/AkHxY8xdS/I/AAAAABgAAAD8BAD8AAIAAAAAAADwvwKdoiO5/AcFQAISFD/G3LXUvwAAAAAYAAAA/AQA/AACAAAAAAAA8L8CZ2ZmZmbmC0ACw2SqYFRS8T8AAAAAGAAAAPwEAPwAAgAAAAAAAPC/AsWPMXctoQtAAkku/yH99tW/AAAAAAEQAAAA/AQA/AACAAAAAAAA8L8CqvHSTWIQ+z8CwFsgQfFj+L8AAAAAIAAAAPwIAPwAAgAAAAAAAPC/AnicoiO5/Po/AkHxY8xdywLAAAAAACAAAAD8CAD8AAIAAAAAAADwvwKKH2PuWkIDQAKbVZ+rrdjxvwAAAAAYAAAA/AgA/AACAAAAAAAA8L8CMzMzMzMzA0ACdLUV+8vu/r8AAAAAGAAAAPwIAPwAAgAAAAAAAPC/AnZxGw3gLQNAAk0VjErqBAbAAAAAABgAAAD8CAD8AAIAAAAAAADwvwLXo3A9CtcIQALu68A5I0oJwAAAAAAYAAAA/AgA/AACAAAAAAAA8L8C+g/pt6+DDkACa7x0kxgEBsAAAAAAGAAAAPwIAPwAAgAAAAAAAPC/AgR4CyQofg5AAgAi/fZ14P6/AAAAABgAAAD8CAD8AAIAAAAAAADwvwJPQBNhw9MIQAIUYcPTK2X4vwAAAAABGgAEBAAAAAAAAAwwCAAAAAAAAAAYCAwEBAAAABA0BAAAAAAAAAgMBAAAAAAAABQ4BAAAAAAAABgcBAAEBAAAADQ8BAAAAAAAACwBEAQAAAAAAAAcIAgIBAQAAAAMEAQAAAAAAAABEAERCAAAAAAAAAEQARIIAAAAAAAAICQEAAQEAAAAARABEwQAAAAAAAAECAQAAAAAAAABEwEUCAwEBAAAACQoCAgEBAAAAAEUARUEAAQEAAAAKAAEAAQEAAAAARUBFggIBAQAAAAQFAQAAAAAAAABFgEXBAAEBAAAAAgsBBAAAAAAAAEXARgICAQEAAAAARgBEwQABAQAAAAAAAEAAAAAAAAAAAAAAAAAAAAAAAAAAAA=</t>
        </r>
      </text>
    </comment>
    <comment ref="C380" authorId="0">
      <text>
        <r>
          <rPr>
            <sz val="9"/>
            <color indexed="81"/>
            <rFont val="Tahoma"/>
            <family val="2"/>
          </rPr>
          <t>Insight iXlW00003C0000380R0841462809S00000761P01932LAocjBAQBF1NjaVRlZ2ljLmRhdGEuTW9sZWN1bGUBbQF/ARJTY2lUZWdpYy5Nb2xlY3VsZQAAAQFkAv5qAQAAAAIAAgEbGAAAAPwIAPwAAgAAAAAAAPC/AszuycNCrfI/ApPLf0i//QXAAAAAABgAAAD8CAD8AAIAAAAAAADwvwLgvg6cM6LyPwKOl24Sg8D+vwAAAAAYAAAA/AgA/AACAAAAAAAA8L8CJLn8h/Tb2z8CIGPuWkI++L8AAAAAGAAAAPwIAPwAAgAAAAAAAPC/Au/Jw0KtadK/AgAi/fZ14P6/AAAAABgAAAD8CAD8AAIAAAAAAADwvwKUGARWDi3SvwKgibDh6RUGwAAAAAAYAAAA/AgA/AACAAAAAAAA8L8CYVRSJ6CJ3D8ChJ7Nqs9VCcAAAAAAGAAAAPwEAPwAAgAAAAAAAPC/AhFYObTIdv4/AuhqK/aXXQnAAAAAABgAAAD8BAD8AAIAAAAAAADwvwIbnl4pyxAFQALIKTqSy/8FwAAAAAAcAAAA/AgA/AACAAAAAAAA8L8C9rnaiv3lCkAC2xt8YTJVCcAAAAAAGAAAAPwIAPwAAgAAAAAAAPC/AgRWDi2yXRBAArraiv1l9wXAAAAAACAAAAD8CAD8AAIAAAAAAADwvwJ+rrZif1kQQAJBguLHmLv+vwAAAAAYAAAA/AQA/AACAAAAAAAA8L8Ca7x0kxhEE0AClfYGX5hMCcAAAAAAGAAAAPwEAPwAAgAAAAAAAPC/AqfoSC7/4RBAAoIExY8x9w3AAAAAABgAAAD8BAD8AAIAAAAAAADwvwJKe4MvTKYVQAKCBMWPMfcNwAAAAAAgAAAA/AQA/AACAAAAAAAA8L8CdLUV+8suFkACutqK/WX3BcAAAAAAGAAAAPwIAPwAAgAAAAAAAPC/ArHh6ZWyjBlAArraiv1l9wXAAAAAABgAAAD8CAD8AAIAAAAAAADwvwK3Yn/ZPTkbQAL45GGh1rQLwAAAAAAYAAAA/AgA/AACAAAAAAAA8L8CYAfOGVGaHkACEhQ/xty1C8AAAAAAGAAAAPwIAPwAAgAAAAAAAPC/AoXrUbgeJSBAArByaJHt/AXAAAAAABgAAAD8CAD8AAIAAAAAAADwvwJMyAc9m5UeQAL0bFZ9rjYAwAAAAAAcAAAA/AgA/AACAAAAAAAA8L8CCmgibHg6G0ACyeU/pN8+AMAAAAAAGAAAAPwEAPwAAgAAAAAAAPC/AqQBvAUS1CFAApm7lpAP+gXAAAAAACQAAAD8BAD8AAIAAAAAAADwvwKHp1fKMgQjQAKHp1fKMkQBwAAAAAAkAAAA/AQA/AACAAAAAAAA8L8Ch6dXyjKEI0ACutqK/WX3BcAAAAAAJAAAAPwEAPwAAgAAAAAAAPC/AoenV8oyBCNAAqfoSC7/oQrAAAAAACAAAAD8BAD8AAIAAAAAAADwvwL2udqK/WX+PwLIKTqSy/8PwAAAAAAYAAAA/AQA/AACAAAAAAAA8L8CAAAAAAAABUACQYLix5i7/r8AAAAAARwQFAgIBAQAAAAUAAQABAQAAAAABAgIBAQAAAAECAQABAQAAAAIDAgIBAQAAAABFQEWBAAAAAAAABgcBAAAAAAAAAEVARcEAAAAAAAAARUBGAQAAAAAAAAcIAQAAAAAAAAgJAQAAAAAAAAkKAgAAAAAAAAkLAQAAAAAAAAsMAQAAAAAAAAsNAQAAAAAAAAsOAQAAAAAAAA4PAQAAAAAAAA8ARAIDAQEAAAAARABEQQABAQAAAABEQESCAgEBAAAAAESARMEAAQEAAAAARMBFAgIBAQAAAABFDwEAAQEAAAAGAEZBAAAAAAAAAESARUEAAAAAAAADBAEAAQEAAAAHAEaBAAAAAAAABgABAAAAAAAAAAAAQAAAAAAAAAAAAAAAAAAAAAAAAAAAA==</t>
        </r>
      </text>
    </comment>
    <comment ref="C381" authorId="0">
      <text>
        <r>
          <rPr>
            <sz val="9"/>
            <color indexed="81"/>
            <rFont val="Tahoma"/>
            <family val="2"/>
          </rPr>
          <t>Insight iXlW00003C0000381R0841462809S00000762P01948LAocjBAQBF1NjaVRlZ2ljLmRhdGEuTW9sZWN1bGUBbQF/ARJTY2lUZWdpYy5Nb2xlY3VsZQAAAQFkAv5qAQAAAAIAAgEbARAAAAD8BAD8AAIAAAAAAADwvwIK+aBnsyoQQAJBguLHmLv/vwAAAAAcAAAA/AgA/AACAAAAAAAA8L8C4L4OnDOiCkAC7Q2+MJkqA8AAAAAAGAAAAPwIAPwAAgAAAAAAAPC/AuC+DpwzogpAAoenV8oyxAnAAAAAABgAAAD8CAD8AAIAAAAAAADwvwIK+aBnsyoQQAL3Bl+YTNURwAAAAAAcAAAA/AgA/AACAAAAAAAA8L8CCvmgZ7MqEEACVHQkl/8QDcAAAAAAGAAAAPwIAPwAAgAAAAAAAPC/Aq2L22gA7wRAAu4NvjCZKg3AAAAAABgAAAD8CAD8AAIAAAAAAADwvwLgvg6cM6IKQAJdbcX+snsTwAAAAAAYAAAA/AgA/AACAAAAAAAA8L8CrYvbaADvBEAC9wZfmEzVEcAAAAAAGAAAAPwIAPwAAgAAAAAAAPC/AnBfB84ZERNAAio6kst/iBPAAAAAACAAAAD8CAD8AAIAAAAAAADwvwKjkjoBTUQTQAKn6Egu/yH7vwAAAAAgAAAA/AgA/AACAAAAAAAA8L8CcF8HzhnREUACVHQkl/+QBcAAAAAAHAAAAPwIAPwAAgAAAAAAAPC/Agr5oGez6hVAAsTTK2UZ4hHAAAAAACAAAAD8CAD8AAIAAAAAAADwvwKjkjoBTQQTQAL3Bl+YTNUWwAAAAAAYAAAA/AQA/AACAAAAAAAA8L8CCvmgZ7MqEEACDk+vlGWI8r8AAAAAIAAAAPwEAPwAAgAAAAAAAPC/AuC+DpwzogpAAio6kst/yBbAAAAAABgAAAD8BAD8AAIAAAAAAADwvwIT8kHPZtUEQAJBguLHmLv/vwAAAAAYAAAA/AQA/AACAAAAAAAA8L8Co5I6AU3EGEACKjqSy3+IE8AAAAAAGAAAAPwIAPwAAgAAAAAAAPC/AsTTK2UZohtAAsTTK2UZ4hHAAAAAABgAAAD8CAD8AAIAAAAAAADwvwIfFmpN864gQAI0MzMzMzMNwAAAAAAYAAAA/AgA/AACAAAAAAAA8L8CPSzUmuadG0ACNDMzMzMzDcAAAAAAGAAAAPwIAPwAAgAAAAAAAPC/Al1txf6yex5AAs3MzMzMjBPAAAAAABgAAAD8CAD8AAIAAAAAAADwvwJ8gy9MpqogQAJnZmZmZuYRwAAAAAAYAAAA/AgA/AACAAAAAAAA8L8C18VtNIB3HkACZ2ZmZmbmCcAAAAAAGAAAAPwEAPwAAgAAAAAAAPC/AuC+DpwzogpAAuhqK/aX3ee/AAAAABgAAAD8BAD8AAIAAAAAAADwvwIT8kHPZtUEQAIOT6+UZYjyvwAAAAAkAAAA/AQA/AACAAAAAAAA8L8Cak3zjlN0HkACzczMzMxMA8AAAAAAJAAAAPwEAPwAAgAAAAAAAPC/AtbFbTSAFyJAAlUwKqkTkBPAAAAAAAEdCAQEAAAAAAAADBAEAAQEAAAAEAgIDAQEAAAAFAgEAAQEAAAAGBwEAAQEAAAAHBQICAQEAAAAIAwEAAAAAAAAJAAIAAAAAAAAKAAIAAAAAAAALCAEAAAAAAAAMCAIAAAAAAAANAAEAAQAAAAAOBgEAAAAAAAAPAQEAAQAAAAAARAsBAAAAAAAAAERARAEAAAAAAAAARIBFQgIBAQAAAABEwERBAAEBAAAAAEUAREIDAQEAAAAARUBFAQABAQAAAABFgETCAgEBAAAAAEXNAQABAAAAAABGAEXBAAEAAAAADwBGAQABAAAAAAYDAgIBAQAAAABFgESBAAEBAAAAAEWARkEAAAAAAAABAAEAAQAAAAAARUBGgQAAAAAAAAAAAEAAAAAAAAAAAAAAAAAAAAAAAAAAAA=</t>
        </r>
      </text>
    </comment>
    <comment ref="C382" authorId="0">
      <text>
        <r>
          <rPr>
            <sz val="9"/>
            <color indexed="81"/>
            <rFont val="Tahoma"/>
            <family val="2"/>
          </rPr>
          <t>Insight iXlW00003C0000382R0841462809S00000763P00856LAocjBAQBF1NjaVRlZ2ljLmRhdGEuTW9sZWN1bGUBbQF/ARJTY2lUZWdpYy5Nb2xlY3VsZQAAAQFkAv5qAQAAAAIAAiwYAAAA/AgA/AACAAAAAAAA8L8Cy6FFtvP94L8CMzMzMzMz478AAAAAGAAAAPwIAPwAAgAAAAAAAPC/AtzXgXNGlPS/AqFns+pztek/AAAAABgAAAD8CAD8AAIAAAAAAADwvwJeS8gHPZvwPwL3Bl+YTBXUvwAAAAAYAAAA/AgA/AACAAAAAAAA8L8ChXzQs1n19b8CKjqSy39I/78AAAAAHAAAAPwIAPwAAgAAAAAAAPC/Ava52or9Zce/Aio6kst/SP8/AAAAABgAAAD8CAD8AAIAAAAAAADwvwI5RUdy+Q8HwAI3GsBbIEHrPwAAAAABEAAAAPwEAPwAAgAAAAAAAPC/AoJzRpT2BvQ/Am+BBMWPMfQ/AAAAABwAAAD8BAD8AAIAAAAAAADwvwLcaABvgYQBQAJbQj7o2az2vwAAAAAYAAAA/AgA/AACAAAAAAAA8L8C001iEFi5B8AC3+ALk6mC/r8AAAAAGAAAAPwIAPwAAgAAAAAAAPC/AtBE2PD0yg3AAgjOGVHaG+C/AAAAABgAAAD8BAD8AAIAAAAAAADwvwLQRNjw9MoNQAI9LNSa5h3vvwAAAAAwAAQEAAQEAAAAAAgICAQEAAAAAAwEAAQEAAAABBAICAQEAAAABBQEAAQEAAAACBgEAAQEAAAACBwEAAAAAAAADCAICAQEAAAAFCQICAQEAAAAHCgEAAAAAAAAEBgEAAQEAAAAICQEAAQEAAAAAAABAAAAAAAAAAAAAAAAAAAAAAAAAAAA</t>
        </r>
      </text>
    </comment>
    <comment ref="C383" authorId="0">
      <text>
        <r>
          <rPr>
            <sz val="9"/>
            <color indexed="81"/>
            <rFont val="Tahoma"/>
            <family val="2"/>
          </rPr>
          <t>Insight iXlW00003C0000383R0841462809S00000764P00868LAocjBAQBF1NjaVRlZ2ljLmRhdGEuTW9sZWN1bGUBbQF/ARJTY2lUZWdpYy5Nb2xlY3VsZQAAAQFkAv5qAQAAAAIAAjAYAAAA/AgA/AACAAAAAAAA8L8ChJ7Nqs/V978AAAAAABgAAAD8BAD8AAIAAAAAAADwvwJMyAc9m9UHwAAAAAAAGAAAAPwIAPwAAgAAAAAAAPC/AhPyQc9m1ee/AlFrmnecovQ/AAAAABgAAAD8CAD8AAIAAAAAAADwvwIT8kHPZtXnvwJRa5p3nKL0vwAAAAAYAAAA/AQA/AACAAAAAAAA8L8C0ETY8PTKDcACUWuad5yi9L8AAAAAGAAAAPwEAPwAAgAAAAAAAPC/AtBE2PD0yg3AAlFrmnecovQ/AAAAABgAAAD8CAD8AAIAAAAAAADwvwIT8kHPZtXnPwJRa5p3nKL0PwAAAAAYAAAA/AgA/AACAAAAAAAA8L8CE/JBz2bV5z8CUWuad5yi9L8AAAAAGAAAAPwIAPwAAgAAAAAAAPC/AoSezarP1fc/AAAAAAAcAAQA/AgA/AACAAAAAAAA8L8CTMgHPZvVB0AAAAAAACAAAAD8CAD8AAIAAAAAAADwvwLQRNjw9MoNQAJRa5p3nKL0PwAAAAAgAPwA/AgA/AACAAAAAAAA8L8C0ETY8PTKDUACUWuad5yi9L8AAAAAMAAEBAAAAAAAAAAICAwEBAAAAAAMBAAEBAAAAAQQBAAAAAAAAAQUBAAAAAAAAAgYBAAEBAAAAAwcCAgEBAAAABggCAwEBAAAACAkBAAAAAAAACQoCAAAAAAAACQsBAAAAAAAABwgBAAEBAAAAAAAAQAAAAAAAAAAAAAAAAAAAAAAAAAAAA==</t>
        </r>
      </text>
    </comment>
    <comment ref="C384" authorId="0">
      <text>
        <r>
          <rPr>
            <sz val="9"/>
            <color indexed="81"/>
            <rFont val="Tahoma"/>
            <family val="2"/>
          </rPr>
          <t>Insight iXlW00003C0000384R0841462809S00000765P00716LAocjBAQBF1NjaVRlZ2ljLmRhdGEuTW9sZWN1bGUBbQF/ARJTY2lUZWdpYy5Nb2xlY3VsZQAAAQFkAv5qAQAAAAIAAiQYAAAA/AgA/AACAAAAAAAA8L8CPnlYqDXNyz8C+ORhodY08j8AAAAAGAAAAPwIAPwAAgAAAAAAAPC/Aj55WKg1zcs/AvjkYaHWNPK/AAAAABwAAAD8CAD8AAIAAAAAAADwvwI5RUdy+Q8DQAKgq63YX3b9PwAAAAAYAAAA/AgA/AACAAAAAAAA8L8CgnNGlPYG/L8CMLsnDws1AkAAAAAAIAAAAPwIAPwAAgAAAAAAAPC/AjlFR3L5DwNAAqCrrdhfdv2/AAAAABgAAAD8CAD8AAIAAAAAAADwvwKCc0aU9gb8vwIwuycPCzUCwAAAAAAYAAAA/AgA/AACAAAAAAAA8L8CT9GRXP7DDUAAAAAAABgAAAD8CAD8AAIAAAAAAADwvwLQRNjw9MoNwAL45GGh1jTyPwAAAAAYAAAA/AgA/AACAAAAAAAA8L8C0ETY8PTKDcAC+ORhodY08r8AAAAAKAAECAgEBAAAAAAIBAAEBAAAAAAMBAAEBAAAAAQQBAAEBAAAAAQUBAAEBAAAAAgYCAgEBAAAAAwcCAgEBAAAABQgCAgEBAAAABAYBAAEBAAAABwgBAAEBAAAAAAAAQAAAAAAAAAAAAAAAAAAAAAAAAAAAA==</t>
        </r>
      </text>
    </comment>
    <comment ref="C385" authorId="0">
      <text>
        <r>
          <rPr>
            <sz val="9"/>
            <color indexed="81"/>
            <rFont val="Tahoma"/>
            <family val="2"/>
          </rPr>
          <t>Insight iXlW00003C0000385R0841462809S00000766P00604LAocjBAQBF1NjaVRlZ2ljLmRhdGEuTW9sZWN1bGUBbQF/ARJTY2lUZWdpYy5Nb2xlY3VsZQAAAQFkAv5qAQAAAAIAAiAYAAAA/AgA/AACAAAAAAAA8L8AAl5LyAc9m/g/AAAAABgAAAD8CAD8AAIAAAAAAADwvwKyne+nxkv1PwLP91PjpZvoPwAAAAAYAAAA/AgA/AACAAAAAAAA8L8Csp3vp8ZL9b8Cz/dT46Wb6D8AAAAAGAAAAPwEAPwAAgAAAAAAAPC/AAIYldQJaKIIQAAAAAAYAAAA/AgA/AACAAAAAAAA8L8Csp3vp8ZL9T8Cz/dT46Wb6L8AAAAAGAAAAPwIAPwAAgAAAAAAAPC/ArKd76fGS/W/As/3U+Olm+i/AAAAABwABAD8CAD8AAIAAAAAAADwvwACXkvIBz2b+L8AAAAAIAD8APwIAPwAAgAAAAAAAPC/AAIYldQJaKIIwAAAAAAgAAQICAQEAAAAAAgEAAQEAAAAAAwEAAAAAAAABBAEAAQEAAAACBQICAQEAAAAEBgIDAQEAAAAGBwEAAAAAAAAFBgEAAQEAAAAAAABAAAAAAAAAAAAAAAAAAAAAAAAAAAA</t>
        </r>
      </text>
    </comment>
  </commentList>
</comments>
</file>

<file path=xl/comments2.xml><?xml version="1.0" encoding="utf-8"?>
<comments xmlns="http://schemas.openxmlformats.org/spreadsheetml/2006/main">
  <authors>
    <author>Dreher, Spencer Douglas</author>
  </authors>
  <commentList>
    <comment ref="D2" authorId="0">
      <text>
        <r>
          <rPr>
            <sz val="9"/>
            <color indexed="81"/>
            <rFont val="Tahoma"/>
            <family val="2"/>
          </rPr>
          <t>Insight iXlW00004C0000002R0841462918S00000001P00556LAocjBAQBF1NjaVRlZ2ljLmRhdGEuTW9sZWN1bGUBbQF/ARJTY2lUZWdpYy5Nb2xlY3VsZQAAAQFkAv5qAQAAAAIAAhwYAAAA/AgA/AACAAAAAAAA8L8C7lqJnd7I9D8Ce8erYvz/578AAAAAASMAAAD8BAD8AAIAAAAAAADwvwJSDZVayLQCQALCqUtrlJn1vwAAAAAcAAAA/AgA/AACAAAAAAAA8L8CKorQWtjI9D8C02GiEhIA6D8AAAAAGAAAAPwIAPwAAgAAAAAAAPC/AoFJlqboseC+AjnqbzQBAPg/AAAAABgAAAD8CAD8AAIAAAAAAADwvwIEtMWz4Mj0vwISywIo9f/nPwAAAAAYAAAA/AgA/AACAAAAAAAA8L8CA8YOcdrI9L8C1pL71woA6L8AAAAAGAAAAPwIAPwAAgAAAAAAAPC/AiCKiqbosdA+AvIAcTQBAPi/AAAAABwABAQAAAAAAAAACAgABAQAAAAIDAQABAQAAAAMEAgABAQAAAAQFAQABAQAAAAUGAgABAQAAAAYAAQABAQAAAAAAAAA</t>
        </r>
      </text>
    </comment>
    <comment ref="D3" authorId="0">
      <text>
        <r>
          <rPr>
            <sz val="9"/>
            <color indexed="81"/>
            <rFont val="Tahoma"/>
            <family val="2"/>
          </rPr>
          <t>Insight iXlW00004C0000003R0841462918S00000002P00556LAocjBAQBF1NjaVRlZ2ljLmRhdGEuTW9sZWN1bGUBbQF/ARJTY2lUZWdpYy5Nb2xlY3VsZQAAAQFkAv5qAQAAAAIAAhwYAAAA/AgA/AACAAAAAAAA8L8C7lqJnd7I9D8Ce8erYvz/578AAAAAASMAAAD8BAD8AAIAAAAAAADwvwJSDZVayLQCQALCqUtrlJn1vwAAAAAYAAAA/AgA/AACAAAAAAAA8L8CKorQWtjI9D8C02GiEhIA6D8AAAAAHAAAAPwIAPwAAgAAAAAAAPC/AoFJlqboseC+AjnqbzQBAPg/AAAAABgAAAD8CAD8AAIAAAAAAADwvwIEtMWz4Mj0vwISywIo9f/nPwAAAAAYAAAA/AgA/AACAAAAAAAA8L8CA8YOcdrI9L8C1pL71woA6L8AAAAAGAAAAPwIAPwAAgAAAAAAAPC/AiCKiqbosdA+AvIAcTQBAPi/AAAAABwABAQAAAAAAAAACAgABAQAAAAIDAQABAQAAAAMEAgABAQAAAAQFAQABAQAAAAUGAgABAQAAAAYAAQABAQAAAAAAAAA</t>
        </r>
      </text>
    </comment>
    <comment ref="D4" authorId="0">
      <text>
        <r>
          <rPr>
            <sz val="9"/>
            <color indexed="81"/>
            <rFont val="Tahoma"/>
            <family val="2"/>
          </rPr>
          <t>Insight iXlW00004C0000004R0841462918S00000003P00556LAocjBAQBF1NjaVRlZ2ljLmRhdGEuTW9sZWN1bGUBbQF/ARJTY2lUZWdpYy5Nb2xlY3VsZQAAAQFkAv5qAQAAAAIAAhwYAAAA/AgA/AACAAAAAAAA8L8C7lqJnd7I9D8Ce8erYvz/578AAAAAASMAAAD8BAD8AAIAAAAAAADwvwJSDZVayLQCQALCqUtrlJn1vwAAAAAYAAAA/AgA/AACAAAAAAAA8L8CKorQWtjI9D8C02GiEhIA6D8AAAAAHAAAAPwIAPwAAgAAAAAAAPC/AoFJlqboseC+AjnqbzQBAPg/AAAAABgAAAD8CAD8AAIAAAAAAADwvwIEtMWz4Mj0vwISywIo9f/nPwAAAAAcAAAA/AgA/AACAAAAAAAA8L8CA8YOcdrI9L8C1pL71woA6L8AAAAAGAAAAPwIAPwAAgAAAAAAAPC/AiCKiqbosdA+AvIAcTQBAPi/AAAAABwABAQAAAAAAAAACAgABAQAAAAIDAQABAQAAAAMEAgABAQAAAAQFAQABAQAAAAUGAgABAQAAAAYAAQABAQAAAAAAAAA</t>
        </r>
      </text>
    </comment>
    <comment ref="D5" authorId="0">
      <text>
        <r>
          <rPr>
            <sz val="9"/>
            <color indexed="81"/>
            <rFont val="Tahoma"/>
            <family val="2"/>
          </rPr>
          <t>Insight iXlW00004C0000005R0841462918S00000004P00556LAocjBAQBF1NjaVRlZ2ljLmRhdGEuTW9sZWN1bGUBbQF/ARJTY2lUZWdpYy5Nb2xlY3VsZQAAAQFkAv5qAQAAAAIAAhwYAAAA/AgA/AACAAAAAAAA8L8CTb2hvgUA6D8CVtZc6D2E8L8AAAAAASMAAAD8BAD8AAIAAAAAAADwvwKMY/tkG0n3PwIWohQpWwYAwAAAAAAYAAAA/AgA/AACAAAAAAAA8L8CtF+QAJhq8z8C51EYtFA82T8AAAAAGAAAAPwIAPwAAgAAAAAAAPC/ArbMWyo1Z9y+AqI5pgJnavQ/AAAAABgAAAD8CAD8AAIAAAAAAADwvwK17wdknGrzvwK83XCtGjzZPwAAAAAcAAAA/AgA/AACAAAAAAAA8L8C4ohdQfr/578CVsrWFEKE8L8AAAAAGAAAAPwEAPwAAgAAAAAAAPC/AmyRhOUOSfe/AveCWrNfBgDAAAAAABwABAQAAAAAAAAACAgABAQAAAAIDAQABAQAAAAMEAgABAQAAAAQFAQABAQAAAAUAAQABAQAAAAUGAQAAAAAAAAAAAAA</t>
        </r>
      </text>
    </comment>
    <comment ref="D6" authorId="0">
      <text>
        <r>
          <rPr>
            <sz val="9"/>
            <color indexed="81"/>
            <rFont val="Tahoma"/>
            <family val="2"/>
          </rPr>
          <t>Insight iXlW00004C0000006R0841462918S00000005P00556LAocjBAQBF1NjaVRlZ2ljLmRhdGEuTW9sZWN1bGUBbQF/ARJTY2lUZWdpYy5Nb2xlY3VsZQAAAQFkAv5qAQAAAAIAAhwYAAAA/AgA/AACAAAAAAAA8L8CTb2hvgUA6D8CVtZc6D2E8L8AAAAAASMAAAD8BAD8AAIAAAAAAADwvwKMY/tkG0n3PwIWohQpWwYAwAAAAAAYAAAA/AgA/AACAAAAAAAA8L8CtF+QAJhq8z8C51EYtFA82T8AAAAAHAAAAPwIAPwAAgAAAAAAAPC/ArbMWyo1Z9y+AqI5pgJnavQ/AAAAABwAAAD8CAD8AAIAAAAAAADwvwK17wdknGrzvwK83XCtGjzZPwAAAAAYAAAA/AQA/AACAAAAAAAA8L8CqZIbC6DWAsACv6kB6MV76D8AAAAAGAAAAPwIAPwAAgAAAAAAAPC/AuKIXUH6/+e/AlbK1hRChPC/AAAAABwABAQAAAAAAAAACAQABAQAAAAIDAgABAQAAAAMEAQABAQAAAAQFAQAAAAAAAAQGAQABAQAAAAYAAgABAQAAAAAAAAA</t>
        </r>
      </text>
    </comment>
    <comment ref="D7" authorId="0">
      <text>
        <r>
          <rPr>
            <sz val="9"/>
            <color indexed="81"/>
            <rFont val="Tahoma"/>
            <family val="2"/>
          </rPr>
          <t>Insight iXlW00004C0000007R0841462918S00000006P00556LAocjBAQBF1NjaVRlZ2ljLmRhdGEuTW9sZWN1bGUBbQF/ARJTY2lUZWdpYy5Nb2xlY3VsZQAAAQFkAv5qAQAAAAIAAhwYAAAA/AgA/AACAAAAAAAA8L8CTb2hvgUA6D8CVtZc6D2E8L8AAAAAASMAAAD8BAD8AAIAAAAAAADwvwKMY/tkG0n3PwIWohQpWwYAwAAAAAAcAAAA/AgA/AACAAAAAAAA8L8CtF+QAJhq8z8C51EYtFA82T8AAAAAGAAAAPwIAPwAAgAAAAAAAPC/ArbMWyo1Z9y+AqI5pgJnavQ/AAAAABwAAAD8CAD8AAIAAAAAAADwvwK17wdknGrzvwK83XCtGjzZPwAAAAAYAAAA/AQA/AACAAAAAAAA8L8CqZIbC6DWAsACv6kB6MV76D8AAAAAGAAAAPwIAPwAAgAAAAAAAPC/AuKIXUH6/+e/AlbK1hRChPC/AAAAABwABAQAAAAAAAAACAQABAQAAAAIDAgABAQAAAAMEAQABAQAAAAQFAQAAAAAAAAQGAQABAQAAAAYAAgABAQAAAAAAAAA</t>
        </r>
      </text>
    </comment>
    <comment ref="D8" authorId="0">
      <text>
        <r>
          <rPr>
            <sz val="9"/>
            <color indexed="81"/>
            <rFont val="Tahoma"/>
            <family val="2"/>
          </rPr>
          <t>Insight iXlW00004C0000008R0841462918S00000007P00556LAocjBAQBF1NjaVRlZ2ljLmRhdGEuTW9sZWN1bGUBbQF/ARJTY2lUZWdpYy5Nb2xlY3VsZQAAAQFkAv5qAQAAAAIAAhwcAAAA/AgA/AACAAAAAAAA8L8CTb2hvgUA6D8CVtZc6D2E8L8AAAAAGAAAAPwIAPwAAgAAAAAAAPC/ArRfkACYavM/AudRGLRQPNk/AAAAABwAAAD8CAD8AAIAAAAAAADwvwK2zFsqNWfcvgKiOaYCZ2r0PwAAAAAYAAAA/AgA/AACAAAAAAAA8L8Cte8HZJxq878CvN1wrRo82T8AAAAAGAAAAPwEAPwAAgAAAAAAAPC/AqmSGwug1gLAAr+pAejFe+g/AAAAABgAAAD8CAD8AAIAAAAAAADwvwLiiF1B+v/nvwJWytYUQoTwvwAAAAABIwAAAPwEAPwAAgAAAAAAAPC/AmyRhOUOSfe/AveCWrNfBgDAAAAAABwABAgABAQAAAAECAQABAQAAAAIDAQABAQAAAAMEAQAAAAAAAAMFAgABAQAAAAUAAQABAQAAAAUGAQAAAAAAAAAAAAA</t>
        </r>
      </text>
    </comment>
    <comment ref="D9" authorId="0">
      <text>
        <r>
          <rPr>
            <sz val="9"/>
            <color indexed="81"/>
            <rFont val="Tahoma"/>
            <family val="2"/>
          </rPr>
          <t>Insight iXlW00004C0000009R0841462918S00000008P00556LAocjBAQBF1NjaVRlZ2ljLmRhdGEuTW9sZWN1bGUBbQF/ARJTY2lUZWdpYy5Nb2xlY3VsZQAAAQFkAv5qAQAAAAIAAhwYAAAA/AgA/AACAAAAAAAA8L8CTb2hvgUA6D8CVtZc6D2E8L8AAAAAASMAAAD8BAD8AAIAAAAAAADwvwKMY/tkG0n3PwIWohQpWwYAwAAAAAAYAAAA/AgA/AACAAAAAAAA8L8CtF+QAJhq8z8C51EYtFA82T8AAAAAHAAAAPwIAPwAAgAAAAAAAPC/ArbMWyo1Z9y+AqI5pgJnavQ/AAAAABwAAAD8CAD8AAIAAAAAAADwvwK17wdknGrzvwK83XCtGjzZPwAAAAAYAAAA/AgA/AACAAAAAAAA8L8C4ohdQfr/578CVsrWFEKE8L8AAAAAGAAAAPwEAPwAAgAAAAAAAPC/AmyRhOUOSfe/AveCWrNfBgDAAAAAABwABAQAAAAAAAAACAgABAQAAAAIDAQABAQAAAAMEAQABAQAAAAQFAgABAQAAAAUAAQABAQAAAAUGAQAAAAAAAAAAAAA</t>
        </r>
      </text>
    </comment>
    <comment ref="D10" authorId="0">
      <text>
        <r>
          <rPr>
            <sz val="9"/>
            <color indexed="81"/>
            <rFont val="Tahoma"/>
            <family val="2"/>
          </rPr>
          <t>Insight iXlW00004C0000010R0841462918S00000009P00556LAocjBAQBF1NjaVRlZ2ljLmRhdGEuTW9sZWN1bGUBbQF/ARJTY2lUZWdpYy5Nb2xlY3VsZQAAAQFkAv5qAQAAAAIAAhwcAAAA/AgA/AACAAAAAAAA8L8CTb2hvgUA6D8CVtZc6D2E8L8AAAAAGAAAAPwIAPwAAgAAAAAAAPC/ArRfkACYavM/AudRGLRQPNk/AAAAABgAAAD8BAD8AAIAAAAAAADwvwLCFCALnNYCQALA4/Il93voPwAAAAAcAAAA/AgA/AACAAAAAAAA8L8CtsxbKjVn3L4CojmmAmdq9D8AAAAAHAAAAPwIAPwAAgAAAAAAAPC/ArXvB2ScavO/ArzdcK0aPNk/AAAAABgAAAD8CAD8AAIAAAAAAADwvwLiiF1B+v/nvwJWytYUQoTwvwAAAAABIwAAAPwEAPwAAgAAAAAAAPC/AmyRhOUOSfe/AveCWrNfBgDAAAAAABwABAgABAQAAAAECAQAAAAAAAAEDAQABAQAAAAMEAQABAQAAAAQFAgABAQAAAAUAAQABAQAAAAUGAQAAAAAAAAAAAAA</t>
        </r>
      </text>
    </comment>
    <comment ref="D11" authorId="0">
      <text>
        <r>
          <rPr>
            <sz val="9"/>
            <color indexed="81"/>
            <rFont val="Tahoma"/>
            <family val="2"/>
          </rPr>
          <t>Insight iXlW00004C0000011R0841462918S00000010P00556LAocjBAQBF1NjaVRlZ2ljLmRhdGEuTW9sZWN1bGUBbQF/ARJTY2lUZWdpYy5Nb2xlY3VsZQAAAQFkAv5qAQAAAAIAAhwcAAAA/AgA/AACAAAAAAAA8L8CTb2hvgUA6D8CVtZc6D2E8L8AAAAAGAAAAPwIAPwAAgAAAAAAAPC/ArRfkACYavM/AudRGLRQPNk/AAAAAAEjAAAA/AQA/AACAAAAAAAA8L8CwhQgC5zWAkACwOPyJfd76D8AAAAAGAAAAPwIAPwAAgAAAAAAAPC/ArbMWyo1Z9y+AqI5pgJnavQ/AAAAABwAAAD8CAD8AAIAAAAAAADwvwK17wdknGrzvwK83XCtGjzZPwAAAAAYAAAA/AQA/AACAAAAAAAA8L8CqZIbC6DWAsACv6kB6MV76D8AAAAAHAAAAPwIAPwAAgAAAAAAAPC/AuKIXUH6/+e/AlbK1hRChPC/AAAAABwABAQABAQAAAAECAQAAAAAAAAEDAgABAQAAAAMEAQABAQAAAAQFAQAAAAAAAAQGAQABAQAAAAYAAgABAQAAAAAAAAA</t>
        </r>
      </text>
    </comment>
    <comment ref="D12" authorId="0">
      <text>
        <r>
          <rPr>
            <sz val="9"/>
            <color indexed="81"/>
            <rFont val="Tahoma"/>
            <family val="2"/>
          </rPr>
          <t>Insight iXlW00004C0000012R0841462918S00000011P00556LAocjBAQBF1NjaVRlZ2ljLmRhdGEuTW9sZWN1bGUBbQF/ARJTY2lUZWdpYy5Nb2xlY3VsZQAAAQFkAv5qAQAAAAIAAhwcAAAA/AgA/AACAAAAAAAA8L8CTb2hvgUA6D8CVtZc6D2E8L8AAAAAGAAAAPwIAPwAAgAAAAAAAPC/ArRfkACYavM/AudRGLRQPNk/AAAAABgAAAD8BAD8AAIAAAAAAADwvwLCFCALnNYCQALA4/Il93voPwAAAAAgAAAA/AgA/AACAAAAAAAA8L8CtsxbKjVn3L4CojmmAmdq9D8AAAAAHAAAAPwIAPwAAgAAAAAAAPC/ArXvB2ScavO/ArzdcK0aPNk/AAAAABgAAAD8CAD8AAIAAAAAAADwvwLiiF1B+v/nvwJWytYUQoTwvwAAAAABIwAAAPwEAPwAAgAAAAAAAPC/AmyRhOUOSfe/AveCWrNfBgDAAAAAABwABAgABAQAAAAECAQAAAAAAAAEDAQABAQAAAAMEAQABAQAAAAQFAgABAQAAAAUAAQABAQAAAAUGAQAAAAAAAAAAAAA</t>
        </r>
      </text>
    </comment>
    <comment ref="D13" authorId="0">
      <text>
        <r>
          <rPr>
            <sz val="9"/>
            <color indexed="81"/>
            <rFont val="Tahoma"/>
            <family val="2"/>
          </rPr>
          <t>Insight iXlW00004C0000013R0841462918S00000012P00556LAocjBAQBF1NjaVRlZ2ljLmRhdGEuTW9sZWN1bGUBbQF/ARJTY2lUZWdpYy5Nb2xlY3VsZQAAAQFkAv5qAQAAAAIAAhwYAAAA/AQA/AACAAAAAAAA8L8CjWP7ZBtJ9z8CF6IUKVsGAMAAAAAAHAAAAPwIAPwAAgAAAAAAAPC/Ak29ob4FAOg/AlbWXOg9hPC/AAAAABgAAAD8CAD8AAIAAAAAAADwvwK0X5AAmGrzPwLnURi0UDzZPwAAAAABIwAAAPwEAPwAAgAAAAAAAPC/AsIUIAuc1gJAAsDj8iX3e+g/AAAAABwAAAD8CAD8AAIAAAAAAADwvwK2zFsqNWfcvgKiOaYCZ2r0PwAAAAAcAAAA/AgA/AACAAAAAAAA8L8Cte8HZJxq878CvN1wrRo82T8AAAAAHAAAAPwIAPwAAgAAAAAAAPC/AuKIXUH6/+e/AlbK1hRChPC/AAAAABwABAQAAAAAAAAECAQABAQAAAAIDAQAAAAAAAAIEAgABAQAAAAQFAQABAQAAAAUGAgABAQAAAAYBAQABAQAAAAAAAAA</t>
        </r>
      </text>
    </comment>
    <comment ref="D14" authorId="0">
      <text>
        <r>
          <rPr>
            <sz val="9"/>
            <color indexed="81"/>
            <rFont val="Tahoma"/>
            <family val="2"/>
          </rPr>
          <t>Insight iXlW00004C0000014R0841462918S00000013P00492LAocjBAQBF1NjaVRlZ2ljLmRhdGEuTW9sZWN1bGUBbQF/ARJTY2lUZWdpYy5Nb2xlY3VsZQAAAQFkAv5qAQAAAAIAAhgYAAAA/AgA/AACAAAAAAAA8L8CTb2hvgUA6D8CVtZc6D2E8L8AAAAAASMAAAD8BAD8AAIAAAAAAADwvwKMY/tkG0n3PwIWohQpWwYAwAAAAAABEAAAAPwEAPwAAgAAAAAAAPC/ArRfkACYavM/AudRGLRQPNk/AAAAABgAAAD8CAD8AAIAAAAAAADwvwK2zFsqNWfcvgKiOaYCZ2r0PwAAAAAYAAAA/AgA/AACAAAAAAAA8L8Cte8HZJxq878CvN1wrRo82T8AAAAAGAAAAPwIAPwAAgAAAAAAAPC/AuKIXUH6/+e/AlbK1hRChPC/AAAAABgABAQAAAAAAAAACAQABAQAAAAIDAQABAQAAAAMEAgABAQAAAAQFAQABAQAAAAUAAgABAQAAAAAAAAA</t>
        </r>
      </text>
    </comment>
    <comment ref="D15" authorId="0">
      <text>
        <r>
          <rPr>
            <sz val="9"/>
            <color indexed="81"/>
            <rFont val="Tahoma"/>
            <family val="2"/>
          </rPr>
          <t>Insight iXlW00004C0000015R0841462918S00000014P00492LAocjBAQBF1NjaVRlZ2ljLmRhdGEuTW9sZWN1bGUBbQF/ARJTY2lUZWdpYy5Nb2xlY3VsZQAAAQFkAv5qAQAAAAIAAhgYAAAA/AgA/AACAAAAAAAA8L8CTb2hvgUA6D8CVtZc6D2E8L8AAAAAASMAAAD8BAD8AAIAAAAAAADwvwKMY/tkG0n3PwIWohQpWwYAwAAAAAAYAAAA/AgA/AACAAAAAAAA8L8CtF+QAJhq8z8C51EYtFA82T8AAAAAARAAAAD8BAD8AAIAAAAAAADwvwK2zFsqNWfcvgKiOaYCZ2r0PwAAAAAYAAAA/AgA/AACAAAAAAAA8L8Cte8HZJxq878CvN1wrRo82T8AAAAAGAAAAPwIAPwAAgAAAAAAAPC/AuKIXUH6/+e/AlbK1hRChPC/AAAAABgABAQAAAAAAAAACAgABAQAAAAIDAQABAQAAAAMEAQABAQAAAAQFAgABAQAAAAUAAQABAQAAAAAAAAA</t>
        </r>
      </text>
    </comment>
    <comment ref="D16" authorId="0">
      <text>
        <r>
          <rPr>
            <sz val="9"/>
            <color indexed="81"/>
            <rFont val="Tahoma"/>
            <family val="2"/>
          </rPr>
          <t>Insight iXlW00004C0000016R0841462918S00000015P00492LAocjBAQBF1NjaVRlZ2ljLmRhdGEuTW9sZWN1bGUBbQF/ARJTY2lUZWdpYy5Nb2xlY3VsZQAAAQFkAv5qAQAAAAIAAhgcAAAA/AgA/AACAAAAAAAA8L8CTb2hvgUA6D8CVtZc6D2E8L8AAAAAGAAAAPwIAPwAAgAAAAAAAPC/ArRfkACYavM/AudRGLRQPNk/AAAAAAEQAAAA/AQA/AACAAAAAAAA8L8C4ohdQfr/578CVsrWFEKE8L8AAAAAGAAAAPwIAPwAAgAAAAAAAPC/ArXvB2ScavO/ArzdcK0aPNk/AAAAABgAAAD8CAD8AAIAAAAAAADwvwK2zFsqNWfcvgKiOaYCZ2r0PwAAAAABIwAAAPwEAPwAAgAAAAAAAPC/AjTgxG66juu+AsQh7BrNzgNAAAAAABgABAgABAQAAAAACAQABAQAAAAIDAQABAQAAAAMEAgABAQAAAAQBAQABAQAAAAQFAQAAAAAAAAAAAAA</t>
        </r>
      </text>
    </comment>
    <comment ref="D17" authorId="0">
      <text>
        <r>
          <rPr>
            <sz val="9"/>
            <color indexed="81"/>
            <rFont val="Tahoma"/>
            <family val="2"/>
          </rPr>
          <t>Insight iXlW00004C0000017R0841462918S00000016P00492LAocjBAQBF1NjaVRlZ2ljLmRhdGEuTW9sZWN1bGUBbQF/ARJTY2lUZWdpYy5Nb2xlY3VsZQAAAQFkAv5qAQAAAAIAAhgcAAAA/AgA/AACAAAAAAAA8L8CTb2hvgUA6D8CVtZc6D2E8L8AAAAAGAAAAPwIAPwAAgAAAAAAAPC/ArRfkACYavM/AudRGLRQPNk/AAAAAAEQAAAA/AQA/AACAAAAAAAA8L8CtsxbKjVn3L4CojmmAmdq9D8AAAAAGAAAAPwIAPwAAgAAAAAAAPC/ArXvB2ScavO/ArzdcK0aPNk/AAAAABgAAAD8CAD8AAIAAAAAAADwvwLiiF1B+v/nvwJWytYUQoTwvwAAAAABIwAAAPwEAPwAAgAAAAAAAPC/AmyRhOUOSfe/AveCWrNfBgDAAAAAABgABAgABAQAAAAECAQABAQAAAAIDAQABAQAAAAMEAgABAQAAAAQAAQABAQAAAAQFAQAAAAAAAAAAAAA</t>
        </r>
      </text>
    </comment>
    <comment ref="D18" authorId="0">
      <text>
        <r>
          <rPr>
            <sz val="9"/>
            <color indexed="81"/>
            <rFont val="Tahoma"/>
            <family val="2"/>
          </rPr>
          <t>Insight iXlW00004C0000018R0841462918S00000017P00492LAocjBAQBF1NjaVRlZ2ljLmRhdGEuTW9sZWN1bGUBbQF/ARJTY2lUZWdpYy5Nb2xlY3VsZQAAAQFkAv5qAQAAAAIAAhgYAAAA/AgA/AACAAAAAAAA8L8CTb2hvgUA6D8CVtZc6D2E8L8AAAAAGAAAAPwIAPwAAgAAAAAAAPC/ArRfkACYavM/AudRGLRQPNk/AAAAAAEjAAAA/AQA/AACAAAAAAAA8L8CwhQgC5zWAkACwOPyJfd76D8AAAAAHAAAAPwIAPwAAgAAAAAAAPC/AuKIXUH6/+e/AlbK1hRChPC/AAAAAAEQAAAA/AQA/AACAAAAAAAA8L8Cte8HZJxq878CvN1wrRo82T8AAAAAHAAAAPwIAPwAAgAAAAAAAPC/ArbMWyo1Z9y+AqI5pgJnavQ/AAAAABgABAQABAQAAAAECAQAAAAAAAAADAgABAQAAAAMEAQABAQAAAAQFAQABAQAAAAUBAgABAQAAAAAAAAA</t>
        </r>
      </text>
    </comment>
    <comment ref="D19" authorId="0">
      <text>
        <r>
          <rPr>
            <sz val="9"/>
            <color indexed="81"/>
            <rFont val="Tahoma"/>
            <family val="2"/>
          </rPr>
          <t>Insight iXlW00004C0000019R0841462918S00000018P00624LAocjBAQBF1NjaVRlZ2ljLmRhdGEuTW9sZWN1bGUBbQF/ARJTY2lUZWdpYy5Nb2xlY3VsZQAAAQFkAv5qAQAAAAIAAiAYAAAA/AgA/AACAAAAAAAA8L8C7lqJnd7I9D8Ce8erYvz/578AAAAAGAAAAPwIAPwAAgAAAAAAAPC/AiqK0FrYyPQ/AtNhohISAOg/AAAAABgAAAD8BAD8AAIAAAAAAADwvwLGayK4wrQCQAJ2ARDwp5n1PwAAAAAcAAAA/AgA/AACAAAAAAAA8L8CgUmWpuix4L4COepvNAEA+D8AAAAAGAAAAPwIAPwAAgAAAAAAAPC/AgS0xbPgyPS/AhLLAij1/+c/AAAAABgAAAD8CAD8AAIAAAAAAADwvwIDxg5x2sj0vwLWkvvXCgDovwAAAAAYAAAA/AgA/AACAAAAAAAA8L8CIIqKpuix0D4C8gBxNAEA+L8AAAAAASMAAAD8BAD8AAIAAAAAAADwvwIflieACA3ePgLp9NEzmpkFwAAAAAAgAAQIAAQEAAAABAgEAAAAAAAABAwEAAQEAAAADBAIAAQEAAAAEBQEAAQEAAAAFBgIAAQEAAAAGAAEAAQEAAAAGBwEAAAAAAAAAAAAAA==</t>
        </r>
      </text>
    </comment>
    <comment ref="D20" authorId="0">
      <text>
        <r>
          <rPr>
            <sz val="9"/>
            <color indexed="81"/>
            <rFont val="Tahoma"/>
            <family val="2"/>
          </rPr>
          <t>Insight iXlW00004C0000020R0841462918S00000019P00624LAocjBAQBF1NjaVRlZ2ljLmRhdGEuTW9sZWN1bGUBbQF/ARJTY2lUZWdpYy5Nb2xlY3VsZQAAAQFkAv5qAQAAAAIAAiAcAAAA/AgA/AACAAAAAAAA8L8C7lqJnd7I9D8Ce8erYvz/578AAAAAGAAAAPwIAPwAAgAAAAAAAPC/AiqK0FrYyPQ/AtNhohISAOg/AAAAAAEjAAAA/AQA/AACAAAAAAAA8L8CxmsiuMK0AkACdgEQ8KeZ9T8AAAAAGAAAAPwIAPwAAgAAAAAAAPC/AoFJlqboseC+AjnqbzQBAPg/AAAAABgAAAD8CAD8AAIAAAAAAADwvwIEtMWz4Mj0vwISywIo9f/nPwAAAAAYAAAA/AgA/AACAAAAAAAA8L8CA8YOcdrI9L8C1pL71woA6L8AAAAAGAAAAPwIAPwAAgAAAAAAAPC/AiCKiqbosdA+AvIAcTQBAPi/AAAAABgAAAD8BAD8AAIAAAAAAADwvwIflieACA3ePgLp9NEzmpkFwAAAAAAgAAQIAAQEAAAABAgEAAAAAAAABAwEAAQEAAAADBAIAAQEAAAAEBQEAAQEAAAAFBgIAAQEAAAAGAAEAAQEAAAAGBwEAAAAAAAAAAAAAA==</t>
        </r>
      </text>
    </comment>
    <comment ref="D21" authorId="0">
      <text>
        <r>
          <rPr>
            <sz val="9"/>
            <color indexed="81"/>
            <rFont val="Tahoma"/>
            <family val="2"/>
          </rPr>
          <t>Insight iXlW00004C0000021R0841462918S00000020P00624LAocjBAQBF1NjaVRlZ2ljLmRhdGEuTW9sZWN1bGUBbQF/ARJTY2lUZWdpYy5Nb2xlY3VsZQAAAQFkAv5qAQAAAAIAAiAYAAAA/AgA/AACAAAAAAAA8L8C7lqJnd7I9D8Ce8erYvz/578AAAAAASMAAAD8BAD8AAIAAAAAAADwvwJSDZVayLQCQALCqUtrlJn1vwAAAAAYAAAA/AgA/AACAAAAAAAA8L8CKorQWtjI9D8C02GiEhIA6D8AAAAAGAAAAPwIAPwAAgAAAAAAAPC/AoFJlqboseC+AjnqbzQBAPg/AAAAABgAAAD8CAD8AAIAAAAAAADwvwIEtMWz4Mj0vwISywIo9f/nPwAAAAAcAAAA/AgA/AACAAAAAAAA8L8CA8YOcdrI9L8C1pL71woA6L8AAAAAGAAAAPwIAPwAAgAAAAAAAPC/AiCKiqbosdA+AvIAcTQBAPi/AAAAABgAAAD8BAD8AAIAAAAAAADwvwIflieACA3ePgLp9NEzmpkFwAAAAAAgAAQEAAAAAAAAAAgIAAQEAAAACAwEAAQEAAAADBAIAAQEAAAAEBQEAAQEAAAAFBgIAAQEAAAAGAAEAAQEAAAAGBwEAAAAAAAAAAAAAA==</t>
        </r>
      </text>
    </comment>
    <comment ref="D22" authorId="0">
      <text>
        <r>
          <rPr>
            <sz val="9"/>
            <color indexed="81"/>
            <rFont val="Tahoma"/>
            <family val="2"/>
          </rPr>
          <t>Insight iXlW00004C0000022R0841462918S00000021P00624LAocjBAQBF1NjaVRlZ2ljLmRhdGEuTW9sZWN1bGUBbQF/ARJTY2lUZWdpYy5Nb2xlY3VsZQAAAQFkAv5qAQAAAAIAAiAcAAAA/AgA/AACAAAAAAAA8L8C7lqJnd7I9D8Ce8erYvz/578AAAAAGAAAAPwIAPwAAgAAAAAAAPC/AiqK0FrYyPQ/AtNhohISAOg/AAAAABgAAAD8CAD8AAIAAAAAAADwvwKBSZam6LHgvgI56m80AQD4PwAAAAABIwAAAPwEAPwAAgAAAAAAAPC/AtqRNIAIDe6+AhD60DOamQVAAAAAABgAAAD8CAD8AAIAAAAAAADwvwIEtMWz4Mj0vwISywIo9f/nPwAAAAAcAAAA/AgA/AACAAAAAAAA8L8CA8YOcdrI9L8C1pL71woA6L8AAAAAGAAAAPwIAPwAAgAAAAAAAPC/AiCKiqbosdA+AvIAcTQBAPi/AAAAABgAAAD8BAD8AAIAAAAAAADwvwIflieACA3ePgLp9NEzmpkFwAAAAAAgAAQIAAQEAAAABAgEAAQEAAAACAwEAAAAAAAACBAIAAQEAAAAEBQEAAQEAAAAABgEAAQEAAAAGBQIAAQEAAAAGBwEAAAAAAAAAAAAAA==</t>
        </r>
      </text>
    </comment>
    <comment ref="D23" authorId="0">
      <text>
        <r>
          <rPr>
            <sz val="9"/>
            <color indexed="81"/>
            <rFont val="Tahoma"/>
            <family val="2"/>
          </rPr>
          <t>Insight iXlW00004C0000023R0841462918S00000022P00624LAocjBAQBF1NjaVRlZ2ljLmRhdGEuTW9sZWN1bGUBbQF/ARJTY2lUZWdpYy5Nb2xlY3VsZQAAAQFkAv5qAQAAAAIAAiAYAAAA/AgA/AACAAAAAAAA8L8C7lqJnd7I9D8Ce8erYvz/578AAAAAGAAAAPwIAPwAAgAAAAAAAPC/AiqK0FrYyPQ/AtNhohISAOg/AAAAABwAAAD8CAD8AAIAAAAAAADwvwKBSZam6LHgvgI56m80AQD4PwAAAAAYAAAA/AgA/AACAAAAAAAA8L8CBLTFs+DI9L8CEssCKPX/5z8AAAAAASMAAAD8BAD8AAIAAAAAAADwvwITC4zQybQCwALCaNVbj5n1PwAAAAAcAAAA/AgA/AACAAAAAAAA8L8CIIqKpuix0D4C8gBxNAEA+L8AAAAAGAAAAPwIAPwAAgAAAAAAAPC/AgPGDnHayPS/AtaS+9cKAOi/AAAAABgAAAD8BAD8AAIAAAAAAADwvwJ0uxouxLQCwAKqRpvgopn1vwAAAAAgAAQIAAQEAAAABAgEAAQEAAAACAwIAAQEAAAADBAEAAAAAAAAABQEAAQEAAAAFBgIAAQEAAAAGAwEAAQEAAAAGBwEAAAAAAAAAAAAAA==</t>
        </r>
      </text>
    </comment>
    <comment ref="D24" authorId="0">
      <text>
        <r>
          <rPr>
            <sz val="9"/>
            <color indexed="81"/>
            <rFont val="Tahoma"/>
            <family val="2"/>
          </rPr>
          <t>Insight iXlW00004C0000024R0841462918S00000023P00624LAocjBAQBF1NjaVRlZ2ljLmRhdGEuTW9sZWN1bGUBbQF/ARJTY2lUZWdpYy5Nb2xlY3VsZQAAAQFkAv5qAQAAAAIAAiAYAAAA/AgA/AACAAAAAAAA8L8C7lqJnd7I9D8Ce8erYvz/578AAAAAASMAAAD8BAD8AAIAAAAAAADwvwJSDZVayLQCQALCqUtrlJn1vwAAAAAYAAAA/AgA/AACAAAAAAAA8L8CKorQWtjI9D8C02GiEhIA6D8AAAAAHAAAAPwIAPwAAgAAAAAAAPC/AoFJlqboseC+AjnqbzQBAPg/AAAAABgAAAD8CAD8AAIAAAAAAADwvwIEtMWz4Mj0vwISywIo9f/nPwAAAAAgAAAA/AgA/AACAAAAAAAA8L8CEwuM0Mm0AsACwmjVW4+Z9T8AAAAAGAAAAPwIAPwAAgAAAAAAAPC/AgPGDnHayPS/AtaS+9cKAOi/AAAAABgAAAD8CAD8AAIAAAAAAADwvwIgioqm6LHQPgLyAHE0AQD4vwAAAAAgAAQEAAAAAAAAAAgIBAQAAAAACAwEAAQAAAAADBAEAAQAAAAAEBQIAAAAAAAAEBgEAAQAAAAAGBwIBAQAAAAAHAAEAAQAAAAAAAAAAA==</t>
        </r>
      </text>
    </comment>
    <comment ref="D25" authorId="0">
      <text>
        <r>
          <rPr>
            <sz val="9"/>
            <color indexed="81"/>
            <rFont val="Tahoma"/>
            <family val="2"/>
          </rPr>
          <t>Insight iXlW00004C0000025R0841462918S00000024P00624LAocjBAQBF1NjaVRlZ2ljLmRhdGEuTW9sZWN1bGUBbQF/ARJTY2lUZWdpYy5Nb2xlY3VsZQAAAQFkAv5qAQAAAAIAAiAcAAAA/AgA/AACAAAAAAAA8L8C7lqJnd7I9D8Ce8erYvz/578AAAAAGAAAAPwIAPwAAgAAAAAAAPC/AiqK0FrYyPQ/AtNhohISAOg/AAAAAAEjAAAA/AQA/AACAAAAAAAA8L8CxmsiuMK0AkACdgEQ8KeZ9T8AAAAAGAAAAPwIAPwAAgAAAAAAAPC/AoFJlqboseC+AjnqbzQBAPg/AAAAABgAAAD8CAD8AAIAAAAAAADwvwIEtMWz4Mj0vwISywIo9f/nPwAAAAAYAAAA/AgA/AACAAAAAAAA8L8CA8YOcdrI9L8C1pL71woA6L8AAAAAGAAAAPwIAPwAAgAAAAAAAPC/AiCKiqbosdA+AvIAcTQBAPi/AAAAACAAAAD8BAD8AAIAAAAAAADwvwIflieACA3ePgLp9NEzmpkFwAAAAAAgAAQIAAQEAAAABAgEAAAAAAAABAwEAAQEAAAADBAIAAQEAAAAEBQEAAQEAAAAFBgIAAQEAAAAGAAEAAQEAAAAGBwEAAAAAAAAAAAAAA==</t>
        </r>
      </text>
    </comment>
    <comment ref="D26" authorId="0">
      <text>
        <r>
          <rPr>
            <sz val="9"/>
            <color indexed="81"/>
            <rFont val="Tahoma"/>
            <family val="2"/>
          </rPr>
          <t>Insight iXlW00004C0000026R0841462918S00000025P00624LAocjBAQBF1NjaVRlZ2ljLmRhdGEuTW9sZWN1bGUBbQF/ARJTY2lUZWdpYy5Nb2xlY3VsZQAAAQFkAv5qAQAAAAIAAiAYAAAA/AgA/AACAAAAAAAA8L8C7lqJnd7I9D8Ce8erYvz/578AAAAAASMAAAD8BAD8AAIAAAAAAADwvwJSDZVayLQCQALCqUtrlJn1vwAAAAAYAAAA/AgA/AACAAAAAAAA8L8CKorQWtjI9D8C02GiEhIA6D8AAAAAGAAAAPwIAPwAAgAAAAAAAPC/AoFJlqboseC+AjnqbzQBAPg/AAAAABgAAAD8CAD8AAIAAAAAAADwvwIEtMWz4Mj0vwISywIo9f/nPwAAAAAcAAAA/AgA/AACAAAAAAAA8L8CA8YOcdrI9L8C1pL71woA6L8AAAAAGAAAAPwIAPwAAgAAAAAAAPC/AiCKiqbosdA+AvIAcTQBAPi/AAAAACAAAAD8BAD8AAIAAAAAAADwvwIflieACA3ePgLp9NEzmpkFwAAAAAAgAAQEAAAAAAAAAAgIAAQEAAAACAwEAAQEAAAADBAIAAQEAAAAEBQEAAQEAAAAFBgIAAQEAAAAGAAEAAQEAAAAGBwEAAAAAAAAAAAAAA==</t>
        </r>
      </text>
    </comment>
    <comment ref="D27" authorId="0">
      <text>
        <r>
          <rPr>
            <sz val="9"/>
            <color indexed="81"/>
            <rFont val="Tahoma"/>
            <family val="2"/>
          </rPr>
          <t>Insight iXlW00004C0000027R0841462918S00000026P00624LAocjBAQBF1NjaVRlZ2ljLmRhdGEuTW9sZWN1bGUBbQF/ARJTY2lUZWdpYy5Nb2xlY3VsZQAAAQFkAv5qAQAAAAIAAiAYAAAA/AgA/AACAAAAAAAA8L8CTb2hvgUA6D8CVtZc6D2E8L8AAAAAGAAAAPwIAPwAAgAAAAAAAPC/AiYBoVHYDPo/AtpwOPlD+AHAAAAAACAAAAD8CAD8AAIAAAAAAADwvwKVIC4mMTfyPwIINncn9LsKwAAAAAAcAAAA/AgA/AACAAAAAAAA8L8CtF+QAJhq8z8C51EYtFA82T8AAAAAGAAAAPwIAPwAAgAAAAAAAPC/ArbMWyo1Z9y+AqI5pgJnavQ/AAAAABgAAAD8CAD8AAIAAAAAAADwvwK17wdknGrzvwK83XCtGjzZPwAAAAABIwAAAPwEAPwAAgAAAAAAAPC/AqmSGwug1gLAAr+pAejFe+g/AAAAABgAAAD8CAD8AAIAAAAAAADwvwLiiF1B+v/nvwJWytYUQoTwvwAAAAAgAAQEAAAAAAAABAgIAAAAAAAAAAwEAAQEAAAADBAEAAQEAAAAEBQIAAQEAAAAFBgEAAAAAAAAFBwEAAQEAAAAHAAIAAQEAAAAAAAAAA==</t>
        </r>
      </text>
    </comment>
    <comment ref="D28" authorId="0">
      <text>
        <r>
          <rPr>
            <sz val="9"/>
            <color indexed="81"/>
            <rFont val="Tahoma"/>
            <family val="2"/>
          </rPr>
          <t>Insight iXlW00004C0000028R0841462918S00000027P00624LAocjBAQBF1NjaVRlZ2ljLmRhdGEuTW9sZWN1bGUBbQF/ARJTY2lUZWdpYy5Nb2xlY3VsZQAAAQFkAv5qAQAAAAIAAiAYAAAA/AgA/AACAAAAAAAA8L8CTb2hvgUA6D8CVtZc6D2E8L8AAAAAHAAAAPwIAPwAAgAAAAAAAPC/ArRfkACYavM/AudRGLRQPNk/AAAAABgAAAD8CAD8AAIAAAAAAADwvwK2zFsqNWfcvgKiOaYCZ2r0PwAAAAAYAAAA/AgA/AACAAAAAAAA8L8CBY8LAMZjaT8CbqGGFJ4xBkAAAAAAIAAAAPwIAPwAAgAAAAAAAPC/Aut31dLosPA/AjWujL1b+wpAAAAAABwAAAD8CAD8AAIAAAAAAADwvwLiiF1B+v/nvwJWytYUQoTwvwAAAAAYAAAA/AgA/AACAAAAAAAA8L8Cte8HZJxq878CvN1wrRo82T8AAAAAASMAAAD8BAD8AAIAAAAAAADwvwKpkhsLoNYCwAK/qQHoxXvoPwAAAAAgAAQEAAQEAAAABAgEAAQEAAAACAwEAAAAAAAADBAIAAAAAAAAABQIAAQEAAAAFBgEAAQEAAAAGAgIAAQEAAAAGBwEAAAAAAAAAAAAAA==</t>
        </r>
      </text>
    </comment>
    <comment ref="D29" authorId="0">
      <text>
        <r>
          <rPr>
            <sz val="9"/>
            <color indexed="81"/>
            <rFont val="Tahoma"/>
            <family val="2"/>
          </rPr>
          <t>Insight iXlW00004C0000029R0841462918S00000028P00624LAocjBAQBF1NjaVRlZ2ljLmRhdGEuTW9sZWN1bGUBbQF/ARJTY2lUZWdpYy5Nb2xlY3VsZQAAAQFkAv5qAQAAAAIAAiAYAAAA/AgA/AACAAAAAAAA8L8CTb2hvgUA6D8CVtZc6D2E8L8AAAAAGAAAAPwIAPwAAgAAAAAAAPC/ArRfkACYavM/AudRGLRQPNk/AAAAABgAAAD8CAD8AAIAAAAAAADwvwLcv9vHjhkFQALf0gkIQofrPwAAAAAgAAAA/AgA/AACAAAAAAAA8L8CHoJpXAoVB0ACO2n3gnJGAEAAAAAAIAAAAPwIAPwAAgAAAAAAAPC/ArbMWyo1Z9y+AqI5pgJnavQ/AAAAABwAAAD8CAD8AAIAAAAAAADwvwK17wdknGrzvwK83XCtGjzZPwAAAAAYAAAA/AgA/AACAAAAAAAA8L8C4ohdQfr/578CVsrWFEKE8L8AAAAAASMAAAD8BAD8AAIAAAAAAADwvwJskYTlDkn3vwL3glqzXwYAwAAAAAAgAAQIAAQEAAAABAgEAAAAAAAACAwIAAAAAAAABBAEAAQEAAAAEBQEAAQEAAAAFBgIAAQEAAAAGAAEAAQEAAAAGBwEAAAAAAAAAAAAAA==</t>
        </r>
      </text>
    </comment>
    <comment ref="D30" authorId="0">
      <text>
        <r>
          <rPr>
            <sz val="9"/>
            <color indexed="81"/>
            <rFont val="Tahoma"/>
            <family val="2"/>
          </rPr>
          <t>Insight iXlW00004C0000030R0841462918S00000029P00560LAocjBAQBF1NjaVRlZ2ljLmRhdGEuTW9sZWN1bGUBbQF/ARJTY2lUZWdpYy5Nb2xlY3VsZQAAAQFkAv5qAQAAAAIAAhwcAAAA/AgA/AACAAAAAAAA8L8CTb2hvgUA6D8CVtZc6D2E8L8AAAAAGAAAAPwIAPwAAgAAAAAAAPC/ArRfkACYavM/AudRGLRQPNk/AAAAAAEjAAAA/AQA/AACAAAAAAAA8L8CwhQgC5zWAkACwOPyJfd76D8AAAAAARAAAAD8BAD8AAIAAAAAAADwvwK2zFsqNWfcvgKiOaYCZ2r0PwAAAAAcAAAA/AgA/AACAAAAAAAA8L8Cte8HZJxq878CvN1wrRo82T8AAAAAGAAAAPwIAPwAAgAAAAAAAPC/AuKIXUH6/+e/AlbK1hRChPC/AAAAABgAAAD8BAD8AAIAAAAAAADwvwJskYTlDkn3vwL3glqzXwYAwAAAAAAcAAQIAAQEAAAABAgEAAAAAAAABAwEAAQEAAAADBAEAAQEAAAAEBQIAAQEAAAAFAAEAAQEAAAAFBgEAAAAAAAAAAAAAA==</t>
        </r>
      </text>
    </comment>
    <comment ref="D31" authorId="0">
      <text>
        <r>
          <rPr>
            <sz val="9"/>
            <color indexed="81"/>
            <rFont val="Tahoma"/>
            <family val="2"/>
          </rPr>
          <t>Insight iXlW00004C0000031R0841462918S00000030P00688LAocjBAQBF1NjaVRlZ2ljLmRhdGEuTW9sZWN1bGUBbQF/ARJTY2lUZWdpYy5Nb2xlY3VsZQAAAQFkAv5qAQAAAAIAAiQYAAAA/AgA/AACAAAAAAAA8L8C7lqJnd7I9D8Ce8erYvz/578AAAAAGAAAAPwMAPwAAgAAAAAAAPC/Ap5Ds29UygRAAkznTuGrAfi/AAAAABwAAAD8DAD8AAIAAAAAAADwvwK0PGMVrRoNQAIRB4a+oc0AwAAAAAAcAAAA/AgA/AACAAAAAAAA8L8CKorQWtjI9D8C02GiEhIA6D8AAAAAGAAAAPwIAPwAAgAAAAAAAPC/AoFJlqboseC+AjnqbzQBAPg/AAAAABgAAAD8CAD8AAIAAAAAAADwvwIEtMWz4Mj0vwISywIo9f/nPwAAAAAYAAAA/AgA/AACAAAAAAAA8L8CA8YOcdrI9L8C1pL71woA6L8AAAAAGAAAAPwIAPwAAgAAAAAAAPC/AiCKiqbosdA+AvIAcTQBAPi/AAAAAAEjAAAA/AQA/AACAAAAAAAA8L8CH5YngAgN3j4C6fTRM5qZBcAAAAAAJAAEBAAAAAAAAAQIDAAAAAAAAAAMCAAEBAAAAAwQBAAEBAAAABAUCAAEBAAAABQYBAAEBAAAABgcCAAEBAAAABwABAAEBAAAABwgBAAAAAAAAAAAAAA=</t>
        </r>
      </text>
    </comment>
    <comment ref="D32" authorId="0">
      <text>
        <r>
          <rPr>
            <sz val="9"/>
            <color indexed="81"/>
            <rFont val="Tahoma"/>
            <family val="2"/>
          </rPr>
          <t>Insight iXlW00004C0000032R0841462918S00000031P00688LAocjBAQBF1NjaVRlZ2ljLmRhdGEuTW9sZWN1bGUBbQF/ARJTY2lUZWdpYy5Nb2xlY3VsZQAAAQFkAv5qAQAAAAIAAiQc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gA/AACAAAAAAAA8L8Cc4KWPUBaaT8COPO53LQBCMAAAAAAIAAAAPwIAPwAAgAAAAAAAPC/AkzsnsjdsPA/Air+Wvp3ywzAAAAAAAEjAAAA/AQA/AACAAAAAAAA8L8C2pE0gAgN7r4CEPrQM5qZBUAAAAAAJAAECAAEBAAAAAQIBAAEBAAAAAgMCAAEBAAAAAwQBAAEBAAAABAUCAAEBAAAABQABAAEBAAAABQYBAAAAAAAABgcCAAAAAAAAAggBAAAAAAAAAAAAAA=</t>
        </r>
      </text>
    </comment>
    <comment ref="D33" authorId="0">
      <text>
        <r>
          <rPr>
            <sz val="9"/>
            <color indexed="81"/>
            <rFont val="Tahoma"/>
            <family val="2"/>
          </rPr>
          <t>Insight iXlW00004C0000033R0841462918S00000032P00688LAocjBAQBF1NjaVRlZ2ljLmRhdGEuTW9sZWN1bGUBbQF/ARJTY2lUZWdpYy5Nb2xlY3VsZQAAAQFkAv5qAQAAAAIAAiQYAAAA/AgA/AACAAAAAAAA8L8C7lqJnd7I9D8Ce8erYvz/578AAAAAGAAAAPwIAPwAAgAAAAAAAPC/AiqK0FrYyPQ/AtNhohISAOg/AAAAABgAAAD8CAD8AAIAAAAAAADwvwIgioqm6LHQPgLyAHE0AQD4vwAAAAABIwAAAPwEAPwAAgAAAAAAAPC/Ah+WJ4AIDd4+Aun00TOamQXAAAAAABgAAAD8CAD8AAIAAAAAAADwvwIDxg5x2sj0vwLWkvvXCgDovwAAAAAYAAAA/AgA/AACAAAAAAAA8L8CBLTFs+DI9L8CEssCKPX/5z8AAAAAIAAAAPwEAPwAAgAAAAAAAPC/Ai0MPs8wxwTAAqDupPObDPg/AAAAABgAAAD8BAD8AAIAAAAAAADwvwLSQ4ejs8MEwAKFWx7x5p8FQAAAAAAcAAAA/AgA/AACAAAAAAAA8L8CgUmWpuix4L4COepvNAEA+D8AAAAAJAAECAAEBAAAAAAIBAAEBAAAAAgMBAAAAAAAAAgQCAAEBAAAABAUBAAEBAAAABQYBAAAAAAAABgcBAAAAAAAABQgCAAEBAAAACAEBAAEBAAAAAAAAAA=</t>
        </r>
      </text>
    </comment>
    <comment ref="D34" authorId="0">
      <text>
        <r>
          <rPr>
            <sz val="9"/>
            <color indexed="81"/>
            <rFont val="Tahoma"/>
            <family val="2"/>
          </rPr>
          <t>Insight iXlW00004C0000034R0841462918S00000033P00688LAocjBAQBF1NjaVRlZ2ljLmRhdGEuTW9sZWN1bGUBbQF/ARJTY2lUZWdpYy5Nb2xlY3VsZQAAAQFkAv5qAQAAAAIAAiQYAAAA/AgA/AACAAAAAAAA8L8C7lqJnd7I9D8Ce8erYvz/578AAAAAIAAAAPwEAPwAAgAAAAAAAPC/AtgSh7guxwRAAmipXwejDPi/AAAAABgAAAD8BAD8AAIAAAAAAADwvwLYNqvqr8MEQAKunWN66p8FwAAAAAAcAAAA/AgA/AACAAAAAAAA8L8CKorQWtjI9D8C02GiEhIA6D8AAAAAGAAAAPwIAPwAAgAAAAAAAPC/AoFJlqboseC+AjnqbzQBAPg/AAAAABgAAAD8CAD8AAIAAAAAAADwvwIEtMWz4Mj0vwISywIo9f/nPwAAAAABIwAAAPwEAPwAAgAAAAAAAPC/AhMLjNDJtALAAsJo1VuPmfU/AAAAABgAAAD8CAD8AAIAAAAAAADwvwIDxg5x2sj0vwLWkvvXCgDovwAAAAAYAAAA/AgA/AACAAAAAAAA8L8CIIqKpuix0D4C8gBxNAEA+L8AAAAAJAAEBAAAAAAAAAQIBAAAAAAAAAAMCAAEBAAAAAwQBAAEBAAAABAUCAAEBAAAABQYBAAAAAAAABQcBAAEBAAAABwgCAAEBAAAACAABAAEBAAAAAAAAAA=</t>
        </r>
      </text>
    </comment>
    <comment ref="D35" authorId="0">
      <text>
        <r>
          <rPr>
            <sz val="9"/>
            <color indexed="81"/>
            <rFont val="Tahoma"/>
            <family val="2"/>
          </rPr>
          <t>Insight iXlW00004C0000035R0841462918S00000034P00688LAocjBAQBF1NjaVRlZ2ljLmRhdGEuTW9sZWN1bGUBbQF/ARJTY2lUZWdpYy5Nb2xlY3VsZQAAAQFkAv5qAQAAAAIAAiQYAAAA/AgA/AACAAAAAAAA8L8C7lqJnd7I9D8Ce8erYvz/578AAAAAIAAAAPwEAPwAAgAAAAAAAPC/AtgSh7guxwRAAmipXwejDPi/AAAAABgAAAD8BAD8AAIAAAAAAADwvwLYNqvqr8MEQAKunWN66p8FwAAAAAAYAAAA/AgA/AACAAAAAAAA8L8CKorQWtjI9D8C02GiEhIA6D8AAAAAGAAAAPwIAPwAAgAAAAAAAPC/AoFJlqboseC+AjnqbzQBAPg/AAAAABgAAAD8CAD8AAIAAAAAAADwvwIEtMWz4Mj0vwISywIo9f/nPwAAAAAYAAAA/AgA/AACAAAAAAAA8L8CA8YOcdrI9L8C1pL71woA6L8AAAAAASMAAAD8BAD8AAIAAAAAAADwvwJ0uxouxLQCwAKqRpvgopn1vwAAAAAcAAAA/AgA/AACAAAAAAAA8L8CIIqKpuix0D4C8gBxNAEA+L8AAAAAJAAEBAAAAAAAAAQIBAAAAAAAAAAMCAAEBAAAAAwQBAAEBAAAABAUCAAEBAAAABQYBAAEBAAAABgcBAAAAAAAABggCAAEBAAAACAABAAEBAAAAAAAAAA=</t>
        </r>
      </text>
    </comment>
    <comment ref="D36" authorId="0">
      <text>
        <r>
          <rPr>
            <sz val="9"/>
            <color indexed="81"/>
            <rFont val="Tahoma"/>
            <family val="2"/>
          </rPr>
          <t>Insight iXlW00004C0000036R0841462918S00000035P00688LAocjBAQBF1NjaVRlZ2ljLmRhdGEuTW9sZWN1bGUBbQF/ARJTY2lUZWdpYy5Nb2xlY3VsZQAAAQFkAv5qAQAAAAIAAiQYAAAA/AgA/AACAAAAAAAA8L8C7lqJnd7I9D8Ce8erYvz/578AAAAAIAAAAPwEAPwAAgAAAAAAAPC/Ao52jRqBzQRAAiMgJsO89ve/AAAAABgAAAD8BAD8AAIAAAAAAADwvwJG4R0SGBwNQAL7KvPyI67svwAAAAAcAAAA/AgA/AACAAAAAAAA8L8CKorQWtjI9D8C02GiEhIA6D8AAAAAGAAAAPwIAPwAAgAAAAAAAPC/AoFJlqboseC+AjnqbzQBAPg/AAAAABgAAAD8CAD8AAIAAAAAAADwvwIEtMWz4Mj0vwISywIo9f/nPwAAAAAYAAAA/AgA/AACAAAAAAAA8L8CA8YOcdrI9L8C1pL71woA6L8AAAAAGAAAAPwIAPwAAgAAAAAAAPC/AiCKiqbosdA+AvIAcTQBAPi/AAAAAAEjAAAA/AQA/AACAAAAAAAA8L8CH5YngAgN3j4C6fTRM5qZBcAAAAAAJAAEBAAAAAAAAAQIBAAAAAAAAAAMCAAEBAAAAAwQBAAEBAAAABAUCAAEBAAAABQYBAAEBAAAABgcCAAEBAAAABwABAAEBAAAABwgBAAAAAAAAAAAAAA=</t>
        </r>
      </text>
    </comment>
    <comment ref="D37" authorId="0">
      <text>
        <r>
          <rPr>
            <sz val="9"/>
            <color indexed="81"/>
            <rFont val="Tahoma"/>
            <family val="2"/>
          </rPr>
          <t>Insight iXlW00004C0000037R0841462918S00000036P00688LAocjBAQBF1NjaVRlZ2ljLmRhdGEuTW9sZWN1bGUBbQF/ARJTY2lUZWdpYy5Nb2xlY3VsZQAAAQFkAv5qAQAAAAIAAiQYAAAA/AgA/AACAAAAAAAA8L8C7lqJnd7I9D8Ce8erYvz/578AAAAAASMAAAD8BAD8AAIAAAAAAADwvwJSDZVayLQCQALCqUtrlJn1vwAAAAAYAAAA/AgA/AACAAAAAAAA8L8CKorQWtjI9D8C02GiEhIA6D8AAAAAHAAAAPwIAPwAAgAAAAAAAPC/AoFJlqboseC+AjnqbzQBAPg/AAAAABgAAAD8CAD8AAIAAAAAAADwvwIEtMWz4Mj0vwISywIo9f/nPwAAAAAcAAAA/AQA/AACAAAAAAAA8L8C3AxbL4PNBMACUgRwrbX29z8AAAAAGAAAAPwEAPwAAgAAAAAAAPC/AjiKXlUZHA3AAiv4fSAQruw/AAAAABwAAAD8CAD8AAIAAAAAAADwvwIgioqm6LHQPgLyAHE0AQD4vwAAAAAYAAAA/AgA/AACAAAAAAAA8L8CA8YOcdrI9L8C1pL71woA6L8AAAAAJAAEBAAAAAAAAAAICAAEBAAAAAgMBAAEBAAAAAwQCAAEBAAAABAUBAAAAAAAABQYBAAAAAAAAAAcBAAEBAAAABwgCAAEBAAAACAQBAAEBAAAAAAAAAA=</t>
        </r>
      </text>
    </comment>
    <comment ref="D38" authorId="0">
      <text>
        <r>
          <rPr>
            <sz val="9"/>
            <color indexed="81"/>
            <rFont val="Tahoma"/>
            <family val="2"/>
          </rPr>
          <t>Insight iXlW00004C0000038R0841462918S00000037P00688LAocjBAQBF1NjaVRlZ2ljLmRhdGEuTW9sZWN1bGUBbQF/ARJTY2lUZWdpYy5Nb2xlY3VsZQAAAQFkAv5qAQAAAAIAAiQYAAAA/AgA/AACAAAAAAAA8L8CTb2hvgUA6D8CVtZc6D2E8L8AAAAAHAAAAPwIAPwAAgAAAAAAAPC/ArRfkACYavM/AudRGLRQPNk/AAAAABwAAAD8CAD8AAIAAAAAAADwvwK2zFsqNWfcvgKiOaYCZ2r0PwAAAAAYAAAA/AgA/AACAAAAAAAA8L8Cte8HZJxq878CvN1wrRo82T8AAAAAGAAAAPwIAPwAAgAAAAAAAPC/AuKIXUH6/+e/AlbK1hRChPC/AAAAAAEjAAAA/AQA/AACAAAAAAAA8L8CbJGE5Q5J978C94Jas18GAMAAAAAAHAAEAPwIAPwAAgAAAAAAAPC/AvDFY7d7Ifo/AtIH/qfE8AHAAAAAACAA/AD8CAD8AAIAAAAAAADwvwLKT/yfNFryPwLf4ze4p7cKwAAAAAAgAAAA/AgA/AACAAAAAAAA8L8CJwADRYGcBkACziH4I1nsAMAAAAAAJAAECAAEBAAAAAQIBAAEBAAAAAgMBAAEBAAAAAwQCAAEBAAAABAABAAEBAAAABAUBAAAAAAAAAAYBAAAAAAAABgcBAAAAAAAABggCAAAAAAAAAAAAAA=</t>
        </r>
      </text>
    </comment>
    <comment ref="D39" authorId="0">
      <text>
        <r>
          <rPr>
            <sz val="9"/>
            <color indexed="81"/>
            <rFont val="Tahoma"/>
            <family val="2"/>
          </rPr>
          <t>Insight iXlW00004C0000039R0841462918S00000038P00764LAocjBAQBF1NjaVRlZ2ljLmRhdGEuTW9sZWN1bGUBbQF/ARJTY2lUZWdpYy5Nb2xlY3VsZQAAAQFkAv5qAQAAAAIAAigYAAAA/AgA/AACAAAAAAAA8L8C7lqJnd7I9D8Ce8erYvz/578AAAAAGAAAAPwIAPwAAgAAAAAAAPC/AiqK0FrYyPQ/AtNhohISAOg/AAAAABgAAAD8CAD8AAIAAAAAAADwvwKBSZam6LHgvgI56m80AQD4PwAAAAAYAAAA/AgA/AACAAAAAAAA8L8CBLTFs+DI9L8CEssCKPX/5z8AAAAAGAAAAPwIAPwAAgAAAAAAAPC/AgPGDnHayPS/AtaS+9cKAOi/AAAAABwAAAD8CAD8AAIAAAAAAADwvwIgioqm6LHQPgLyAHE0AQD4vwAAAAABIwAAAPwEAPwAAgAAAAAAAPC/AhMLjNDJtALAAsJo1VuPmfU/AAAAABgAAAD8CAD8AAIAAAAAAADwvwL6y6L4VMwFQAKFmKiRpWrzPwAAAAAYAAAA/AgA/AACAAAAAAAA8L8CCl8tTATaDEACEgVuHtIa7j4AAAAAHAAAAPwIAPwAAgAAAAAAAPC/At5+QglazAVAAvW98NKOavO/AAAAACwABAgABAQAAAAECAQABAQAAAAIDAgABAQAAAAMEAQABAQAAAAQFAgABAQAAAAUAAQABAQAAAAMGAQAAAAAAAAEHAQABAQAAAAcIAgABAQAAAAgJAQABAQAAAAkAAQABAQAAAAAAAAA</t>
        </r>
      </text>
    </comment>
    <comment ref="D40" authorId="0">
      <text>
        <r>
          <rPr>
            <sz val="9"/>
            <color indexed="81"/>
            <rFont val="Tahoma"/>
            <family val="2"/>
          </rPr>
          <t>Insight iXlW00004C0000040R0841462918S00000039P00764LAocjBAQBF1NjaVRlZ2ljLmRhdGEuTW9sZWN1bGUBbQF/ARJTY2lUZWdpYy5Nb2xlY3VsZQAAAQFkAv5qAQAAAAIAAigYAAAA/AgA/AACAAAAAAAA8L8C7lqJnd7I9D8Ce8erYvz/578AAAAAASMAAAD8BAD8AAIAAAAAAADwvwJSDZVayLQCQALCqUtrlJn1vwAAAAAYAAAA/AgA/AACAAAAAAAA8L8CKorQWtjI9D8C02GiEhIA6D8AAAAAGAAAAPwIAPwAAgAAAAAAAPC/AoFJlqboseC+AjnqbzQBAPg/AAAAABgAAAD8CAD8AAIAAAAAAADwvwLksjubAe/TvwLESCuCYLsHQAAAAAAYAAAA/AgA/AACAAAAAAAA8L8CrltIaRna/L8C0HDnvXb8CEAAAAAAIAAAAPwIAPwAAgAAAAAAAPC/AvLuuWWGTgPAAvHDPEAWDPw/AAAAABgAAAD8CAD8AAIAAAAAAADwvwIEtMWz4Mj0vwISywIo9f/nPwAAAAAcAAAA/AgA/AACAAAAAAAA8L8CA8YOcdrI9L8C1pL71woA6L8AAAAAGAAAAPwIAPwAAgAAAAAAAPC/AiCKiqbosdA+AvIAcTQBAPi/AAAAACwABAQAAAAAAAAACAgABAQAAAAIDAQABAQAAAAMEAQABAQAAAAQFAgABAQAAAAUGAQABAQAAAAMHAgABAQAAAAcGAQABAQAAAAcIAQABAQAAAAgJAgABAQAAAAkAAQABAQAAAAAAAAA</t>
        </r>
      </text>
    </comment>
    <comment ref="D41" authorId="0">
      <text>
        <r>
          <rPr>
            <sz val="9"/>
            <color indexed="81"/>
            <rFont val="Tahoma"/>
            <family val="2"/>
          </rPr>
          <t>Insight iXlW00004C0000041R0841462918S00000040P00764LAocjBAQBF1NjaVRlZ2ljLmRhdGEuTW9sZWN1bGUBbQF/ARJTY2lUZWdpYy5Nb2xlY3VsZQAAAQFkAv5qAQAAAAIAAigBIwAAAPwEAPwAAgAAAAAAAPC/AlINlVrItAJAAsKpS2uUmfW/AAAAABgAAAD8CAD8AAIAAAAAAADwvwLuWomd3sj0PwJ7x6ti/P/nvwAAAAAYAAAA/AgA/AACAAAAAAAA8L8CKorQWtjI9D8C02GiEhIA6D8AAAAAHAAAAPwIAPwAAgAAAAAAAPC/AoFJlqboseC+AjnqbzQBAPg/AAAAABwAAAD8CAD8AAIAAAAAAADwvwLksjubAe/TvwLESCuCYLsHQAAAAAAYAAAA/AgA/AACAAAAAAAA8L8CBLTFs+DI9L8CEssCKPX/5z8AAAAAGAAAAPwIAPwAAgAAAAAAAPC/AvLuuWWGTgPAAvHDPEAWDPw/AAAAABwAAAD8CAD8AAIAAAAAAADwvwKuW0hpGdr8vwLQcOe9dvwIQAAAAAAYAAAA/AgA/AACAAAAAAAA8L8CIIqKpuix0D4C8gBxNAEA+L8AAAAAGAAAAPwIAPwAAgAAAAAAAPC/AgPGDnHayPS/AtaS+9cKAOi/AAAAACwABAQAAAAAAAAECAgABAQAAAAIDAQABAQAAAAMEAQABAQAAAAMFAQABAQAAAAUGAgABAQAAAAYHAQABAQAAAAcEAgABAQAAAAEIAQABAQAAAAgJAgABAQAAAAkFAQABAQAAAAAAAAA</t>
        </r>
      </text>
    </comment>
    <comment ref="D42" authorId="0">
      <text>
        <r>
          <rPr>
            <sz val="9"/>
            <color indexed="81"/>
            <rFont val="Tahoma"/>
            <family val="2"/>
          </rPr>
          <t>Insight iXlW00004C0000042R0841462918S00000041P00764LAocjBAQBF1NjaVRlZ2ljLmRhdGEuTW9sZWN1bGUBbQF/ARJTY2lUZWdpYy5Nb2xlY3VsZQAAAQFkAv5qAQAAAAIAAigYAAAA/AgA/AACAAAAAAAA8L8C7lqJnd7I9D8Ce8erYvz/578AAAAAGAAAAPwIAPwAAgAAAAAAAPC/AiqK0FrYyPQ/AtNhohISAOg/AAAAABgAAAD8CAD8AAIAAAAAAADwvwKBSZam6LHgvgI56m80AQD4PwAAAAABIwAAAPwEAPwAAgAAAAAAAPC/AtqRNIAIDe6+AhD60DOamQVAAAAAABgAAAD8CAD8AAIAAAAAAADwvwIEtMWz4Mj0vwISywIo9f/nPwAAAAAcAAAA/AgA/AACAAAAAAAA8L8CA8YOcdrI9L8C1pL71woA6L8AAAAAGAAAAPwIAPwAAgAAAAAAAPC/AnkQD66ETgNAAqrRUOEjDPy/AAAAABgAAAD8CAD8AAIAAAAAAADwvwIgioqm6LHQPgLyAHE0AQD4vwAAAAAgAAAA/AgA/AACAAAAAAAA8L8ClIyyW8vu0z8CdmaDjV67B8AAAAAAHAAAAPwIAPwAAgAAAAAAAPC/AggHcooK2vw/AtyXvgJ7/AjAAAAAACwABAgABAQAAAAECAQABAQAAAAIDAQAAAAAAAAIEAgABAQAAAAQFAQABAQAAAAAGAQABAQAAAAAHAQABAQAAAAcFAgABAQAAAAcIAQABAQAAAAgJAQABAQAAAAkGAgABAQAAAAAAAAA</t>
        </r>
      </text>
    </comment>
    <comment ref="D43" authorId="0">
      <text>
        <r>
          <rPr>
            <sz val="9"/>
            <color indexed="81"/>
            <rFont val="Tahoma"/>
            <family val="2"/>
          </rPr>
          <t>Insight iXlW00004C0000043R0841462918S00000042P00764LAocjBAQBF1NjaVRlZ2ljLmRhdGEuTW9sZWN1bGUBbQF/ARJTY2lUZWdpYy5Nb2xlY3VsZQAAAQFkAv5qAQAAAAIAAigYAAAA/AgA/AACAAAAAAAA8L8C7lqJnd7I9D8Ce8erYvz/578AAAAAGAAAAPwIAPwAAgAAAAAAAPC/AiqK0FrYyPQ/AtNhohISAOg/AAAAABwAAAD8CAD8AAIAAAAAAADwvwKBSZam6LHgvgI56m80AQD4PwAAAAAcAAAA/AgA/AACAAAAAAAA8L8C5LI7mwHv078CxEgrgmC7B0AAAAAAGAAAAPwIAPwAAgAAAAAAAPC/Aq5bSGkZ2vy/AtBw5712/AhAAAAAABwAAAD8CAD8AAIAAAAAAADwvwLy7rllhk4DwALxwzxAFgz8PwAAAAAYAAAA/AgA/AACAAAAAAAA8L8CBLTFs+DI9L8CEssCKPX/5z8AAAAAGAAAAPwIAPwAAgAAAAAAAPC/AiCKiqbosdA+AvIAcTQBAPi/AAAAAAEjAAAA/AQA/AACAAAAAAAA8L8CH5YngAgN3j4C6fTRM5qZBcAAAAAAHAAAAPwIAPwAAgAAAAAAAPC/AgPGDnHayPS/AtaS+9cKAOi/AAAAACwABAgABAQAAAAECAQABAQAAAAIDAQABAQAAAAMEAgABAQAAAAQFAQABAQAAAAIGAQABAQAAAAYFAgABAQAAAAAHAQABAQAAAAcIAQAAAAAAAAcJAgABAQAAAAkGAQABAQAAAAAAAAA</t>
        </r>
      </text>
    </comment>
    <comment ref="D44" authorId="0">
      <text>
        <r>
          <rPr>
            <sz val="9"/>
            <color indexed="81"/>
            <rFont val="Tahoma"/>
            <family val="2"/>
          </rPr>
          <t>Insight iXlW00004C0000044R0841462918S00000043P00752LAocjBAQBF1NjaVRlZ2ljLmRhdGEuTW9sZWN1bGUBbQF/ARJTY2lUZWdpYy5Nb2xlY3VsZQAAAQFkAv5qAQAAAAIAAigYAAAA/AgA/AACAAAAAAAA8L8C7lqJnd7I9D8Ce8erYvz/578AAAAAASMAAAD8BAD8AAIAAAAAAADwvwJSDZVayLQCQALCqUtrlJn1vwAAAAAYAAAA/AgA/AACAAAAAAAA8L8CKorQWtjI9D8C02GiEhIA6D8AAAAAGAAAAPwIAPwAAgAAAAAAAPC/AoFJlqboseC+AjnqbzQBAPg/AAAAABgAAAD8CAD8AAIAAAAAAADwvwIEtMWz4Mj0vwISywIo9f/nPwAAAAAYAAAA/AQA/AACAAAAAAAA8L8C3AxbL4PNBMACUgRwrbX29z8AAAAAIAAAAPwEAPwAAgAAAAAAAPC/AjiKXlUZHA3AAiv4fSAQruw/AAAAABgAAAD8BAD8AAIAAAAAAADwvwLeDQFwzdEEwAJ+zOx685QFQAAAAAAcAAAA/AgA/AACAAAAAAAA8L8CA8YOcdrI9L8C1pL71woA6L8AAAAAGAAAAPwIAPwAAgAAAAAAAPC/AiCKiqbosdA+AvIAcTQBAPi/AAAAACgABAQAAAAAAAAACAgABAQAAAAIDAQABAQAAAAMEAgABAQAAAAQFAQAAAAAAAAUGAQAAAAAAAAUHAQAAAAAAAAQIAQABAQAAAAgJAgABAQAAAAkAAQABAQAAAAAAAAA</t>
        </r>
      </text>
    </comment>
    <comment ref="D45" authorId="0">
      <text>
        <r>
          <rPr>
            <sz val="9"/>
            <color indexed="81"/>
            <rFont val="Tahoma"/>
            <family val="2"/>
          </rPr>
          <t>Insight iXlW00004C0000045R0841462918S00000044P00752LAocjBAQBF1NjaVRlZ2ljLmRhdGEuTW9sZWN1bGUBbQF/ARJTY2lUZWdpYy5Nb2xlY3VsZQAAAQFkAv5qAQAAAAIAAigYAAAA/AgA/AACAAAAAAAA8L8CTb2hvgUA6D8CVtZc6D2E8L8AAAAAGAAAAPwIAPwAAgAAAAAAAPC/AiYBoVHYDPo/AtpwOPlD+AHAAAAAABwAAAD8CAD8AAIAAAAAAADwvwK6//CZZkDwPwLIDQrSau4MwAAAAAAYAAAA/AQA/AACAAAAAAAA8L8CMthwIDuB+z8CYySbBNNaEsAAAAAAIAAAAPwIAPwAAgAAAAAAAPC/AlLTLcgBkwZAAoGqkHyr+wDAAAAAABwAAAD8CAD8AAIAAAAAAADwvwK0X5AAmGrzPwLnURi0UDzZPwAAAAAYAAAA/AgA/AACAAAAAAAA8L8CtsxbKjVn3L4CojmmAmdq9D8AAAAAGAAAAPwIAPwAAgAAAAAAAPC/ArXvB2ScavO/ArzdcK0aPNk/AAAAAAEjAAAA/AQA/AACAAAAAAAA8L8CqZIbC6DWAsACv6kB6MV76D8AAAAAGAAAAPwIAPwAAgAAAAAAAPC/AuKIXUH6/+e/AlbK1hRChPC/AAAAACgABAQAAAAAAAAECAQAAAAAAAAIDAQAAAAAAAAEEAgAAAAAAAAAFAQABAQAAAAUGAQABAQAAAAYHAgABAQAAAAcIAQAAAAAAAAcJAQABAQAAAAkAAgABAQAAAAAAAAA</t>
        </r>
      </text>
    </comment>
    <comment ref="D46" authorId="0">
      <text>
        <r>
          <rPr>
            <sz val="9"/>
            <color indexed="81"/>
            <rFont val="Tahoma"/>
            <family val="2"/>
          </rPr>
          <t>Insight iXlW00004C0000046R0841462918S00000045P00752LAocjBAQBF1NjaVRlZ2ljLmRhdGEuTW9sZWN1bGUBbQF/ARJTY2lUZWdpYy5Nb2xlY3VsZQAAAQFkAv5qAQAAAAIAAigYAAAA/AgA/AACAAAAAAAA8L8CTb2hvgUA6D8CVtZc6D2E8L8AAAAAHAAAAPwIAPwAAgAAAAAAAPC/ArRfkACYavM/AudRGLRQPNk/AAAAABgAAAD8CAD8AAIAAAAAAADwvwK2zFsqNWfcvgKiOaYCZ2r0PwAAAAAYAAAA/AgA/AACAAAAAAAA8L8Cte8HZJxq878CvN1wrRo82T8AAAAAASMAAAD8BAD8AAIAAAAAAADwvwKpkhsLoNYCwAK/qQHoxXvoPwAAAAAYAAAA/AgA/AACAAAAAAAA8L8C4ohdQfr/578CVsrWFEKE8L8AAAAAGAAAAPwIAPwAAgAAAAAAAPC/AiYBoVHYDPo/AtpwOPlD+AHAAAAAACAAAAD8CAD8AAIAAAAAAADwvwJS0y3IAZMGQAKBqpB8q/sAwAAAAAAgAAAA/AQA/AACAAAAAAAA8L8Cuv/wmWZA8D8CyA0K0mruDMAAAAAAGAAAAPwEAPwAAgAAAAAAAPC/AjLYcCA7gfs/AmMkmwTTWhLAAAAAACgABAQABAQAAAAECAQABAQAAAAIDAgABAQAAAAMEAQAAAAAAAAMFAQABAQAAAAUAAgABAQAAAAAGAQAAAAAAAAYHAgAAAAAAAAYIAQAAAAAAAAgJAQAAAAAAAAAAAAA</t>
        </r>
      </text>
    </comment>
    <comment ref="D47" authorId="0">
      <text>
        <r>
          <rPr>
            <sz val="9"/>
            <color indexed="81"/>
            <rFont val="Tahoma"/>
            <family val="2"/>
          </rPr>
          <t>Insight iXlW00004C0000047R0841462918S00000046P00752LAocjBAQBF1NjaVRlZ2ljLmRhdGEuTW9sZWN1bGUBbQF/ARJTY2lUZWdpYy5Nb2xlY3VsZQAAAQFkAv5qAQAAAAIAAigYAAAA/AgA/AACAAAAAAAA8L8CTb2hvgUA6D8CVtZc6D2E8L8AAAAAGAAAAPwIAPwAAgAAAAAAAPC/AvDFY7d7Ifo/AtIH/qfE8AHAAAAAACAAAAD8CAD8AAIAAAAAAADwvwLKT/yfNFryPwLf4ze4p7cKwAAAAAAgAAAA/AQA/AACAAAAAAAA8L8C9//R7h8BCUACb4JxdRCrAMAAAAAAGAAAAPwEAPwAAgAAAAAAAPC/AhrE+8/LqQ5AAjmVeQhMbAjAAAAAABwAAAD8CAD8AAIAAAAAAADwvwK0X5AAmGrzPwLnURi0UDzZPwAAAAAcAAAA/AgA/AACAAAAAAAA8L8CtsxbKjVn3L4CojmmAmdq9D8AAAAAGAAAAPwIAPwAAgAAAAAAAPC/ArXvB2ScavO/ArzdcK0aPNk/AAAAABgAAAD8CAD8AAIAAAAAAADwvwLiiF1B+v/nvwJWytYUQoTwvwAAAAABIwAAAPwEAPwAAgAAAAAAAPC/AmyRhOUOSfe/AveCWrNfBgDAAAAAACgABAQAAAAAAAAECAgAAAAAAAAEDAQAAAAAAAAMEAQAAAAAAAAAFAQABAQAAAAUGAQABAQAAAAYHAgABAQAAAAcIAQABAQAAAAgAAgABAQAAAAgJAQAAAAAAAAAAAAA</t>
        </r>
      </text>
    </comment>
    <comment ref="D48" authorId="0">
      <text>
        <r>
          <rPr>
            <sz val="9"/>
            <color indexed="81"/>
            <rFont val="Tahoma"/>
            <family val="2"/>
          </rPr>
          <t>Insight iXlW00004C0000048R0841462918S00000047P00752LAocjBAQBF1NjaVRlZ2ljLmRhdGEuTW9sZWN1bGUBbQF/ARJTY2lUZWdpYy5Nb2xlY3VsZQAAAQFkAv5qAQAAAAIAAigYAAAA/AgA/AACAAAAAAAA8L8CTb2hvgUA6D8CVtZc6D2E8L8AAAAAHAAAAPwIAPwAAgAAAAAAAPC/ArRfkACYavM/AudRGLRQPNk/AAAAABgAAAD8CAD8AAIAAAAAAADwvwLiiF1B+v/nvwJWytYUQoTwvwAAAAAYAAAA/AgA/AACAAAAAAAA8L8CehiYi24h+r8CuCtffsnwAcAAAAAAIAAAAPwIAPwAAgAAAAAAAPC/AjncsbUgWvK/Aiy4EhCrtwrAAAAAACAAAAD8BAD8AAIAAAAAAADwvwLSwQ3WGQEJwAKdFhTiGasAwAAAAAAYAAAA/AQA/AACAAAAAAAA8L8C7FR+vMKpDsAC2RavoVdsCMAAAAAAHAAAAPwIAPwAAgAAAAAAAPC/ArXvB2ScavO/ArzdcK0aPNk/AAAAABgAAAD8CAD8AAIAAAAAAADwvwK2zFsqNWfcvgKiOaYCZ2r0PwAAAAABIwAAAPwEAPwAAgAAAAAAAPC/Aoxj+2QbSfc/AhaiFClbBgDAAAAAACgABAQABAQAAAAACAgABAQAAAAIDAQAAAAAAAAMEAgAAAAAAAAMFAQAAAAAAAAUGAQAAAAAAAAIHAQABAQAAAAcIAgABAQAAAAgBAQABAQAAAAAJAQAAAAAAAAAAAAA</t>
        </r>
      </text>
    </comment>
    <comment ref="D49" authorId="0">
      <text>
        <r>
          <rPr>
            <sz val="9"/>
            <color indexed="81"/>
            <rFont val="Tahoma"/>
            <family val="2"/>
          </rPr>
          <t>Insight iXlW00004C0000049R0841462918S00000048P00688LAocjBAQBF1NjaVRlZ2ljLmRhdGEuTW9sZWN1bGUBbQF/ARJTY2lUZWdpYy5Nb2xlY3VsZQAAAQFkAv5qAQAAAAIAAiQYAAAA/AgA/AACAAAAAAAA8L8CTb2hvgUA6D8CVtZc6D2E8L8AAAAAGAAAAPwIAPwAAgAAAAAAAPC/AiYBoVHYDPo/AtpwOPlD+AHAAAAAACAAAAD8CAD8AAIAAAAAAADwvwKVIC4mMTfyPwIINncn9LsKwAAAAAAYAAAA/AQA/AACAAAAAAAA8L8CUtMtyAGTBkACgaqQfKv7AMAAAAAAARAAAAD8BAD8AAIAAAAAAADwvwK0X5AAmGrzPwLnURi0UDzZPwAAAAAYAAAA/AgA/AACAAAAAAAA8L8CtsxbKjVn3L4CojmmAmdq9D8AAAAAGAAAAPwIAPwAAgAAAAAAAPC/ArXvB2ScavO/ArzdcK0aPNk/AAAAAAEjAAAA/AQA/AACAAAAAAAA8L8CqZIbC6DWAsACv6kB6MV76D8AAAAAGAAAAPwIAPwAAgAAAAAAAPC/AuKIXUH6/+e/AlbK1hRChPC/AAAAACQABAQAAAAAAAAECAgAAAAAAAAEDAQAAAAAAAAAEAQABAQAAAAQFAQABAQAAAAUGAgABAQAAAAYHAQAAAAAAAAYIAQABAQAAAAgAAgABAQAAAAAAAAA</t>
        </r>
      </text>
    </comment>
    <comment ref="D50" authorId="0">
      <text>
        <r>
          <rPr>
            <sz val="9"/>
            <color indexed="81"/>
            <rFont val="Tahoma"/>
            <family val="2"/>
          </rPr>
          <t>Insight iXlW00004C0000050R0841462918S00000049P00752LAocjBAQBF1NjaVRlZ2ljLmRhdGEuTW9sZWN1bGUBbQF/ARJTY2lUZWdpYy5Nb2xlY3VsZQAAAQFkAv5qAQAAAAIAAigcAAAA/AgA/AACAAAAAAAA8L8CTb2hvgUA6D8CVtZc6D2E8L8AAAAAHAAAAPwIAPwAAgAAAAAAAPC/ArRfkACYavM/AudRGLRQPNk/AAAAABgAAAD8CAD8AAIAAAAAAADwvwK2zFsqNWfcvgKiOaYCZ2r0PwAAAAABIwAAAPwEAPwAAgAAAAAAAPC/AjTgxG66juu+AsQh7BrNzgNAAAAAABwAAAD8CAD8AAIAAAAAAADwvwLiiF1B+v/nvwJWytYUQoTwvwAAAAAYAAAA/AgA/AACAAAAAAAA8L8Cte8HZJxq878CvN1wrRo82T8AAAAAGAAAAPwIAPwAAgAAAAAAAPC/Ar7AoXyEHQXAAkQcvwaDVus/AAAAACAAAAD8CAD8AAIAAAAAAADwvwIf93g1uCAHwAJZo31knjgAQAAAAAAgAAAA/AQA/AACAAAAAAAA8L8CJs0febwGDsACJA+52fVlw78AAAAAGAAAAPwEAPwAAgAAAAAAAPC/AmwhjFjQlBPAAjD/cQFAw8s/AAAAACgABAgABAQAAAAECAQABAQAAAAIDAQAAAAAAAAAEAQABAQAAAAQFAQABAQAAAAUCAgABAQAAAAUGAQAAAAAAAAYHAgAAAAAAAAYIAQAAAAAAAAgJAQAAAAAAAAAAAAA</t>
        </r>
      </text>
    </comment>
    <comment ref="D51" authorId="0">
      <text>
        <r>
          <rPr>
            <sz val="9"/>
            <color indexed="81"/>
            <rFont val="Tahoma"/>
            <family val="2"/>
          </rPr>
          <t>Insight iXlW00004C0000051R0841462918S00000050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gA/AACAAAAAAAA8L8C9M9KY9nIBEACvUxsDAwA+D8AAAAAASMAAAD8BAD8AAIAAAAAAADwvwK3a1+318gEQAK3ms+fn5kFQAAAAAAYAAAA/AgA/AACAAAAAAAA8L8CyEcPskgtD0ACbCryhyAA6D8AAAAAHAAAAPwIAPwAAgAAAAAAAPC/Asq+atNLLQ9AAn4zDHjf/+e/AAAAABgAAAD8CAD8AAIAAAAAAADwvwJsDgKm38gEQAJwnnRc9v/3vwAAAAAwAAQIAAQEAAAABAgEAAQEAAAACAwIAAQEAAAADBAEAAQEAAAAEBQIAAQEAAAAFAAEAAQEAAAABBgEAAQEAAAAGBwEAAAAAAAAGCAIAAQEAAAAICQEAAQEAAAAJCgIAAQEAAAAKAAEAAQEAAAAAAAAAA==</t>
        </r>
      </text>
    </comment>
    <comment ref="D52" authorId="0">
      <text>
        <r>
          <rPr>
            <sz val="9"/>
            <color indexed="81"/>
            <rFont val="Tahoma"/>
            <family val="2"/>
          </rPr>
          <t>Insight iXlW00004C0000052R0841462918S00000051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gA/AACAAAAAAAA8L8C9M9KY9nIBEACvUxsDAwA+D8AAAAAASMAAAD8BAD8AAIAAAAAAADwvwK3a1+318gEQAK3ms+fn5kFQAAAAAAcAAAA/AgA/AACAAAAAAAA8L8CyEcPskgtD0ACbCryhyAA6D8AAAAAGAAAAPwIAPwAAgAAAAAAAPC/Asq+atNLLQ9AAn4zDHjf/+e/AAAAABgAAAD8CAD8AAIAAAAAAADwvwJsDgKm38gEQAJwnnRc9v/3vwAAAAAwAAQIAAQEAAAABAgEAAQEAAAACAwIAAQEAAAADBAEAAQEAAAAEBQIAAQEAAAAFAAEAAQEAAAABBgEAAQEAAAAGBwEAAAAAAAAGCAIAAQEAAAAICQEAAQEAAAAJCgIAAQEAAAAKAAEAAQEAAAAAAAAAA==</t>
        </r>
      </text>
    </comment>
    <comment ref="D53" authorId="0">
      <text>
        <r>
          <rPr>
            <sz val="9"/>
            <color indexed="81"/>
            <rFont val="Tahoma"/>
            <family val="2"/>
          </rPr>
          <t>Insight iXlW00004C0000053R0841462918S00000052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gA/AACAAAAAAAA8L8C9M9KY9nIBEACvUxsDAwA+D8AAAAAHAAAAPwIAPwAAgAAAAAAAPC/AshHD7JILQ9AAmwq8ocgAOg/AAAAABgAAAD8CAD8AAIAAAAAAADwvwLKvmrTSy0PQAJ+Mwx43//nvwAAAAABIwAAAPwEAPwAAgAAAAAAAPC/Au73CaXSvhNAAvoc2oOEmfW/AAAAABgAAAD8CAD8AAIAAAAAAADwvwJsDgKm38gEQAJwnnRc9v/3vwAAAAAwAAQIAAQEAAAABAgEAAQEAAAACAwIAAQEAAAADBAEAAQEAAAAEBQIAAQEAAAAFAAEAAQEAAAABBgEAAQEAAAAGBwIAAQEAAAAHCAEAAQEAAAAICQEAAAAAAAAICgIAAQEAAAAKAAEAAQEAAAAAAAAAA==</t>
        </r>
      </text>
    </comment>
    <comment ref="D54" authorId="0">
      <text>
        <r>
          <rPr>
            <sz val="9"/>
            <color indexed="81"/>
            <rFont val="Tahoma"/>
            <family val="2"/>
          </rPr>
          <t>Insight iXlW00004C0000054R0841462918S00000053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gA/AACAAAAAAAA8L8C9M9KY9nIBEACvUxsDAwA+D8AAAAAGAAAAPwIAPwAAgAAAAAAAPC/AshHD7JILQ9AAmwq8ocgAOg/AAAAABgAAAD8CAD8AAIAAAAAAADwvwLKvmrTSy0PQAJ+Mwx43//nvwAAAAABIwAAAPwEAPwAAgAAAAAAAPC/Au73CaXSvhNAAvoc2oOEmfW/AAAAABwAAAD8CAD8AAIAAAAAAADwvwJsDgKm38gEQAJwnnRc9v/3vwAAAAAwAAQIAAQEAAAABAgEAAQEAAAACAwIAAQEAAAADBAEAAQEAAAAEBQIAAQEAAAAFAAEAAQEAAAABBgEAAQEAAAAGBwIAAQEAAAAHCAEAAQEAAAAICQEAAAAAAAAICgIAAQEAAAAKAAEAAQEAAAAAAAAAA==</t>
        </r>
      </text>
    </comment>
    <comment ref="D55" authorId="0">
      <text>
        <r>
          <rPr>
            <sz val="9"/>
            <color indexed="81"/>
            <rFont val="Tahoma"/>
            <family val="2"/>
          </rPr>
          <t>Insight iXlW00004C0000055R0841462918S00000054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HAAAAPwIAPwAAgAAAAAAAPC/AknKVDnhyATAAiakyY30//c/AAAAABgAAAD8CAD8AAIAAAAAAADwvwJIQbBa5MgEwAKMaeRG+v8HQAAAAAAYAAAA/AgA/AACAAAAAAAA8L8C2iGPWvDI9L8C5Ksbl/3/DUAAAAAAGAAAAPwIAPwAAgAAAAAAAPC/AgAAzIiUTe++AjxPjIEBAAhAAAAAAAEjAAAA/AQA/AACAAAAAAAA8L8CZ2w9OZ2g8D8CUd8vI9HMDEAAAAAAGAAAAPwIAPwAAgAAAAAAAPC/AgPGDnHayPS/AtaS+9cKAOi/AAAAABgAAAD8CAD8AAIAAAAAAADwvwIgioqm6LHQPgLyAHE0AQD4vwAAAAAwAAQIAAQEAAAABAgEAAQEAAAACAwIAAQEAAAADBAEAAQEAAAAEBQIAAQEAAAAFBgEAAQEAAAAGBwIAAQEAAAAHAgEAAQEAAAAHCAEAAAAAAAADCQEAAQEAAAAJCgIAAQEAAAAKAAEAAQEAAAAAAAAAA==</t>
        </r>
      </text>
    </comment>
    <comment ref="D56" authorId="0">
      <text>
        <r>
          <rPr>
            <sz val="9"/>
            <color indexed="81"/>
            <rFont val="Tahoma"/>
            <family val="2"/>
          </rPr>
          <t>Insight iXlW00004C0000056R0841462918S00000055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cAAAA/AgA/AACAAAAAAAA8L8C9M9KY9nIBEACvUxsDAwA+D8AAAAAGAAAAPwIAPwAAgAAAAAAAPC/AshHD7JILQ9AAmwq8ocgAOg/AAAAABgAAAD8CAD8AAIAAAAAAADwvwLKvmrTSy0PQAJ+Mwx43//nvwAAAAABIwAAAPwEAPwAAgAAAAAAAPC/Au73CaXSvhNAAvoc2oOEmfW/AAAAABgAAAD8CAD8AAIAAAAAAADwvwJsDgKm38gEQAJwnnRc9v/3vwAAAAAwAAQIAAQEAAAABAgEAAQEAAAACAwIAAQEAAAADBAEAAQEAAAAEBQIAAQEAAAAFAAEAAQEAAAABBgEAAQEAAAAGBwIAAQEAAAAHCAEAAQEAAAAICQEAAAAAAAAICgIAAQEAAAAKAAEAAQEAAAAAAAAAA==</t>
        </r>
      </text>
    </comment>
    <comment ref="D57" authorId="0">
      <text>
        <r>
          <rPr>
            <sz val="9"/>
            <color indexed="81"/>
            <rFont val="Tahoma"/>
            <family val="2"/>
          </rPr>
          <t>Insight iXlW00004C0000057R0841462918S00000056P00832LAocjBAQBF1NjaVRlZ2ljLmRhdGEuTW9sZWN1bGUBbQF/ARJTY2lUZWdpYy5Nb2xlY3VsZQAAAQFkAv5qAQAAAAIAAiwcAAAA/AgA/AACAAAAAAAA8L8C7lqJnd7I9D8Ce8erYvz/578AAAAAGAAAAPwIAPwAAgAAAAAAAPC/AiqK0FrYyPQ/AtNhohISAOg/AAAAABgAAAD8CAD8AAIAAAAAAADwvwKBSZam6LHgvgI56m80AQD4PwAAAAABIwAAAPwEAPwAAgAAAAAAAPC/AtqRNIAIDe6+AhD60DOamQVAAAAAABgAAAD8CAD8AAIAAAAAAADwvwIEtMWz4Mj0vwISywIo9f/nPwAAAAAYAAAA/AgA/AACAAAAAAAA8L8CA8YOcdrI9L8C1pL71woA6L8AAAAAGAAAAPwIAPwAAgAAAAAAAPC/AteuqIbcyATAAg5rxqsPAPi/AAAAABgAAAD8CAD8AAIAAAAAAADwvwLpKStP18gEwAI+E+LVBwAIwAAAAAAYAAAA/AgA/AACAAAAAAAA8L8CX2Ks6s3I9L8CosCI6wMADsAAAAAAHAAAAPwIAPwAAgAAAAAAAPC/AgAA+9R/4OQ+Av3OaJsAAAjAAAAAABgAAAD8CAD8AAIAAAAAAADwvwIgioqm6LHQPgLyAHE0AQD4vwAAAAAwAAQIAAQEAAAABAgEAAQEAAAACAwEAAAAAAAACBAIAAQEAAAAEBQEAAQEAAAAFBgIAAQEAAAAGBwEAAQEAAAAHCAIAAQEAAAAICQEAAQEAAAAFCgEAAQEAAAAKAAEAAQEAAAAKCQIAAQEAAAAAAAAAA==</t>
        </r>
      </text>
    </comment>
    <comment ref="D58" authorId="0">
      <text>
        <r>
          <rPr>
            <sz val="9"/>
            <color indexed="81"/>
            <rFont val="Tahoma"/>
            <family val="2"/>
          </rPr>
          <t>Insight iXlW00004C0000058R0841462918S00000057P00832LAocjBAQBF1NjaVRlZ2ljLmRhdGEuTW9sZWN1bGUBbQF/ARJTY2lUZWdpYy5Nb2xlY3VsZQAAAQFkAv5qAQAAAAIAAiwYAAAA/AQA/AACAAAAAAAA8L8C7lqJnd7I9D8Ce8erYvz/578AAAAAGAAAAPwEAPwAAgAAAAAAAPC/AiqK0FrYyPQ/AtNhohISAOg/AAAAABgAAAD8CAD8AAIAAAAAAADwvwKBSZam6LHgvgI56m80AQD4PwAAAAAYAAAA/AgA/AACAAAAAAAA8L8CBLTFs+DI9L8CEssCKPX/5z8AAAAAHAAAAPwIAPwAAgAAAAAAAPC/AknKVDnhyATAAiakyY30//c/AAAAABgAAAD8CAD8AAIAAAAAAADwvwJIQbBa5MgEwAKMaeRG+v8HQAAAAAAYAAAA/AgA/AACAAAAAAAA8L8C2iGPWvDI9L8C5Ksbl/3/DUAAAAAAASMAAAD8BAD8AAIAAAAAAADwvwKoDh8I98j0vwJrWFqYy8wTQAAAAAAYAAAA/AgA/AACAAAAAAAA8L8CAADMiJRN774CPE+MgQEACEAAAAAAGAAAAPwEAPwAAgAAAAAAAPC/AgPGDnHayPS/AtaS+9cKAOi/AAAAABgAAAD8BAD8AAIAAAAAAADwvwIgioqm6LHQPgLyAHE0AQD4vwAAAAAwAAQEAAQAAAAABAgEAAQAAAAACAwIAAQEAAAADBAEAAQEAAAAEBQIAAQEAAAAFBgEAAQEAAAAGBwEAAAAAAAAGCAIAAQEAAAAIAgEAAQEAAAADCQEAAQAAAAAJCgEAAQAAAAAKAAEAAQAAAAAAAAAAA==</t>
        </r>
      </text>
    </comment>
    <comment ref="D59" authorId="0">
      <text>
        <r>
          <rPr>
            <sz val="9"/>
            <color indexed="81"/>
            <rFont val="Tahoma"/>
            <family val="2"/>
          </rPr>
          <t>Insight iXlW00004C0000059R0841462918S00000058P00752LAocjBAQBF1NjaVRlZ2ljLmRhdGEuTW9sZWN1bGUBbQF/ARJTY2lUZWdpYy5Nb2xlY3VsZQAAAQFkAv5qAQAAAAIAAigYAAAA/AgA/AACAAAAAAAA8L8CTb2hvgUA6D8CVtZc6D2E8L8AAAAAHAAAAPwIAPwAAgAAAAAAAPC/ArRfkACYavM/AudRGLRQPNk/AAAAABwAAAD8CAD8AAIAAAAAAADwvwK2zFsqNWfcvgKiOaYCZ2r0PwAAAAAYAAAA/AgA/AACAAAAAAAA8L8Cte8HZJxq878CvN1wrRo82T8AAAAAGAAAAPwIAPwAAgAAAAAAAPC/AuKIXUH6/+e/AlbK1hRChPC/AAAAAAEjAAAA/AQA/AACAAAAAAAA8L8CbJGE5Q5J978C94Jas18GAMAAAAAAGAAAAPwEAPwAAgAAAAAAAPC/AhZaflUlF/o/AoZzNxeB9AHAAAAAACQAAAD8BAD8AAIAAAAAAADwvwK0AKom35cGQAJvIzmnKPUAwAAAAAAkAAAA/AQA/AACAAAAAAAA8L8CMLWIw4pG8j8Cnj+vs1G5CsAAAAAAJAAAAPwEAPwAAgAAAAAAAPC/AqG1C2AsrwJAAll4cG9tuQnAAAAAACgABAgABAQAAAAECAQABAQAAAAIDAQABAQAAAAMEAgABAQAAAAQAAQABAQAAAAQFAQAAAAAAAAAGAQAAAAAAAAYHAQAAAAAAAAYIAQAAAAAAAAYJAQAAAAAAAAAAAAA</t>
        </r>
      </text>
    </comment>
    <comment ref="D60" authorId="0">
      <text>
        <r>
          <rPr>
            <sz val="9"/>
            <color indexed="81"/>
            <rFont val="Tahoma"/>
            <family val="2"/>
          </rPr>
          <t>Insight iXlW00004C0000060R0841462918S00000059P00820LAocjBAQBF1NjaVRlZ2ljLmRhdGEuTW9sZWN1bGUBbQF/ARJTY2lUZWdpYy5Nb2xlY3VsZQAAAQFkAv5qAQAAAAIAAiwYAAAA/AgA/AACAAAAAAAA8L8C7lqJnd7I9D8Ce8erYvz/578AAAAAASMAAAD8BAD8AAIAAAAAAADwvwJSDZVayLQCQALCqUtrlJn1vwAAAAAYAAAA/AgA/AACAAAAAAAA8L8CKorQWtjI9D8C02GiEhIA6D8AAAAAHAAAAPwIAPwAAgAAAAAAAPC/AoFJlqboseC+AjnqbzQBAPg/AAAAABgAAAD8CAD8AAIAAAAAAADwvwIEtMWz4Mj0vwISywIo9f/nPwAAAAAYAAAA/AgA/AACAAAAAAAA8L8CA8YOcdrI9L8C1pL71woA6L8AAAAAGAAAAPwIAPwAAgAAAAAAAPC/AtwMWy+DzQTAAlIEcK219vc/AAAAACAAAAD8CAD8AAIAAAAAAADwvwLeDQFwzdEEwAJ+zOx685QFQAAAAAAcAAAA/AgA/AACAAAAAAAA8L8C4/VU5TQxD8ACHIuWsdba5z8AAAAAGAAAAPwEAPwAAgAAAAAAAPC/AtVgxlgKwhPAAjjbXs47fvU/AAAAABgAAAD8CAD8AAIAAAAAAADwvwIgioqm6LHQPgLyAHE0AQD4vwAAAAAsAAQEAAAAAAAAAAgIAAQEAAAACAwEAAQEAAAADBAIAAQEAAAAEBQEAAQEAAAAEBgEAAAAAAAAGBwIAAAAAAAAGCAEAAAAAAAAICQEAAAAAAAAACgEAAQEAAAAKBQIAAQEAAAAAAAAAA==</t>
        </r>
      </text>
    </comment>
    <comment ref="D61" authorId="0">
      <text>
        <r>
          <rPr>
            <sz val="9"/>
            <color indexed="81"/>
            <rFont val="Tahoma"/>
            <family val="2"/>
          </rPr>
          <t>Insight iXlW00004C0000061R0841462918S00000060P00820LAocjBAQBF1NjaVRlZ2ljLmRhdGEuTW9sZWN1bGUBbQF/ARJTY2lUZWdpYy5Nb2xlY3VsZQAAAQFkAv5qAQAAAAIAAiwYAAAA/AgA/AACAAAAAAAA8L8C7lqJnd7I9D8Ce8erYvz/578AAAAAHAAAAPwIAPwAAgAAAAAAAPC/AtgSh7guxwRAAmipXwejDPi/AAAAABgAAAD8CAD8AAIAAAAAAADwvwJfUNOZz8IEQALwLG/2AAgIwAAAAAAgAAAA/AgA/AACAAAAAAAA8L8ChGEpmp8QDUACBV38ly3ZDMAAAAAAGAAAAPwEAPwAAgAAAAAAAPC/AvkOe2Kq4Pg/Aj0QuZMZ0QzAAAAAABwAAAD8CAD8AAIAAAAAAADwvwIqitBa2Mj0PwLTYaISEgDoPwAAAAAYAAAA/AgA/AACAAAAAAAA8L8CgUmWpuix4L4COepvNAEA+D8AAAAAGAAAAPwIAPwAAgAAAAAAAPC/AgS0xbPgyPS/AhLLAij1/+c/AAAAAAEjAAAA/AQA/AACAAAAAAAA8L8CEwuM0Mm0AsACwmjVW4+Z9T8AAAAAGAAAAPwIAPwAAgAAAAAAAPC/AgPGDnHayPS/AtaS+9cKAOi/AAAAABgAAAD8CAD8AAIAAAAAAADwvwIgioqm6LHQPgLyAHE0AQD4vwAAAAAsAAQEAAAAAAAABAgEAAAAAAAACAwIAAAAAAAACBAEAAAAAAAAABQIAAQEAAAAFBgEAAQEAAAAGBwIAAQEAAAAHCAEAAAAAAAAHCQEAAQEAAAAJCgIAAQEAAAAKAAEAAQEAAAAAAAAAA==</t>
        </r>
      </text>
    </comment>
    <comment ref="D62" authorId="0">
      <text>
        <r>
          <rPr>
            <sz val="9"/>
            <color indexed="81"/>
            <rFont val="Tahoma"/>
            <family val="2"/>
          </rPr>
          <t>Insight iXlW00004C0000062R0841462918S00000061P00820LAocjBAQBF1NjaVRlZ2ljLmRhdGEuTW9sZWN1bGUBbQF/ARJTY2lUZWdpYy5Nb2xlY3VsZQAAAQFkAv5qAQAAAAIAAiwYAAAA/AgA/AACAAAAAAAA8L8C7lqJnd7I9D8Ce8erYvz/578AAAAAGAAAAPwIAPwAAgAAAAAAAPC/AiqK0FrYyPQ/AtNhohISAOg/AAAAAAEjAAAA/AQA/AACAAAAAAAA8L8CxmsiuMK0AkACdgEQ8KeZ9T8AAAAAGAAAAPwIAPwAAgAAAAAAAPC/AoFJlqboseC+AjnqbzQBAPg/AAAAABgAAAD8CAD8AAIAAAAAAADwvwIEtMWz4Mj0vwISywIo9f/nPwAAAAAcAAAA/AQA/AACAAAAAAAA8L8C3AxbL4PNBMACUgRwrbX29z8AAAAAGAAAAPwEAPwAAgAAAAAAAPC/AuP1VOU0MQ/AAhyLlrHW2uc/AAAAABgAAAD8BAD8AAIAAAAAAADwvwLVYMZYCsITwAI4217OO371PwAAAAAYAAAA/AQA/AACAAAAAAAA8L8C4fSupOosD8ACcDx5vhcX3b8AAAAAHAAAAPwIAPwAAgAAAAAAAPC/AgPGDnHayPS/AtaS+9cKAOi/AAAAABgAAAD8CAD8AAIAAAAAAADwvwIgioqm6LHQPgLyAHE0AQD4vwAAAAAsAAQIAAQEAAAABAgEAAAAAAAABAwEAAQEAAAADBAIAAQEAAAAEBQEAAAAAAAAFBgEAAAAAAAAGBwEAAAAAAAAGCAEAAAAAAAAECQEAAQEAAAAJCgIAAQEAAAAKAAEAAQEAAAAAAAAAA==</t>
        </r>
      </text>
    </comment>
    <comment ref="D63" authorId="0">
      <text>
        <r>
          <rPr>
            <sz val="9"/>
            <color indexed="81"/>
            <rFont val="Tahoma"/>
            <family val="2"/>
          </rPr>
          <t>Insight iXlW00004C0000063R0841462918S00000062P00820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GAAAAPwIAPwAAgAAAAAAAPC/AgPGDnHayPS/AtaS+9cKAOi/AAAAABwAAAD8CAD8AAIAAAAAAADwvwIgioqm6LHQPgLyAHE0AQD4vwAAAAABIwAAAPwEAPwAAgAAAAAAAPC/AsZrIrjCtAJAAnYBEPCnmfU/AAAAABgAAAD8CAD8AAIAAAAAAADwvwLYEoe4LscEQAJoqV8Howz4vwAAAAAgAAAA/AQA/AACAAAAAAAA8L8CX1DTmc/CBEAC8Cxv9gAICMAAAAAAGAAAAPwEAPwAAgAAAAAAAPC/AoRhKZqfEA1AAgVd/Jct2QzAAAAAACAAAAD8CAD8AAIAAAAAAADwvwK62xwhqRkNQAKcxZeZ4/TsvwAAAAAsAAQIAAQEAAAABAgEAAQEAAAACAwIAAQEAAAADBAEAAQEAAAAEBQIAAQEAAAAFAAEAAQEAAAABBgEAAAAAAAAABwEAAAAAAAAHCAEAAAAAAAAICQEAAAAAAAAHCgIAAAAAAAAAAAAAA==</t>
        </r>
      </text>
    </comment>
    <comment ref="D64" authorId="0">
      <text>
        <r>
          <rPr>
            <sz val="9"/>
            <color indexed="81"/>
            <rFont val="Tahoma"/>
            <family val="2"/>
          </rPr>
          <t>Insight iXlW00004C0000064R0841462918S00000063P00820LAocjBAQBF1NjaVRlZ2ljLmRhdGEuTW9sZWN1bGUBbQF/ARJTY2lUZWdpYy5Nb2xlY3VsZQAAAQFkAv5qAQAAAAIAAiwYAAAA/AgA/AACAAAAAAAA8L8C7lqJnd7I9D8Ce8erYvz/578AAAAAHAAAAPwIAPwAAgAAAAAAAPC/AiqK0FrYyPQ/AtNhohISAOg/AAAAABgAAAD8CAD8AAIAAAAAAADwvwKBSZam6LHgvgI56m80AQD4PwAAAAAYAAAA/AgA/AACAAAAAAAA8L8CBLTFs+DI9L8CEssCKPX/5z8AAAAAGAAAAPwIAPwAAgAAAAAAAPC/AgPGDnHayPS/AtaS+9cKAOi/AAAAAAEjAAAA/AQA/AACAAAAAAAA8L8CdLsaLsS0AsACqkab4KKZ9b8AAAAAGAAAAPwIAPwAAgAAAAAAAPC/AiCKiqbosdA+AvIAcTQBAPi/AAAAABgAAAD8CAD8AAIAAAAAAADwvwLYEoe4LscEQAJoqV8Howz4vwAAAAAgAAAA/AQA/AACAAAAAAAA8L8CX1DTmc/CBEAC8Cxv9gAICMAAAAAAGAAAAPwEAPwAAgAAAAAAAPC/AoRhKZqfEA1AAgVd/Jct2QzAAAAAACAAAAD8CAD8AAIAAAAAAADwvwK62xwhqRkNQAKcxZeZ4/TsvwAAAAAsAAQIAAQEAAAABAgEAAQEAAAACAwIAAQEAAAADBAEAAQEAAAAEBQEAAAAAAAAEBgIAAQEAAAAGAAEAAQEAAAAABwEAAAAAAAAHCAEAAAAAAAAICQEAAAAAAAAHCgIAAAAAAAAAAAAAA==</t>
        </r>
      </text>
    </comment>
    <comment ref="D65" authorId="0">
      <text>
        <r>
          <rPr>
            <sz val="9"/>
            <color indexed="81"/>
            <rFont val="Tahoma"/>
            <family val="2"/>
          </rPr>
          <t>Insight iXlW00004C0000065R0841462918S00000064P00820LAocjBAQBF1NjaVRlZ2ljLmRhdGEuTW9sZWN1bGUBbQF/ARJTY2lUZWdpYy5Nb2xlY3VsZQAAAQFkAv5qAQAAAAIAAiwcAAAA/AgA/AACAAAAAAAA8L8C7lqJnd7I9D8Ce8erYvz/578AAAAAGAAAAPwIAPwAAgAAAAAAAPC/AiqK0FrYyPQ/AtNhohISAOg/AAAAABgAAAD8CAD8AAIAAAAAAADwvwKBSZam6LHgvgI56m80AQD4PwAAAAABIwAAAPwEAPwAAgAAAAAAAPC/AtqRNIAIDe6+AhD60DOamQVAAAAAABgAAAD8CAD8AAIAAAAAAADwvwIEtMWz4Mj0vwISywIo9f/nPwAAAAAYAAAA/AgA/AACAAAAAAAA8L8CA8YOcdrI9L8C1pL71woA6L8AAAAAGAAAAPwIAPwAAgAAAAAAAPC/AiCKiqbosdA+AvIAcTQBAPi/AAAAABgAAAD8CAD8AAIAAAAAAADwvwJzgpY9QFppPwI487nctAEIwAAAAAAgAAAA/AQA/AACAAAAAAAA8L8CHvqbO9fc9D8Cb1I5WMD+DcAAAAAAGAAAAPwEAPwAAgAAAAAAAPC/AqAmmYv45vQ/Ap4b4U0szBPAAAAAACAAAAD8CAD8AAIAAAAAAADwvwLfyP04uI/wvwL6BqlVN9IMwAAAAAAsAAQIAAQEAAAABAgEAAQEAAAACAwEAAAAAAAACBAIAAQEAAAAEBQEAAQEAAAAFBgIAAQEAAAAGAAEAAQEAAAAGBwEAAAAAAAAHCAEAAAAAAAAICQEAAAAAAAAHCgIAAAAAAAAAAAAAA==</t>
        </r>
      </text>
    </comment>
    <comment ref="D66" authorId="0">
      <text>
        <r>
          <rPr>
            <sz val="9"/>
            <color indexed="81"/>
            <rFont val="Tahoma"/>
            <family val="2"/>
          </rPr>
          <t>Insight iXlW00004C0000066R0841462918S00000065P00820LAocjBAQBF1NjaVRlZ2ljLmRhdGEuTW9sZWN1bGUBbQF/ARJTY2lUZWdpYy5Nb2xlY3VsZQAAAQFkAv5qAQAAAAIBAiwYAAAA/AgA/AACAAAAAAAA8L8CTb2hvgUA6D8CVtZc6D2E8L8AAAAAHAAAAPwIAPwAAgAAAAAAAPC/ArRfkACYavM/AudRGLRQPNk/AAAAABgAAAD8BAD8AAIAAAAAAADwvwLcv9vHjhkFQALf0gkIQofrPwAAAAAYCAAA/AQA/AACAAAAAAAA8L8CywEtg0KUB0ACeljR8EGhAkAAAAAAIAAAAPwEAPwAAgAAAAAAAPC/AucypesBbwBAArTZrqZ8CglAAAAAABgAAAD8CAD8AAIAAAAAAADwvwIsA/R9w34RQAK2Wkv8KV0GQAAAAAAYAAAA/AgA/AACAAAAAAAA8L8CTeQ6SIF8EkACOk9A/cvBD0AAAAAAHAAAAPwIAPwAAgAAAAAAAPC/ArbMWyo1Z9y+AqI5pgJnavQ/AAAAABgAAAD8CAD8AAIAAAAAAADwvwK17wdknGrzvwK83XCtGjzZPwAAAAAYAAAA/AgA/AACAAAAAAAA8L8C4ohdQfr/578CVsrWFEKE8L8AAAAAASMAAAD8BAD8AAIAAAAAAADwvwJskYTlDkn3vwL3glqzXwYAwAAAAAAsAAQEAAQEAAAABAgEAAAAAAAACAwEAAAAAAAADBAEEAAAAAAADBQEAAAAAAAAFBgIAAAAAAAABBwEAAQEAAAAHCAIAAQEAAAAICQEAAQEAAAAJAAIAAQEAAAAJCgEAAAAAAAAAAAAAA==</t>
        </r>
      </text>
    </comment>
    <comment ref="D67" authorId="0">
      <text>
        <r>
          <rPr>
            <sz val="9"/>
            <color indexed="81"/>
            <rFont val="Tahoma"/>
            <family val="2"/>
          </rPr>
          <t>Insight iXlW00004C0000067R0841462918S00000066P00896LAocjBAQBF1NjaVRlZ2ljLmRhdGEuTW9sZWN1bGUBbQF/ARJTY2lUZWdpYy5Nb2xlY3VsZQAAAQFkAv5qAQAAAAIAAjAcAAAA/AgA/AACAAAAAAAA8L8CzLPGgcnfBUACgLLhuQPaB8AAAAAAGAAAAPwIAPwAAgAAAAAAAPC/ApReAKPTzRBAApNROWZ5XQrAAAAAAAEjAAAA/AQA/AACAAAAAAAA8L8CGmfUY9m/EkACiGE1MReSEcAAAAAAHAAAAPwIAPwAAgAAAAAAAPC/AgLyZYrtzxNAAgwuIR/z9v+/AAAAACAAAAD8CAD8AAIAAAAAAADwvwJXxpI45psPQAIcXpAOJTXsvwAAAAAYAAAA/AgA/AACAAAAAAAA8L8CHZuA6zLKBEACWrY67IIB+L8AAAAAGAAAAPwIAPwAAgAAAAAAAPC/Au5aiZ3eyPQ/AnvHq2L8/+e/AAAAABgAAAD8CAD8AAIAAAAAAADwvwIqitBa2Mj0PwLTYaISEgDoPwAAAAAYAAAA/AgA/AACAAAAAAAA8L8CgUmWpuix4L4COepvNAEA+D8AAAAAGAAAAPwIAPwAAgAAAAAAAPC/AgS0xbPgyPS/AhLLAij1/+c/AAAAABgAAAD8CAD8AAIAAAAAAADwvwIDxg5x2sj0vwLWkvvXCgDovwAAAAAYAAAA/AgA/AACAAAAAAAA8L8CIIqKpuix0D4C8gBxNAEA+L8AAAAANAAEBAAEBAAAAAQIBAAAAAAAAAQMCAAEBAAAAAwQBAAEBAAAABAUBAAEBAAAABQACAAEBAAAABQYBAAAAAAAABgcCAAEBAAAABwgBAAEBAAAACAkCAAEBAAAACQoBAAEBAAAACgsCAAEBAAAACwYBAAEBAAAAAAAAAA=</t>
        </r>
      </text>
    </comment>
    <comment ref="D68" authorId="0">
      <text>
        <r>
          <rPr>
            <sz val="9"/>
            <color indexed="81"/>
            <rFont val="Tahoma"/>
            <family val="2"/>
          </rPr>
          <t>Insight iXlW00004C0000068R0841462918S00000067P00896LAocjBAQBF1NjaVRlZ2ljLmRhdGEuTW9sZWN1bGUBbQF/ARJTY2lUZWdpYy5Nb2xlY3VsZQAAAQFkAv5qAQAAAAIAAjAYAAAA/AgA/AACAAAAAAAA8L8CHZuA6zLKBEACWrY67IIB+L8AAAAAHAAAAPwIAPwAAgAAAAAAAPC/AjDUAhjpmw9AAmLtE4YlNey/AAAAABwAAAD8CAD8AAIAAAAAAADwvwJTHWyt7c8TQAKQm1AF+Pb/vwAAAAAcAAAA/AgA/AACAAAAAAAA8L8CBYo5Q9LNEEACSCwLGXpdCsAAAAAAHAAAAPwIAPwAAgAAAAAAAPC/AnFwmtzJ3wVAAgwp2KYD2gfAAAAAABgAAAD8CAD8AAIAAAAAAADwvwLuWomd3sj0PwJ7x6ti/P/nvwAAAAAYAAAA/AgA/AACAAAAAAAA8L8CKorQWtjI9D8C02GiEhIA6D8AAAAAGAAAAPwIAPwAAgAAAAAAAPC/AoFJlqboseC+AjnqbzQBAPg/AAAAABgAAAD8CAD8AAIAAAAAAADwvwIEtMWz4Mj0vwISywIo9f/nPwAAAAAYAAAA/AgA/AACAAAAAAAA8L8CA8YOcdrI9L8C1pL71woA6L8AAAAAGAAAAPwIAPwAAgAAAAAAAPC/AiCKiqbosdA+AvIAcTQBAPi/AAAAAAEjAAAA/AQA/AACAAAAAAAA8L8CH5YngAgN3j4C6fTRM5qZBcAAAAAANAAECAAEBAAAAAQIBAAEBAAAAAgMCAAEBAAAAAwQBAAEBAAAABAABAAEBAAAAAAUBAAAAAAAABQYCAAEBAAAABgcBAAEBAAAABwgCAAEBAAAACAkBAAEBAAAACQoCAAEBAAAACgUBAAEBAAAACgsBAAAAAAAAAAAAAA=</t>
        </r>
      </text>
    </comment>
    <comment ref="D69" authorId="0">
      <text>
        <r>
          <rPr>
            <sz val="9"/>
            <color indexed="81"/>
            <rFont val="Tahoma"/>
            <family val="2"/>
          </rPr>
          <t>Insight iXlW00004C0000069R0841462918S00000068P00884LAocjBAQBF1NjaVRlZ2ljLmRhdGEuTW9sZWN1bGUBbQF/ARJTY2lUZWdpYy5Nb2xlY3VsZQAAAQFkAv5qAQAAAAIAAjAc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BIwAAAPwEAPwAAgAAAAAAAPC/Ah+WJ4AIDd4+Aun00TOamQXAAAAAABgAAAD8BAD8AAIAAAAAAADwvwKDXEpV82ppvwIKap/btAEIQAAAAAAYAAAA/AQA/AACAAAAAAAA8L8CYF1dquHc9L8C9ifSh77+DUAAAAAAGAAAAPwIAPwAAgAAAAAAAPC/AvmIhkOR6fS/AocVsYw2ABVAAAAAACAAAAD8BAD8AAIAAAAAAADwvwKI+2FctjTRvwKXlwmCeGgXQAAAAAAgAAAA/AgA/AACAAAAAAAA8L8CA/Qty+HGAsACf9BJYhdlF0AAAAAAMAAECAAEBAAAAAQIBAAEBAAAAAgMCAAEBAAAAAwQBAAEBAAAABAUCAAEBAAAABQABAAEBAAAABQYBAAAAAAAAAgcBAAAAAAAABwgBAAAAAAAACAkBAAAAAAAACQoBAAAAAAAACQsCAAAAAAAAAAAAAA=</t>
        </r>
      </text>
    </comment>
    <comment ref="D70" authorId="0">
      <text>
        <r>
          <rPr>
            <sz val="9"/>
            <color indexed="81"/>
            <rFont val="Tahoma"/>
            <family val="2"/>
          </rPr>
          <t>Insight iXlW00004C0000070R0841462918S00000069P00884LAocjBAQBF1NjaVRlZ2ljLmRhdGEuTW9sZWN1bGUBbQF/ARJTY2lUZWdpYy5Nb2xlY3VsZQAAAQFkAv5qAQAAAAIAAjAYAAAA/AgA/AACAAAAAAAA8L8C7lqJnd7I9D8Ce8erYvz/578AAAAAASMAAAD8BAD8AAIAAAAAAADwvwJSDZVayLQCQALCqUtrlJn1vwAAAAAYAAAA/AgA/AACAAAAAAAA8L8CKorQWtjI9D8C02GiEhIA6D8AAAAAGAAAAPwIAPwAAgAAAAAAAPC/AoFJlqboseC+AjnqbzQBAPg/AAAAACAAAAD8BAD8AAIAAAAAAADwvwJ9jXb2JihpPwKSMwXgtAEIQAAAAAAYAAAA/AQA/AACAAAAAAAA8L8CP534vL+w8D8CGh/0VHzLDEAAAAAAGAAAAPwIAPwAAgAAAAAAAPC/AgS0xbPgyPS/AhLLAij1/+c/AAAAABgAAAD8CAD8AAIAAAAAAADwvwLcDFsvg80EwAJSBHCttfb3PwAAAAAgAAAA/AgA/AACAAAAAAAA8L8COIpeVRkcDcACK/h9IBCu7D8AAAAAIAAAAPwEAPwAAgAAAAAAAPC/At4NAXDN0QTAAn7M7HrzlAVAAAAAABwAAAD8CAD8AAIAAAAAAADwvwIDxg5x2sj0vwLWkvvXCgDovwAAAAAYAAAA/AgA/AACAAAAAAAA8L8CIIqKpuix0D4C8gBxNAEA+L8AAAAAMAAEBAAAAAAAAAAICAAEBAAAAAgMBAAEBAAAAAwQBAAAAAAAABAUBAAAAAAAAAwYCAAEBAAAABgcBAAAAAAAABwgCAAAAAAAABwkBAAAAAAAABgoBAAEBAAAACgsCAAEBAAAACwABAAEBAAAAAAAAAA=</t>
        </r>
      </text>
    </comment>
    <comment ref="D71" authorId="0">
      <text>
        <r>
          <rPr>
            <sz val="9"/>
            <color indexed="81"/>
            <rFont val="Tahoma"/>
            <family val="2"/>
          </rPr>
          <t>Insight iXlW00004C0000071R0841462918S00000070P00884LAocjBAQBF1NjaVRlZ2ljLmRhdGEuTW9sZWN1bGUBbQF/ARJTY2lUZWdpYy5Nb2xlY3VsZQAAAQFkAv5qAQAAAAIAAjAYAAAA/AgA/AACAAAAAAAA8L8C7lqJnd7I9D8Ce8erYvz/578AAAAAGAAAAPwIAPwAAgAAAAAAAPC/AiqK0FrYyPQ/AtNhohISAOg/AAAAABwAAAD8CAD8AAIAAAAAAADwvwKBSZam6LHgvgI56m80AQD4PwAAAAAYAAAA/AgA/AACAAAAAAAA8L8CBLTFs+DI9L8CEssCKPX/5z8AAAAAASMAAAD8BAD8AAIAAAAAAADwvwITC4zQybQCwALCaNVbj5n1PwAAAAAcAAAA/AgA/AACAAAAAAAA8L8CA8YOcdrI9L8C1pL71woA6L8AAAAAHAAAAPwEAPwAAgAAAAAAAPC/Am5ugXIoxwRAAsSak7W4DPg/AAAAABgAAAD8BAD8AAIAAAAAAADwvwKBpjUQw8IEQAIopj/LCwgIQAAAAAAYAAAA/AgA/AACAAAAAAAA8L8COMuUz3klD0ACyRJ85GEODkAAAAAAIAAAAPwIAPwAAgAAAAAAAPC/AhBTjf/1IQ9AAtTbrWz90xNAAAAAACAAAAD8BAD8AAIAAAAAAADwvwLcXahb+7sTQAIQibSeTUUJQAAAAAAYAAAA/AgA/AACAAAAAAAA8L8CIIqKpuix0D4C8gBxNAEA+L8AAAAAMAAECAAEBAAAAAQIBAAEBAAAAAgMCAAEBAAAAAwQBAAAAAAAAAwUBAAEBAAAAAQYBAAAAAAAABgcBAAAAAAAABwgBAAAAAAAACAkCAAAAAAAACAoBAAAAAAAAAAsBAAEBAAAACwUCAAEBAAAAAAAAAA=</t>
        </r>
      </text>
    </comment>
    <comment ref="D72" authorId="0">
      <text>
        <r>
          <rPr>
            <sz val="9"/>
            <color indexed="81"/>
            <rFont val="Tahoma"/>
            <family val="2"/>
          </rPr>
          <t>Insight iXlW00004C0000072R0841462918S00000071P00884LAocjBAQBF1NjaVRlZ2ljLmRhdGEuTW9sZWN1bGUBbQF/ARJTY2lUZWdpYy5Nb2xlY3VsZQAAAQFkAv5qAQAAAAIAAjAYAAAA/AgA/AACAAAAAAAA8L8C7lqJnd7I9D8Ce8erYvz/578AAAAAASMAAAD8BAD8AAIAAAAAAADwvwJSDZVayLQCQALCqUtrlJn1vwAAAAAcAAAA/AgA/AACAAAAAAAA8L8CKorQWtjI9D8C02GiEhIA6D8AAAAAGAAAAPwIAPwAAgAAAAAAAPC/AoFJlqboseC+AjnqbzQBAPg/AAAAABwABAD8CAD8AAIAAAAAAADwvwJ9jXb2JihpPwKSMwXgtAEIQAAAAAAgAPwA/AgA/AACAAAAAAAA8L8CXPOpS9aP8L8CipatAzPSDEAAAAAAIAAAAPwIAPwAAgAAAAAAAPC/Aj+d+Ly/sPA/Ahof9FR8ywxAAAAAABgAAAD8CAD8AAIAAAAAAADwvwIEtMWz4Mj0vwISywIo9f/nPwAAAAAgAAAA/AQA/AACAAAAAAAA8L8C3AxbL4PNBMACUgRwrbX29z8AAAAAGAAAAPwEAPwAAgAAAAAAAPC/AjiKXlUZHA3AAiv4fSAQruw/AAAAABgAAAD8CAD8AAIAAAAAAADwvwIDxg5x2sj0vwLWkvvXCgDovwAAAAAYAAAA/AgA/AACAAAAAAAA8L8CIIqKpuix0D4C8gBxNAEA+L8AAAAAMAAEBAAAAAAAAAAICAAEBAAAAAgMBAAEBAAAAAwQBAAAAAAAABAUBAAAAAAAABAYCAAAAAAAAAwcCAAEBAAAABwgBAAAAAAAACAkBAAAAAAAABwoBAAEBAAAACgsCAAEBAAAACwABAAEBAAAAAAAAAA=</t>
        </r>
      </text>
    </comment>
    <comment ref="D73" authorId="0">
      <text>
        <r>
          <rPr>
            <sz val="9"/>
            <color indexed="81"/>
            <rFont val="Tahoma"/>
            <family val="2"/>
          </rPr>
          <t>Insight iXlW00004C0000073R0841462918S00000072P00960LAocjBAQBF1NjaVRlZ2ljLmRhdGEuTW9sZWN1bGUBbQF/ARJTY2lUZWdpYy5Nb2xlY3VsZQAAAQFkAv5qAQAAAAIAAjQYAAAA/AgA/AACAAAAAAAA8L8C7lqJnd7I9D8Ce8erYvz/578AAAAAGAAAAPwIAPwAAgAAAAAAAPC/AiqK0FrYyPQ/AtNhohISAOg/AAAAABgAAAD8CAD8AAIAAAAAAADwvwKBSZam6LHgvgI56m80AQD4PwAAAAAYAAAA/AgA/AACAAAAAAAA8L8CBLTFs+DI9L8CEssCKPX/5z8AAAAAGAAAAPwIAPwAAgAAAAAAAPC/AgPGDnHayPS/AtaS+9cKAOi/AAAAAAEjAAAA/AQA/AACAAAAAAAA8L8CdLsaLsS0AsACqkab4KKZ9b8AAAAAHAAAAPwIAPwAAgAAAAAAAPC/AiCKiqbosdA+AvIAcTQBAPi/AAAAABgAAAD8CAD8AAIAAAAAAADwvwIdm4DrMsoEQAJatjrsggH4vwAAAAAYAAAA/AgA/AACAAAAAAAA8L8CZXWwTkYxD0ACYko5tVYU6L8AAAAAGAAAAPwIAPwAAgAAAAAAAPC/Ase4L9KhyRRAAr6DgZybEvi/AAAAABgAAAD8CAD8AAIAAAAAAADwvwJ/Cj9FMscUQAJEKx7RTAkIwAAAAAAYAAAA/AgA/AACAAAAAAAA8L8CXIVwGognD0ACmFJ65xQFDsAAAAAAGAAAAPwIAPwAAgAAAAAAAPC/Ajhd57iJxQRAAkZGxZTeAAjAAAAAADgABAgABAQAAAAECAQABAQAAAAIDAgABAQAAAAMEAQABAQAAAAQFAQAAAAAAAAQGAgABAQAAAAYAAQABAQAAAAAHAQAAAAAAAAcIAgABAQAAAAgJAQABAQAAAAkKAgABAQAAAAoLAQABAQAAAAsMAgABAQAAAAwHAQABAQAAAAAAAAA</t>
        </r>
      </text>
    </comment>
    <comment ref="D74" authorId="0">
      <text>
        <r>
          <rPr>
            <sz val="9"/>
            <color indexed="81"/>
            <rFont val="Tahoma"/>
            <family val="2"/>
          </rPr>
          <t>Insight iXlW00004C0000074R0841462918S00000073P00960LAocjBAQBF1NjaVRlZ2ljLmRhdGEuTW9sZWN1bGUBbQF/ARJTY2lUZWdpYy5Nb2xlY3VsZQAAAQFkAv5qAQAAAAIAAjQc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gA/AACAAAAAAAA8L8C3lNtk/my4D4CxAM0jYkBCMAAAAAAGAAAAPwIAPwAAgAAAAAAAPC/AgD4oeX1w/S/AsBtRIQBBg7AAAAAABgAAAD8CAD8AAIAAAAAAADwvwLnH067Lrr0vwKcoKdCAAMVwAAAAAAYAAAA/AgA/AACAAAAAAAA8L8C77/b7ZyOcz8COFGXXOIAGMAAAAAAHAAAAPwIAPwAAgAAAAAAAPC/Ak5ckOGG1/Q/AgmB50LF/hTAAAAAABgAAAD8CAD8AAIAAAAAAADwvwKyH7bjw830PwLItOqDi/0NwAAAAAABIwAAAPwEAPwAAgAAAAAAAPC/AtqRNIAIDe6+AhD60DOamQVAAAAAADgABAgABAQAAAAECAQABAQAAAAIDAgABAQAAAAMEAQABAQAAAAQFAgABAQAAAAUAAQABAQAAAAUGAQAAAAAAAAYHAgABAQAAAAcIAQABAQAAAAgJAgABAQAAAAkKAQABAQAAAAYLAQABAQAAAAsKAgABAQAAAAIMAQAAAAAAAAAAAAA</t>
        </r>
      </text>
    </comment>
    <comment ref="D75" authorId="0">
      <text>
        <r>
          <rPr>
            <sz val="9"/>
            <color indexed="81"/>
            <rFont val="Tahoma"/>
            <family val="2"/>
          </rPr>
          <t>Insight iXlW00004C0000075R0841462918S00000074P00820LAocjBAQBF1NjaVRlZ2ljLmRhdGEuTW9sZWN1bGUBbQF/ARJTY2lUZWdpYy5Nb2xlY3VsZQAAAQFkAv5qAQAAAAIAAiwBEAAAAPwEAPwAAgAAAAAAAPC/Ap5Ds29UygRAAkrnTuGrAfi/AAAAABgAAAD8BAD8AAIAAAAAAADwvwKPQbQRjskEQALEmD+Cb5oFwAAAAAAgAAAA/AgA/AACAAAAAAAA8L8C3up8V3MbDUACtP2GH4fV7L8AAAAAIAAAAPwIAPwAAgAAAAAAAPC/AlKadGIXGg1AAi3wn+OkzgDAAAAAABgAAAD8CAD8AAIAAAAAAADwvwLuWomd3sj0PwJ7x6ti/P/nvwAAAAAYAAAA/AgA/AACAAAAAAAA8L8CKorQWtjI9D8C02GiEhIA6D8AAAAAGAAAAPwIAPwAAgAAAAAAAPC/AoFJlqboseC+AjnqbzQBAPg/AAAAABgAAAD8CAD8AAIAAAAAAADwvwIEtMWz4Mj0vwISywIo9f/nPwAAAAABIwAAAPwEAPwAAgAAAAAAAPC/AhMLjNDJtALAAsJo1VuPmfU/AAAAABgAAAD8CAD8AAIAAAAAAADwvwIDxg5x2sj0vwLWkvvXCgDovwAAAAAcAAAA/AgA/AACAAAAAAAA8L8CIIqKpuix0D4C8gBxNAEA+L8AAAAALAAEBAAAAAAAAAAICAAAAAAAAAAMCAAAAAAAAAAQBAAAAAAAABAUCAAEBAAAABQYBAAEBAAAABgcCAAEBAAAABwgBAAAAAAAABwkBAAEBAAAACQoCAAEBAAAACgQBAAEBAAAAAAAAAA=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Insight iXlW00004C0000076R0841462918S00000075P00820LAocjBAQBF1NjaVRlZ2ljLmRhdGEuTW9sZWN1bGUBbQF/ARJTY2lUZWdpYy5Nb2xlY3VsZQAAAQFkAv5qAQAAAAIAAiwYAAAA/AgA/AACAAAAAAAA8L8CTb2hvgUA6D8CVtZc6D2E8L8AAAAAGAAAAPwIAPwAAgAAAAAAAPC/AiYBoVHYDPo/AtpwOPlD+AHAAAAAACAAAAD8CAD8AAIAAAAAAADwvwJS0y3IAZMGQAKBqpB8q/sAwAAAAAAgAAAA/AQA/AACAAAAAAAA8L8Cuv/wmWZA8D8CyA0K0mruDMAAAAAAGAAAAPwEAPwAAgAAAAAAAPC/AipNqvBqU/4/AmT5hIdpVBPAAAAAABgAAAD8BAD8AAIAAAAAAADwvwKabDfFw332PwL7W6SeQbYXwAAAAAAcAAAA/AgA/AACAAAAAAAA8L8CtF+QAJhq8z8C51EYtFA82T8AAAAAGAAAAPwIAPwAAgAAAAAAAPC/ArbMWyo1Z9y+AqI5pgJnavQ/AAAAAAEQAAAA/AQA/AACAAAAAAAA8L8Cte8HZJxq878CvN1wrRo82T8AAAAAGAAAAPwIAPwAAgAAAAAAAPC/AuKIXUH6/+e/AlbK1hRChPC/AAAAAAEjAAAA/AQA/AACAAAAAAAA8L8CNODEbrqO674CxCHsGs3OA0AAAAAALAAEBAAAAAAAAAQICAAAAAAAAAQMBAAAAAAAAAwQBAAAAAAAABAUBAAAAAAAAAAYBAAEBAAAABgcCAAEBAAAABwgBAAEBAAAACAkBAAEBAAAACQACAAEBAAAABwoBAAAAAAAAAAAAAA=</t>
        </r>
      </text>
    </comment>
    <comment ref="D77" authorId="0">
      <text>
        <r>
          <rPr>
            <sz val="9"/>
            <color indexed="81"/>
            <rFont val="Tahoma"/>
            <family val="2"/>
          </rPr>
          <t>Insight iXlW00004C0000077R0841462918S00000076P00960LAocjBAQBF1NjaVRlZ2ljLmRhdGEuTW9sZWN1bGUBbQF/ARJTY2lUZWdpYy5Nb2xlY3VsZQAAAQFkAv5qAQAAAAIAAjQcAAAA/AgA/AACAAAAAAAA8L8CHZuA6zLKBEACWrY67IIB+L8AAAAAGAAAAPwEAPwAAgAAAAAAAPC/AsSBZgnL3wVAAlbUFykG2gfAAAAAABgAAAD8BAD8AAIAAAAAAADwvwIJtP8k080QQAI6YYrbeV0KwAAAAAAYAAAA/AQA/AACAAAAAAAA8L8C4sTVV+3PE0ACUo2euPT2/78AAAAAGAAAAPwIAPwAAgAAAAAAAPC/AlRrOFXmmw9AAtpOom8mNey/AAAAACAAAAD8CAD8AAIAAAAAAADwvwJQ0CDIMcgQQALol/8mfMbSPwAAAAAYAAAA/AgA/AACAAAAAAAA8L8C7lqJnd7I9D8Ce8erYvz/578AAAAAGAAAAPwIAPwAAgAAAAAAAPC/AiqK0FrYyPQ/AtNhohISAOg/AAAAABgAAAD8CAD8AAIAAAAAAADwvwKBSZam6LHgvgI56m80AQD4PwAAAAAYAAAA/AgA/AACAAAAAAAA8L8CBLTFs+DI9L8CEssCKPX/5z8AAAAAGAAAAPwIAPwAAgAAAAAAAPC/AgPGDnHayPS/AtaS+9cKAOi/AAAAAAEjAAAA/AQA/AACAAAAAAAA8L8CdLsaLsS0AsACqkab4KKZ9b8AAAAAHAAAAPwIAPwAAgAAAAAAAPC/AiCKiqbosdA+AvIAcTQBAPi/AAAAADgABAQABAAAAAAECAQABAAAAAAIDAQABAAAAAAMEAQABAAAAAAQAAQABAAAAAAQFAgAAAAAAAAAGAQAAAAAAAAYHAgABAQAAAAcIAQABAQAAAAgJAgABAQAAAAkKAQABAQAAAAoLAQAAAAAAAAoMAgABAQAAAAwGAQABAQAAAAAAAAA</t>
        </r>
      </text>
    </comment>
    <comment ref="D78" authorId="0">
      <text>
        <r>
          <rPr>
            <sz val="9"/>
            <color indexed="81"/>
            <rFont val="Tahoma"/>
            <family val="2"/>
          </rPr>
          <t>Insight iXlW00004C0000078R0841462918S00000077P00960LAocjBAQBF1NjaVRlZ2ljLmRhdGEuTW9sZWN1bGUBbQF/ARJTY2lUZWdpYy5Nb2xlY3VsZQAAAQFkAv5qAQAAAAIAAjQBIwAAAPwEAPwAAgAAAAAAAPC/AlINlVrItAJAAsKpS2uUmfW/AAAAABgAAAD8CAD8AAIAAAAAAADwvwLuWomd3sj0PwJ7x6ti/P/nvwAAAAAYAAAA/AgA/AACAAAAAAAA8L8CKorQWtjI9D8C02GiEhIA6D8AAAAAHAAAAPwEAPwAAgAAAAAAAPC/AizqYagsygRAAlJmlJ2YAfg/AAAAABgAAAD8BAD8AAIAAAAAAADwvwKGQiVq5ZsPQAKzt898ZzXsPwAAAAAYAAAA/AgA/AACAAAAAAAA8L8CyAMdgunPE0ACfB6+XSH3/z8AAAAAIAAAAPwIAPwAAgAAAAAAAPC/AvdSegkvlhhAAtS7CxAk/f0/AAAAABgAAAD8BAD8AAIAAAAAAADwvwKJtY5iy80QQAL+NLKhi10KQAAAAAAYAAAA/AQA/AACAAAAAAAA8L8C3/X6ar3fBUACkCJWEA/aB0AAAAAAHAAAAPwIAPwAAgAAAAAAAPC/AoFJlqboseC+AjnqbzQBAPg/AAAAABgAAAD8CAD8AAIAAAAAAADwvwIEtMWz4Mj0vwISywIo9f/nPwAAAAAYAAAA/AgA/AACAAAAAAAA8L8CA8YOcdrI9L8C1pL71woA6L8AAAAAGAAAAPwIAPwAAgAAAAAAAPC/AiCKiqbosdA+AvIAcTQBAPi/AAAAADgABAQAAAAAAAAECAgABAQAAAAIDAQAAAAAAAAMEAQABAAAAAAQFAQABAAAAAAUGAgAAAAAAAAUHAQABAAAAAAcIAQABAAAAAAgDAQABAAAAAAIJAQABAQAAAAkKAgABAQAAAAoLAQABAQAAAAsMAgABAQAAAAwBAQABAQAAAAAAAAA</t>
        </r>
      </text>
    </comment>
    <comment ref="D79" authorId="0">
      <text>
        <r>
          <rPr>
            <sz val="9"/>
            <color indexed="81"/>
            <rFont val="Tahoma"/>
            <family val="2"/>
          </rPr>
          <t>Insight iXlW00004C0000079R0841462918S00000078P00960LAocjBAQBF1NjaVRlZ2ljLmRhdGEuTW9sZWN1bGUBbQF/ARJTY2lUZWdpYy5Nb2xlY3VsZQAAAQFkAv5qAQAAAAIAAjQcAAAA/AgA/AACAAAAAAAA8L8CTb2hvgUA6D8CVtZc6D2E8L8AAAAAHAAAAPwIAPwAAgAAAAAAAPC/ArRfkACYavM/AudRGLRQPNk/AAAAABgAAAD8BAD8AAIAAAAAAADwvwLCFCALnNYCQALA4/Il93voPwAAAAAYAAAA/AgA/AACAAAAAAAA8L8CtsxbKjVn3L4CojmmAmdq9D8AAAAAGAAAAPwIAPwAAgAAAAAAAPC/ArXvB2ScavO/ArzdcK0aPNk/AAAAAAEjAAAA/AQA/AACAAAAAAAA8L8CqZIbC6DWAsACv6kB6MV76D8AAAAAGAAAAPwIAPwAAgAAAAAAAPC/AuKIXUH6/+e/AlbK1hRChPC/AAAAABgAAAD8CAD8AAIAAAAAAADwvwLOFrRGIR36vwI+iNNErfgBwAAAAAAcAAAA/AgA/AACAAAAAAAA8L8CJhfnuRfkCMAC9oPCyL7AAsAAAAAAIAAAAPwIAPwAAgAAAAAAAPC/AvRCBU7vsQvAAjHn/6+yaw7AAAAAABgAAAD8CAD8AAIAAAAAAADwvwJPcBpDAHcBwALENSHUtlgSwAAAAAAYAAAA/AQA/AACAAAAAAAA8L8Cow+EnsG2AMACtkIHtL8hF8AAAAAAGAAAAPwIAPwAAgAAAAAAAPC/ArbnMYogrfC/ArC9YPHf5gzAAAAAADgABAQABAQAAAAECAQAAAAAAAAEDAQABAQAAAAMEAgABAQAAAAQFAQAAAAAAAAQGAQABAQAAAAYAAgABAQAAAAYHAQAAAAAAAAcIAgABAQAAAAgJAQABAQAAAAkKAQABAQAAAAoLAQAAAAAAAAoMAgABAQAAAAwHAQABAQAAAAAAAAA</t>
        </r>
      </text>
    </comment>
    <comment ref="D80" authorId="0">
      <text>
        <r>
          <rPr>
            <sz val="9"/>
            <color indexed="81"/>
            <rFont val="Tahoma"/>
            <family val="2"/>
          </rPr>
          <t>Insight iXlW00004C0000080R0841462918S00000079P00948LAocjBAQBF1NjaVRlZ2ljLmRhdGEuTW9sZWN1bGUBbQF/ARJTY2lUZWdpYy5Nb2xlY3VsZQAAAQFkAv5qAQAAAAIAAjQYAAAA/AgA/AACAAAAAAAA8L8C7lqJnd7I9D8Ce8erYvz/578AAAAAGAAAAPwIAPwAAgAAAAAAAPC/AiqK0FrYyPQ/AtNhohISAOg/AAAAABgAAAD8CAD8AAIAAAAAAADwvwKBSZam6LHgvgI56m80AQD4PwAAAAABIwAAAPwEAPwAAgAAAAAAAPC/AtqRNIAIDe6+AhD60DOamQVAAAAAABgAAAD8CAD8AAIAAAAAAADwvwIEtMWz4Mj0vwISywIo9f/nPwAAAAAcAAAA/AgA/AACAAAAAAAA8L8CA8YOcdrI9L8C1pL71woA6L8AAAAAGAAAAPwIAPwAAgAAAAAAAPC/AiCKiqbosdA+AvIAcTQBAPi/AAAAABgAAAD8CAD8AAIAAAAAAADwvwLcDFsvg80EwAJSBHCttfb3PwAAAAAcAAAA/AgA/AACAAAAAAAA8L8C4/VU5TQxD8ACHIuWsdba5z8AAAAAGAAAAPwEAPwAAgAAAAAAAPC/AuH0rqTqLA/AAnA8eb4XF92/AAAAACAAAAD8BAD8AAIAAAAAAADwvwIWMA+2Ic0UwAKegKqeHuT3PwAAAAAYAAAA/AQA/AACAAAAAAAA8L8Cw+4QyWz0GMACv/DyAuKI7D8AAAAAIAAAAPwIAPwAAgAAAAAAAPC/At4NAXDN0QTAAn7M7HrzlAVAAAAAADQABAgABAQAAAAECAQABAQAAAAIDAQAAAAAAAAIEAgABAQAAAAQFAQABAQAAAAUGAgABAQAAAAYAAQABAQAAAAQHAQAAAAAAAAcIAQAAAAAAAAgJAQAAAAAAAAgKAQAAAAAAAAoLAQAAAAAAAAcMAgAAAAAAAAAAAAA</t>
        </r>
      </text>
    </comment>
    <comment ref="D81" authorId="0">
      <text>
        <r>
          <rPr>
            <sz val="9"/>
            <color indexed="81"/>
            <rFont val="Tahoma"/>
            <family val="2"/>
          </rPr>
          <t>Insight iXlW00004C0000081R0841462918S00000080P00948LAocjBAQBF1NjaVRlZ2ljLmRhdGEuTW9sZWN1bGUBbQF/ARJTY2lUZWdpYy5Nb2xlY3VsZQAAAQFkAv5qAQAAAAIAAjQBIwAAAPwEAPwAAgAAAAAAAPC/AlINlVrItAJAAsKpS2uUmfW/AAAAABgAAAD8CAD8AAIAAAAAAADwvwLuWomd3sj0PwJ7x6ti/P/nvwAAAAAYAAAA/AgA/AACAAAAAAAA8L8CKorQWtjI9D8C02GiEhIA6D8AAAAAHAAAAPwIAPwAAgAAAAAAAPC/AoFJlqboseC+AjnqbzQBAPg/AAAAABgAAAD8CAD8AAIAAAAAAADwvwIgioqm6LHQPgLyAHE0AQD4vwAAAAAYAAAA/AgA/AACAAAAAAAA8L8CA8YOcdrI9L8C1pL71woA6L8AAAAAGAAAAPwIAPwAAgAAAAAAAPC/AgS0xbPgyPS/AhLLAij1/+c/AAAAABgAAAD8BAD8AAIAAAAAAADwvwItDD7PMMcEwAKg7qTzmwz4PwAAAAAgAAAA/AQA/AACAAAAAAAA8L8CfnJiZ6oZDcACkl4vyM/07D8AAAAAGAAAAPwEAPwAAgAAAAAAAPC/AmktgrvTwgTAAlYMUG39BwhAAAAAACQAAAD8BAD8AAIAAAAAAADwvwKyP6mNpBANwAIFlSulKNkMQAAAAAAkAAAA/AQA/AACAAAAAAAA8L8CDUJaSSu+BMACSG/P8srQEEAAAAAAJAAAAPwEAPwAAgAAAAAAAPC/AjCOu0a04Pi/AgKsFnUX0QxAAAAAADQABAQAAAAAAAAECAgABAQAAAAIDAQABAQAAAAEEAQABAQAAAAQFAgABAQAAAAUGAQABAQAAAAYDAgABAQAAAAYHAQAAAAAAAAcIAQAAAAAAAAcJAQAAAAAAAAkKAQAAAAAAAAkLAQAAAAAAAAkMAQAAAAAAAAAAAAA</t>
        </r>
      </text>
    </comment>
    <comment ref="D82" authorId="0">
      <text>
        <r>
          <rPr>
            <sz val="9"/>
            <color indexed="81"/>
            <rFont val="Tahoma"/>
            <family val="2"/>
          </rPr>
          <t>Insight iXlW00004C0000082R0841462918S00000081P01016LAocjBAQBF1NjaVRlZ2ljLmRhdGEuTW9sZWN1bGUBbQF/ARJTY2lUZWdpYy5Nb2xlY3VsZQAAAQFkAv5qAQAAAAIAAjgYAAAA/AgA/AACAAAAAAAA8L8C7lqJnd7I9D8Ce8erYvz/578AAAAAGAAAAPwIAPwAAgAAAAAAAPC/AiqK0FrYyPQ/AtNhohISAOg/AAAAABwAAAD8CAD8AAIAAAAAAADwvwKBSZam6LHgvgI56m80AQD4PwAAAAAYAAAA/AgA/AACAAAAAAAA8L8CBLTFs+DI9L8CEssCKPX/5z8AAAAAGAAAAPwIAPwAAgAAAAAAAPC/AgPGDnHayPS/AtaS+9cKAOi/AAAAAAEjAAAA/AQA/AACAAAAAAAA8L8CdLsaLsS0AsACqkab4KKZ9b8AAAAAGAAAAPwIAPwAAgAAAAAAAPC/AiCKiqbosdA+AvIAcTQBAPi/AAAAABgAAAD8CAD8AAIAAAAAAADwvwLYEoe4LscEQAJoqV8Howz4vwAAAAAgAAAA/AgA/AACAAAAAAAA8L8CutscIakZDUACnMWXmeP07L8AAAAAGAAAAPwEAPwAAgAAAAAAAPC/Al9Q05nPwgRAAvAsb/YACAjAAAAAABgAAAD8CAD8AAIAAAAAAADwvwICydp9iSUPQAIKKZKkUQ4OwAAAAAAgAAAA/AgA/AACAAAAAAAA8L8C8Ug48wG8E0ACukVIBzlFCcAAAAAAIAAAAPwEAPwAAgAAAAAAAPC/AogGJ18qIQ9AAqLAqIsACBXAAAAAABgAAAD8BAD8AAIAAAAAAADwvwLWi74vfbcTQAKtWG/clnAXwAAAAAA4AAQIAAQEAAAABAgEAAQEAAAACAwIAAQEAAAADBAEAAQEAAAAEBQEAAAAAAAAEBgIAAQEAAAAGAAEAAQEAAAAABwEAAAAAAAAHCAIAAAAAAAAHCQEAAAAAAAAJCgEAAAAAAAAKCwIAAAAAAAAKDAEAAAAAAAAMDQEAAAAAAAAAAAAAA==</t>
        </r>
      </text>
    </comment>
    <comment ref="D83" authorId="0">
      <text>
        <r>
          <rPr>
            <sz val="9"/>
            <color indexed="81"/>
            <rFont val="Tahoma"/>
            <family val="2"/>
          </rPr>
          <t>Insight iXlW00004C0000083R0841462918S00000082P01016LAocjBAQBF1NjaVRlZ2ljLmRhdGEuTW9sZWN1bGUBbQF/ARJTY2lUZWdpYy5Nb2xlY3VsZQAAAQFkAv5qAQAAAAIAAjgYAAAA/AgA/AACAAAAAAAA8L8C7lqJnd7I9D8Ce8erYvz/578AAAAAHAAEAPwIAPwAAgAAAAAAAPC/AtgSh7guxwRAAmipXwejDPi/AAAAACAA/AD8CAD8AAIAAAAAAADwvwK62xwhqRkNQAKcxZeZ4/TsvwAAAAAgAAAA/AgA/AACAAAAAAAA8L8C2Dar6q/DBEACrp1jeuqfBcAAAAAAGAAAAPwIAPwAAgAAAAAAAPC/AiqK0FrYyPQ/AtNhohISAOg/AAAAABgAAAD8CAD8AAIAAAAAAADwvwKBSZam6LHgvgI56m80AQD4PwAAAAAYAAAA/AgA/AACAAAAAAAA8L8Cg1xKVfNqab8CCmqf27QBCEAAAAAAIAAAAPwIAPwAAgAAAAAAAPC/AuVkwzKuj/A/Ai5uUMY40gxAAAAAACAAAAD8BAD8AAIAAAAAAADwvwJgXV2q4dz0vwL2J9KHvv4NQAAAAAAYAAAA/AQA/AACAAAAAAAA8L8CLAkiUQbn9L8CVLQ8ZSvME0AAAAAAHAAAAPwIAPwAAgAAAAAAAPC/AgS0xbPgyPS/AhLLAij1/+c/AAAAABgAAAD8CAD8AAIAAAAAAADwvwIDxg5x2sj0vwLWkvvXCgDovwAAAAABIwAAAPwEAPwAAgAAAAAAAPC/AnS7Gi7EtALAAqpGm+CimfW/AAAAABgAAAD8CAD8AAIAAAAAAADwvwIgioqm6LHQPgLyAHE0AQD4vwAAAAA4AAQEAAAAAAAABAgEAAAAAAAABAwIAAAAAAAAABAIAAQEAAAAEBQEAAQEAAAAFBgEAAAAAAAAGBwIAAAAAAAAGCAEAAAAAAAAICQEAAAAAAAAFCgIAAQEAAAAKCwEAAQEAAAALDAEAAAAAAAALDQIAAQEAAAANAAEAAQEAAAAAAAAAA==</t>
        </r>
      </text>
    </comment>
    <comment ref="D84" authorId="0">
      <text>
        <r>
          <rPr>
            <sz val="9"/>
            <color indexed="81"/>
            <rFont val="Tahoma"/>
            <family val="2"/>
          </rPr>
          <t>Insight iXlW00004C0000084R0841462918S00000083P01028LAocjBAQBF1NjaVRlZ2ljLmRhdGEuTW9sZWN1bGUBbQF/ARJTY2lUZWdpYy5Nb2xlY3VsZQAAAQFkAv5qAQAAAAIBAjgYAAAA/AQA/AACAAAAAAAA8L8C7lqJnd7I9D8Ce8erYvz/578AAAAAGAAAAPwEAPwAAgAAAAAAAPC/AiqK0FrYyPQ/AtNhohISAOg/AAAAABgMAAD8BAD8AAIAAAAAAADwvwKBSZam6LHgvgI56m80AQD4PwAAAAAgAAAA/AQA/AACAAAAAAAA8L8C2pE0gAgN7r4CEPrQM5qZBUAAAAAAGAgAAPwEAPwAAgAAAAAAAPC/AgS0xbPgyPS/AhLLAij1/+c/AAAAACAAAAD8BAD8AAIAAAAAAADwvwITC4zQybQCwALCaNVbj5n1PwAAAAAYDAAA/AQA/AACAAAAAAAA8L8CA8YOcdrI9L8C1pL71woA6L8AAAAAHAAAAPwIAPwAAgAAAAAAAPC/AtabITkuygTAAnQoXDGTAfi/AAAAABgAAAD8CAD8AAIAAAAAAADwvwJ9lDkoX+kFwAL4lrnFKdkHwAAAAAAcAAAA/AgA/AACAAAAAAAA8L8CuAOGLtuXD8ACboESZT8S7L8AAAAAGAAAAPwIAPwAAgAAAAAAAPC/Anb7vnyE0RPAAoxk+rZ+2P+/AAAAABgAAAD8CAD8AAIAAAAAAADwvwIOB97pn9MQwAKiXmwvG1MKwAAAAAABIwAAAPwEAPwAAgAAAAAAAPC/AtV/2jMzyRLAAlNJ3CFTixHAAAAAABgAAAD8BAD8AAIAAAAAAADwvwIgioqm6LHQPgLyAHE0AQD4vwAAAAA8AAQEAAQAAAAABAgEAAQAAAAACAwEEAAAAAAACBAEAAQAAAAAEBQEFAAAAAAAEBgEAAQAAAAAGBwEEAAAAAAAHCAEAAQEAAAAHCQEAAQEAAAAJCgIAAQEAAAAKCwEAAQEAAAALCAIAAQEAAAALDAEAAAAAAAAGDQEAAQAAAAANAAEAAQAAAAAAAAAAA==</t>
        </r>
      </text>
    </comment>
    <comment ref="D85" authorId="0">
      <text>
        <r>
          <rPr>
            <sz val="9"/>
            <color indexed="81"/>
            <rFont val="Tahoma"/>
            <family val="2"/>
          </rPr>
          <t>Insight iXlW00004C0000085R0841462918S00000084P01092LAocjBAQBF1NjaVRlZ2ljLmRhdGEuTW9sZWN1bGUBbQF/ARJTY2lUZWdpYy5Nb2xlY3VsZQAAAQFkAv5qAQAAAAIAAjwYAAAA/AQA/AACAAAAAAAA8L8CnkOzb1TKBEACSudO4asB+L8AAAAAJAAAAPwEAPwAAgAAAAAAAPC/At7qfFdzGw1AArT9hh+H1ey/AAAAACQAAAD8BAD8AAIAAAAAAADwvwKPQbQRjskEQALEmD+Cb5oFwAAAAAAkAAAA/AQA/AACAAAAAAAA8L8CUpp0YhcaDUACLfCf46TOAMAAAAAAGAAAAPwIAPwAAgAAAAAAAPC/Au5aiZ3eyPQ/AnvHq2L8/+e/AAAAABgAAAD8CAD8AAIAAAAAAADwvwIqitBa2Mj0PwLTYaISEgDoPwAAAAAYAAAA/AgA/AACAAAAAAAA8L8CgUmWpuix4L4COepvNAEA+D8AAAAAGAAAAPwIAPwAAgAAAAAAAPC/AiCKiqbosdA+AvIAcTQBAPi/AAAAABgAAAD8CAD8AAIAAAAAAADwvwIDxg5x2sj0vwLWkvvXCgDovwAAAAAYAAAA/AgA/AACAAAAAAAA8L8CBLTFs+DI9L8CEssCKPX/5z8AAAAAGAAAAPwIAPwAAgAAAAAAAPC/AvaCDnHayATAAnjZbAwMAPi/AAAAABgAAAD8CAD8AAIAAAAAAADwvwLK+tK/SS0PwALiQ/OHIADovwAAAAAYAAAA/AgA/AACAAAAAAAA8L8CynEu4UwtD8ACBhoLeN//5z8AAAAAASMAAAD8BAD8AAIAAAAAAADwvwJt0esr074TwAJAkNmDhJn1PwAAAAAcAAAA/AgA/AACAAAAAAAA8L8CbMHFs+DIBMACsxF0XPb/9z8AAAAAARAABAQAAAAAAAAACAQAAAAAAAAADAQAAAAAAAAAEAQAAAAAAAAQFAgABAQAAAAUGAQABAQAAAAQHAQABAQAAAAcIAgABAQAAAAgJAQABAQAAAAkGAgABAQAAAAgKAQABAQAAAAoLAgABAQAAAAsMAQABAQAAAAwNAQAAAAAAAAwOAgABAQAAAA4JAQABAQAAAAAAAAA</t>
        </r>
      </text>
    </comment>
    <comment ref="D86" authorId="0">
      <text>
        <r>
          <rPr>
            <sz val="9"/>
            <color indexed="81"/>
            <rFont val="Tahoma"/>
            <family val="2"/>
          </rPr>
          <t>Insight iXlW00004C0000086R0841462918S00000085P01160LAocjBAQBF1NjaVRlZ2ljLmRhdGEuTW9sZWN1bGUBbQF/ARJTY2lUZWdpYy5Nb2xlY3VsZQAAAQFkAv5qAQAAAAIAAgEQGAAAAPwIAPwAAgAAAAAAAPC/AjQGJ18qIQ9AArrAqIsACBXAAAAAABgAAAD8CAD8AAIAAAAAAADwvwLhHPomJmgUQAI07sPIxnwYwAAAAAAgAAAA/AgA/AACAAAAAAAA8L8CvqWKsbhlBUACdsC+6CN0GMAAAAAAGAAAAPwIAPwAAgAAAAAAAPC/AkiBctbdEAlAAvGc32aaKh7AAAAAABwAAAD8CAD8AAIAAAAAAADwvwJ4rnaLbIgSQAJpcczL8C8ewAAAAAAYAAAA/AgA/AACAAAAAAAA8L8CysjafYklD0ACOimSpFEODsAAAAAAIAAAAPwIAPwAAgAAAAAAAPC/AtxIOPMBvBNAAgJGSAc5RQnAAAAAABwAAAD8CAD8AAIAAAAAAADwvwI0UNOZz8IEQAIHLW/2AAgIwAAAAAAYAAAA/AQA/AACAAAAAAAA8L8CyRKHuC7HBEACmKlfB6MM+L8AAAAAGAAAAPwIAPwAAgAAAAAAAPC/Au5aiZ3eyPQ/AnvHq2L8/+e/AAAAABgAAAD8CAD8AAIAAAAAAADwvwIqitBa2Mj0PwLTYaISEgDoPwAAAAAYAAAA/AgA/AACAAAAAAAA8L8CgUmWpuix4L4COepvNAEA+D8AAAAAGAAAAPwIAPwAAgAAAAAAAPC/AgS0xbPgyPS/AhLLAij1/+c/AAAAABgAAAD8CAD8AAIAAAAAAADwvwIDxg5x2sj0vwLWkvvXCgDovwAAAAABIwAAAPwEAPwAAgAAAAAAAPC/AnS7Gi7EtALAAqpGm+CimfW/AAAAABwAAAD8CAD8AAIAAAAAAADwvwIgioqm6LHQPgLyAHE0AQD4vwAAAAABEQAECAAEBAAAAAAIBAAEBAAAAAgMBAAEBAAAAAwQCAAEBAAAABAEBAAEBAAAAAAUBAAAAAAAABQYCAAAAAAAABQcBAAAAAAAABwgBAAAAAAAACAkBAAAAAAAACQoCAAEBAAAACgsBAAEBAAAACwwCAAEBAAAADA0BAAEBAAAADQ4BAAAAAAAADQ8CAAEBAAAADwkBAAEBAAAAAAAAAA=</t>
        </r>
      </text>
    </comment>
    <comment ref="D87" authorId="0">
      <text>
        <r>
          <rPr>
            <sz val="9"/>
            <color indexed="81"/>
            <rFont val="Tahoma"/>
            <family val="2"/>
          </rPr>
          <t>Insight iXlW00004C0000087R0841462918S00000086P01240LAocjBAQBF1NjaVRlZ2ljLmRhdGEuTW9sZWN1bGUBbQF/ARJTY2lUZWdpYy5Nb2xlY3VsZQAAAQFkAv5qAQAAAAIAAgERGAAAAPwIAPwAAgAAAAAAAPC/Au5aiZ3eyPQ/AnvHq2L8/+e/AAAAABgAAAD8CAD8AAIAAAAAAADwvwIqitBa2Mj0PwLTYaISEgDoPwAAAAAYAAAA/AgA/AACAAAAAAAA8L8CgUmWpuix4L4COepvNAEA+D8AAAAAHAAAAPwIAPwAAgAAAAAAAPC/AuSyO5sB79O/AsRIK4JguwdAAAAAACAAAAD8BAD8AAIAAAAAAADwvwKAmNai+AvmPwKN29XExFMQQAAAAAAYAAAA/AgA/AACAAAAAAAA8L8CZr4uBU+YzD8CGksyw8wIFkAAAAAAHAAAAPwIAPwAAgAAAAAAAPC/AmK9xn71kvM/Aikca2y6gRpAAAAAABgAAAD8CAD8AAIAAAAAAADwvwKnwf9LTyroPwLWya2+fRogQAAAAAAYAAAA/AgA/AACAAAAAAAA8L8CVVctZIDR5r8C0+GHb7K3IEAAAAAAASMAAAD8BAD8AAIAAAAAAADwvwKR5RLj/GbxvwLiE5UgZv8iQAAAAAAYAAAA/AgA/AACAAAAAAAA8L8CJQY5jdxo+78CMPpkT432HEAAAAAAHAAAAPwIAPwAAgAAAAAAAPC/AnxgiasS6/O/Am6CE+tLQxdAAAAAABwAAAD8CAD8AAIAAAAAAADwvwKuW0hpGdr8vwLQcOe9dvwIQAAAAAAcAAAA/AgA/AACAAAAAAAA8L8C8u65ZYZOA8AC8cM8QBYM/D8AAAAAGAAAAPwIAPwAAgAAAAAAAPC/AgS0xbPgyPS/AhLLAij1/+c/AAAAABgAAAD8CAD8AAIAAAAAAADwvwIDxg5x2sj0vwLWkvvXCgDovwAAAAAYAAAA/AgA/AACAAAAAAAA8L8CIIqKpuix0D4C8gBxNAEA+L8AAAAAARMABAgABAQAAAAECAQABAQAAAAIDAQABAQAAAAMEAQAAAAAAAAQFAQAAAAAAAAUGAgABAQAAAAYHAQABAQAAAAcIAgABAQAAAAgJAQAAAAAAAAgKAQABAQAAAAoLAgABAQAAAAsFAQABAQAAAAMMAQABAQAAAAwNAgABAQAAAAIOAgABAQAAAA4NAQABAQAAAA4PAQABAQAAAA8ARAIAAQEAAAAARAABAAEBAAAAAAAAAA=</t>
        </r>
      </text>
    </comment>
    <comment ref="D88" authorId="0">
      <text>
        <r>
          <rPr>
            <sz val="9"/>
            <color indexed="81"/>
            <rFont val="Tahoma"/>
            <family val="2"/>
          </rPr>
          <t>Insight iXlW00004C0000088R0841462918S00000087P01228LAocjBAQBF1NjaVRlZ2ljLmRhdGEuTW9sZWN1bGUBbQF/ARJTY2lUZWdpYy5Nb2xlY3VsZQAAAQFkAv5qAQAAAAIAAgERGAAAAPwIAPwAAgAAAAAAAPC/Au5aiZ3eyPQ/AnvHq2L8/+e/AAAAABgAAAD8CAD8AAIAAAAAAADwvwIqitBa2Mj0PwLTYaISEgDoPwAAAAABIwAAAPwEAPwAAgAAAAAAAPC/AsZrIrjCtAJAAnYBEPCnmfU/AAAAABwAAAD8CAD8AAIAAAAAAADwvwKBSZam6LHgvgI56m80AQD4PwAAAAAYAAAA/AgA/AACAAAAAAAA8L8CBLTFs+DI9L8CEssCKPX/5z8AAAAAGAAAAPwEAPwAAgAAAAAAAPC/AtwMWy+DzQTAAlIEcK219vc/AAAAABwAAAD8CAD8AAIAAAAAAADwvwLj9VTlNDEPwAIci5ax1trnPwAAAAAcAAAA/AgA/AACAAAAAAAA8L8CKr6Ad6ACFcAC+HjJcdPJ9T8AAAAAHAAAAPwIAPwAAgAAAAAAAPC/AraXjIFuAhnAAuIffvpILc8/AAAAABgAAAD8CAD8AAIAAAAAAADwvwJm/lmhzv0VwAJil1QEetjwvwAAAAAYAAAA/AgA/AACAAAAAAAA8L8C5rx/FwdmGMACxC0JfEZmA8AAAAAAIAAAAPwEAPwAAgAAAAAAAPC/Akwb+M6V2BTAAv6ZwBUFFA3AAAAAABgAAAD8BAD8AAIAAAAAAADwvwLbp3qGI8YWwAIlMkmCVe8SwAAAAAAgAAAA/AgA/AACAAAAAAAA8L8C8aCZFGgrHcACinhkA/dzBMAAAAAAGAAAAPwIAPwAAgAAAAAAAPC/Ai50+xZ+IBDAAlAT1K1VjOe/AAAAABgAAAD8CAD8AAIAAAAAAADwvwIDxg5x2sj0vwLWkvvXCgDovwAAAAAYAAAA/AgA/AACAAAAAAAA8L8CIIqKpuix0D4C8gBxNAEA+L8AAAAAARIABAgABAQAAAAECAQAAAAAAAAEDAQABAQAAAAMEAgABAQAAAAQFAQAAAAAAAAUGAQAAAAAAAAYHAQABAQAAAAcIAgABAQAAAAgJAQABAQAAAAkKAQAAAAAAAAoLAQAAAAAAAAsMAQAAAAAAAAoNAgAAAAAAAAkOAgABAQAAAA4GAQABAQAAAAQPAQABAQAAAA8ARAIAAQEAAAAARAABAAEBAAAAAAAAAA=</t>
        </r>
      </text>
    </comment>
    <comment ref="D89" authorId="0">
      <text>
        <r>
          <rPr>
            <sz val="9"/>
            <color indexed="81"/>
            <rFont val="Tahoma"/>
            <family val="2"/>
          </rPr>
          <t>Insight iXlW00004C0000089R0841462918S00000088P01216LAocjBAQBF1NjaVRlZ2ljLmRhdGEuTW9sZWN1bGUBbQF/ARJTY2lUZWdpYy5Nb2xlY3VsZQAAAQFkAv5qAQAAAAIAAgERIAAAAPwEAPwAAgAAAAAAAPC/AswSh7guxwRAAo6pXwejDPi/AAAAABgAAAD8BAD8AAIAAAAAAADwvwI8UNOZz8IEQAICLW/2AAgIwAAAAAAYAAAA/AQA/AACAAAAAAAA8L8C1MjafYklD0ACMimSpFEODsAAAAAAGAAAAPwEAPwAAgAAAAAAAPC/AkQGJ18qIQ9AArbAqIsACBXAAAAAABgAAAD8BAD8AAIAAAAAAADwvwJaPZH2r84GQAJWsk3ajGwXwAAAAAAYAAAA/AgA/AACAAAAAAAA8L8Cbj+XIfLBFEACzT664igLGMAAAAAAIAAAAPwEAPwAAgAAAAAAAPC/AiZePZLCvxRAAurqGZwADB7AAAAAABgAAAD8BAD8AAIAAAAAAADwvwK0ZmiSquYYQAJ+QXB2SzogwAAAAAAgAAAA/AgA/AACAAAAAAAA8L8C5CPiVS/rGEACL00VlJymFcAAAAAAGAAAAPwEAPwAAgAAAAAAAPC/AjYW8ELE0gZAApUWEa/rnxLAAAAAABgAAAD8CAD8AAIAAAAAAADwvwLuWomd3sj0PwJ7x6ti/P/nvwAAAAAYAAAA/AgA/AACAAAAAAAA8L8CKorQWtjI9D8C02GiEhIA6D8AAAAAGAAAAPwIAPwAAgAAAAAAAPC/AoFJlqboseC+AjnqbzQBAPg/AAAAABgAAAD8CAD8AAIAAAAAAADwvwIEtMWz4Mj0vwISywIo9f/nPwAAAAABIwAAAPwEAPwAAgAAAAAAAPC/AhMLjNDJtALAAsJo1VuPmfU/AAAAABwAAAD8CAD8AAIAAAAAAADwvwIDxg5x2sj0vwLWkvvXCgDovwAAAAAYAAAA/AgA/AACAAAAAAAA8L8CIIqKpuix0D4C8gBxNAEA+L8AAAAAAREABAQAAAAAAAAECAQAAAAAAAAIDAQAAAAAAAAMEAQAAAAAAAAMFAQAAAAAAAAUGAQAAAAAAAAYHAQAAAAAAAAUIAgAAAAAAAAMJAQAAAAAAAAAKAQAAAAAAAAoLAgABAQAAAAsMAQABAQAAAAwNAgABAQAAAA0OAQAAAAAAAA0PAQABAQAAAA8ARAIAAQEAAAAARAoBAAEBAAAAAAAAAA=</t>
        </r>
      </text>
    </comment>
    <comment ref="D90" authorId="0">
      <text>
        <r>
          <rPr>
            <sz val="9"/>
            <color indexed="81"/>
            <rFont val="Tahoma"/>
            <family val="2"/>
          </rPr>
          <t>Insight iXlW00004C0000090R0841462918S00000089P01148LAocjBAQBF1NjaVRlZ2ljLmRhdGEuTW9sZWN1bGUBbQF/ARJTY2lUZWdpYy5Nb2xlY3VsZQAAAQFkAv5qAQAAAAIAAgEQHAAAAPwIAPwAAgAAAAAAAPC/Ak29ob4FAOg/AlbWXOg9hPC/AAAAABgAAAD8BAD8AAIAAAAAAADwvwLwxWO3eyH6PwLSB/6nxPABwAAAAAAYAAAA/AQA/AACAAAAAAAA8L8CJwADRYGcBkACziH4I1nsAMAAAAAAGAAAAPwEAPwAAgAAAAAAAPC/AspP/J80WvI/At/jN7intwrAAAAAABgAAAD8CAD8AAIAAAAAAADwvwK0X5AAmGrzPwLnURi0UDzZPwAAAAAYAAAA/AgA/AACAAAAAAAA8L8CtsxbKjVn3L4CojmmAmdq9D8AAAAAGAAAAPwIAPwAAgAAAAAAAPC/ArXvB2ScavO/ArzdcK0aPNk/AAAAABgAAAD8CAD8AAIAAAAAAADwvwLiiF1B+v/nvwJWytYUQoTwvwAAAAAYAAAA/AgA/AACAAAAAAAA8L8CehiYi24h+r8CuCtffsnwAcAAAAAAHAAAAPwIAPwAAgAAAAAAAPC/AtLBDdYZAQnAAp0WFOIZqwDAAAAAABgAAAD8BAD8AAIAAAAAAADwvwLeyE/gdQoQwAIUcek7BF4KwAAAAAAYAAAA/AQA/AACAAAAAAAA8L8CqKNwKKcCFsAC+Fuen1QYCcAAAAAAARAAAAD8BAD8AAIAAAAAAADwvwKfi7kdkIwZwAI427l8n2URwAAAAAAYAAAA/AQA/AACAAAAAAAA8L8CiIBoBHJSHsACL6EokGvjEMAAAAAAIAAAAPwIAPwAAgAAAAAAAPC/AjncsbUgWvK/Aiy4EhCrtwrAAAAAAAEjAAAA/AQA/AACAAAAAAAA8L8CNODEbrqO674CxCHsGs3OA0AAAAAAARAABAQAAAAAAAAECAQAAAAAAAAEDAQAAAAAAAAAEAQABAQAAAAQFAgABAQAAAAUGAQABAQAAAAYHAgABAQAAAAcAAQABAQAAAAcIAQAAAAAAAAgJAQAAAAAAAAkKAQAAAAAAAAoLAQAAAAAAAAsMAQAAAAAAAAwNAQAAAAAAAAgOAgAAAAAAAAUPAQAAAAAAAAAAAAA</t>
        </r>
      </text>
    </comment>
    <comment ref="D91" authorId="0">
      <text>
        <r>
          <rPr>
            <sz val="9"/>
            <color indexed="81"/>
            <rFont val="Tahoma"/>
            <family val="2"/>
          </rPr>
          <t>Insight iXlW00004C0000091R0841462918S00000090P01364LAocjBAQBF1NjaVRlZ2ljLmRhdGEuTW9sZWN1bGUBbQF/ARJTY2lUZWdpYy5Nb2xlY3VsZQAAAQFkAv5qAQAAAAIAAgETGAAAAPwIAPwAAgAAAAAAAPC/Au5aiZ3eyPQ/AnvHq2L8/+e/AAAAABgAAAD8CAD8AAIAAAAAAADwvwIqitBa2Mj0PwLTYaISEgDoPwAAAAAYAAAA/AQA/AACAAAAAAAA8L8CiOOJLE7KBEACJJDLksEB+D8AAAAAJAAAAPwEAPwAAgAAAAAAAPC/AsSTtJRvGw1AAp+FtN3D1ew/AAAAACQAAAD8BAD8AAIAAAAAAADwvwIi9F7MgskEQALlIJVaepoFQAAAAAAkAAAA/AQA/AACAAAAAAAA8L8CknGtnQ4aDUACvHp0ErTOAEAAAAAAGAAAAPwIAPwAAgAAAAAAAPC/AoFJlqboseC+AjnqbzQBAPg/AAAAABgAAAD8CAD8AAIAAAAAAADwvwIEtMWz4Mj0vwISywIo9f/nPwAAAAAcAAAA/AQA/AACAAAAAAAA8L8C3AxbL4PNBMACUgRwrbX29z8AAAAAGAAAAPwIAPwAAgAAAAAAAPC/AuP1VOU0MQ/AAhyLlrHW2uc/AAAAABgAAAD8CAD8AAIAAAAAAADwvwLQwnNoi80UwAJuacVvuNr3PwAAAAAYAAAA/AgA/AACAAAAAAAA8L8CQNXiWBf9GcACqhkmOp2Q5z8AAAAAGAAAAPwEAPwAAgAAAAAAAPC/AtxsqIdiJx7AAmzroxYmU/U/AAAAABgAAAD8CAD8AAIAAAAAAADwvwJ6n8SRxfcZwAKgqpHoT2/ovwAAAAAYAAAA/AgA/AACAAAAAAAA8L8Cwpyu2efCFMACrPXTGzcl+L8AAAAAASMAAAD8BAD8AAIAAAAAAADwvwKTRm/Ypr4UwALrwGViMawFwAAAAAAcAAAA/AgA/AACAAAAAAAA8L8Cct7GxbYmD8ACKPg0yaEl6L8AAAAAHAAAAPwIAPwAAgAAAAAAAPC/AgPGDnHayPS/AtaS+9cKAOi/AAAAABgAAAD8CAD8AAIAAAAAAADwvwIgioqm6LHQPgLyAHE0AQD4vwAAAAABFAAECAAEBAAAAAQIBAAAAAAAAAgMBAAAAAAAAAgQBAAAAAAAAAgUBAAAAAAAAAQYBAAEBAAAABgcCAAEBAAAABwgBAAAAAAAACAkBAAAAAAAACQoCAAEBAAAACgsBAAEBAAAACwwBAAAAAAAACw0CAAEBAAAADQ4BAAEBAAAADg8BAAAAAAAADgBEAgABAQAAAABECQEAAQEAAAAHAERBAAEBAAAAAERARIIAAQEAAAAARIABAAEBAAAAAAAAAA=</t>
        </r>
      </text>
    </comment>
    <comment ref="D92" authorId="0">
      <text>
        <r>
          <rPr>
            <sz val="9"/>
            <color indexed="81"/>
            <rFont val="Tahoma"/>
            <family val="2"/>
          </rPr>
          <t>Insight iXlW00004C0000092R0841462918S00000091P01432LAocjBAQBF1NjaVRlZ2ljLmRhdGEuTW9sZWN1bGUBbQF/ARJTY2lUZWdpYy5Nb2xlY3VsZQAAAQFkAv5qAQAAAAIAAgEUGAAAAPwIAPwAAgAAAAAAAPC/AskSh7guxwRAApipXwejDPi/AAAAACAAAAD8CAD8AAIAAAAAAADwvwK52xwhqRkNQAJexpeZ4/TsvwAAAAAgAAAA/AQA/AACAAAAAAAA8L8CNFDTmc/CBEACBy1v9gAICMAAAAAAGAAAAPwEAPwAAgAAAAAAAPC/AsrI2n2JJQ9AAjopkqRRDg7AAAAAABgAAAD8BAD8AAIAAAAAAADwvwKy7P6vCiIPQAIa+aJN9dMTwAAAAAAYAAAA/AQA/AACAAAAAAAA8L8Ca9wIzfe5E0ACwL7grj1vEcAAAAAAGAAAAPwEAPwAAgAAAAAAAPC/AtxIOPMBvBNAAgJGSAc5RQnAAAAAABwAAAD8CAD8AAIAAAAAAADwvwLuWomd3sj0PwJ7x6ti/P/nvwAAAAAYAAAA/AQA/AACAAAAAAAA8L8CKorQWtjI9D8C02GiEhIA6D8AAAAAGAAAAPwEAPwAAgAAAAAAAPC/AoFJlqboseC+AjnqbzQBAPg/AAAAABgAAAD8BAD8AAIAAAAAAADwvwIgioqm6LHQPgLyAHE0AQD4vwAAAAAYAAAA/AQA/AACAAAAAAAA8L8CA8YOcdrI9L8C1pL71woA6L8AAAAAHAAAAPwEAPwAAgAAAAAAAPC/AgS0xbPgyPS/AhLLAij1/+c/AAAAABgAAAD8CAD8AAIAAAAAAADwvwKm4j58NMoEwAJW1gCAfQH4PwAAAAAYAAAA/AgA/AACAAAAAAAA8L8C8gEhEEzPBMACRtSVOd8ACEAAAAAAGAAAAPwIAPwAAgAAAAAAAPC/AgTaoMYrNg/AAlmOXp6h/A1AAAAAABgAAAD8CAD8AAIAAAAAAADwvwLXoItuE8wUwAIQ78GcZfgHQAAAAAAYAAAA/AgA/AACAAAAAAAA8L8C0Kr2o6HJFMACLzduN83w9z8AAAAAHAAAAPwIAPwAAgAAAAAAAPC/As5Xz5tkLA/AAn/pXp+J8uc/AAAAAAEjAAAA/AQA/AACAAAAAAAA8L8Cps9Egjn1GMACaMueps7BDEAAAAAAARUABAgAAAAAAAAACAQAAAAAAAAIDAQAAAAAAAAMEAQAAAAAAAAMFAQAAAAAAAAMGAQAAAAAAAAAHAQAAAAAAAAcIAQABAAAAAAgJAQABAAAAAAcKAQABAAAAAAoLAQABAAAAAAsMAQABAAAAAAwJAQABAAAAAAwNAQAAAAAAAA0OAgABAQAAAA4PAQABAQAAAA8ARAIAAQEAAAAARABEQQABAQAAAABEQESCAAEBAAAAAESNAQABAQAAAABEAETBAAAAAAAAAAAAAA=</t>
        </r>
      </text>
    </comment>
    <comment ref="D93" authorId="0">
      <text>
        <r>
          <rPr>
            <sz val="9"/>
            <color indexed="81"/>
            <rFont val="Tahoma"/>
            <family val="2"/>
          </rPr>
          <t>Insight iXlW00004C0000093R0841462918S00000092P01428LAocjBAQBF1NjaVRlZ2ljLmRhdGEuTW9sZWN1bGUBbQF/ARJTY2lUZWdpYy5Nb2xlY3VsZQAAAQFkAv5qAQAAAAIAAgEUGAAAAPwEAPwAAgAAAAAAAPC/Au5aiZ3eyPQ/AnvHq2L8/+e/AAAAABwAAAD8BAD8AAIAAAAAAADwvwIqitBa2Mj0PwLTYaISEgDoPwAAAAAYAAAA/AgA/AACAAAAAAAA8L8CLOphqCzKBEACUmaUnZgB+D8AAAAAGAAAAPwIAPwAAgAAAAAAAPC/AkKkqSpDMQ9AAkaubM2XFOg/AAAAABgAAAD8CAD8AAIAAAAAAADwvwKtjQIzfcUEQAI4+QFr6QAIQAAAAAAYAAAA/AgA/AACAAAAAAAA8L8Cu0D8cHgnD0ACpKJuKCUFDkAAAAAAGAAAAPwIAPwAAgAAAAAAAPC/Aio6GAAsxxRAAkDRVX9iCQhAAAAAABwAAAD8CAD8AAIAAAAAAADwvwIWHWSunskUQAJiWAn+xhL4PwAAAAABIwAAAPwEAPwAAgAAAAAAAPC/An3BNJaOIw9AAjHA6fpezxNAAAAAABgAAAD8BAD8AAIAAAAAAADwvwKBSZam6LHgvgI56m80AQD4PwAAAAAYAAAA/AQA/AACAAAAAAAA8L8CBLTFs+DI9L8CEssCKPX/5z8AAAAAHAAAAPwIAPwAAgAAAAAAAPC/AgPGDnHayPS/AtaS+9cKAOi/AAAAABgAAAD8CAD8AAIAAAAAAADwvwJhQDqJKscEwALbDduhsQz4vwAAAAAgAAAA/AgA/AACAAAAAAAA8L8CbYuFoKYZDcACUVCjggz17L8AAAAAIAAAAPwEAPwAAgAAAAAAAPC/As5b5jHHwgTAAlStIkIICAjAAAAAABgAAAD8BAD8AAIAAAAAAADwvwIIlbD3fiUPwAIq9AGXXA4OwAAAAAAYAAAA/AQA/AACAAAAAAAA8L8CPTDOyfwhD8ACNkc9xvrTE8AAAAAAGAAAAPwEAPwAAgAAAAAAAPC/Aox5WrHxuRPAAp1d451EbxHAAAAAABgAAAD8BAD8AAIAAAAAAADwvwIJ8H2H/bsTwAJOQb3mRkUJwAAAAAAYAAAA/AQA/AACAAAAAAAA8L8CIIqKpuix0D4C8gBxNAEA+L8AAAAAARUABAQABAAAAAAECAQAAAAAAAAIDAgABAQAAAAIEAQABAQAAAAQFAgABAQAAAAUGAQABAQAAAAYHAgABAQAAAAcDAQABAQAAAAUIAQAAAAAAAAEJAQABAAAAAAkKAQABAAAAAAoLAQABAAAAAAsMAQAAAAAAAAwNAgAAAAAAAAwOAQAAAAAAAA4PAQAAAAAAAA8ARAEAAAAAAAAPAERBAAAAAAAADwBEgQAAAAAAAAsARMEAAQAAAAAARMABAAEAAAAAAAAAAA=</t>
        </r>
      </text>
    </comment>
    <comment ref="D94" authorId="0">
      <text>
        <r>
          <rPr>
            <sz val="9"/>
            <color indexed="81"/>
            <rFont val="Tahoma"/>
            <family val="2"/>
          </rPr>
          <t>Insight iXlW00004C0000094R0841462918S00000093P01512LAocjBAQBF1NjaVRlZ2ljLmRhdGEuTW9sZWN1bGUBbQF/ARJTY2lUZWdpYy5Nb2xlY3VsZQAAAQFkAv5qAQAAAAIAAgEVGAAAAPwIAPwAAgAAAAAAAPC/AvTI2n2JJQ9AAhQpkqRRDg7AAAAAACAAAAD8BAD8AAIAAAAAAADwvwJVUNOZz8IEQAL0LG/2AAgIwAAAAAAYAAAA/AQA/AACAAAAAAAA8L8C1BKHuC7HBEACcalfB6MM+L8AAAAAGAAAAPwIAPwAAgAAAAAAAPC/Au5aiZ3eyPQ/AnvHq2L8/+e/AAAAABgAAAD8CAD8AAIAAAAAAADwvwIqitBa2Mj0PwLTYaISEgDoPwAAAAAYAAAA/AgA/AACAAAAAAAA8L8CgUmWpuix4L4COepvNAEA+D8AAAAAGAAAAPwIAPwAAgAAAAAAAPC/AgS0xbPgyPS/AhLLAij1/+c/AAAAABgAAAD8CAD8AAIAAAAAAADwvwIDxg5x2sj0vwLWkvvXCgDovwAAAAAYAAAA/AgA/AACAAAAAAAA8L8CIIqKpuix0D4C8gBxNAEA+L8AAAAAHAAAAPwIAPwAAgAAAAAAAPC/AsStg0qoJQ9AAjsy60kxBxXAAAAAABgAAAD8CAD8AAIAAAAAAADwvwLgYzZLB8UUQALaEsoJOAcYwAAAAAAYAAAA/AgA/AACAAAAAAAA8L8CpN3eaEL3GUACXJHKFj8HFcAAAAAAGAAAAPwEAPwAAgAAAAAAAPC/AnYZfdDGKx9AAnCNH5b2BBjAAAAAABwAAAD8CAD8AAIAAAAAAADwvwLQ4ydb0i4iQAJ5RHa1rAIVwAAAAAAYAAAA/AgA/AACAAAAAAAA8L8CMO/GTNPjJEAC5C1Rzs95F8AAAAAAGAAAAPwIAPwAAgAAAAAAAPC/AjPwLxG+4yZAAhiDW+3LABPAAAAAAAEjAAAA/AQA/AACAAAAAAAA8L8Cj0l/tP5GKUACa0DFpwR9E8AAAAAAHAAAAPwIAPwAAgAAAAAAAPC/AjaEZnlyYSVAAnlcgit8ogvAAAAAABgAAAD8CAD8AAIAAAAAAADwvwLAFEckyXIiQALk35AakCsOwAAAAAAYAAAA/AgA/AACAAAAAAAA8L8CUm8i5kr3GUACoyWhLX4ODsAAAAAAGAAAAPwIAPwAAgAAAAAAAPC/AnBhvkUYxRRAAuvkOt9uDgjAAAAAAAEXAAQEAAAAAAAABAgEAAAAAAAACAwEAAAAAAAADBAIAAQEAAAAEBQEAAQEAAAAFBgIAAQEAAAAGBwEAAQEAAAAHCAIAAQEAAAAIAwEAAQEAAAAACQIAAQEAAAAJCgEAAQEAAAAKCwIAAQEAAAALDAEAAAAAAAAMDQEAAAAAAAANDgEAAQEAAAAODwIAAQEAAAAPAEQBAAAAAAAADwBEQQABAQAAAABEQESCAAEBAAAAAESNAQABAQAAAAsARMEAAQEAAAAARMBFAgABAQAAAABFAAEAAQEAAAAAAAAAA==</t>
        </r>
      </text>
    </comment>
    <comment ref="D95" authorId="0">
      <text>
        <r>
          <rPr>
            <sz val="9"/>
            <color indexed="81"/>
            <rFont val="Tahoma"/>
            <family val="2"/>
          </rPr>
          <t>Insight iXlW00004C0000095R0841462918S00000094P01376LAocjBAQBF1NjaVRlZ2ljLmRhdGEuTW9sZWN1bGUBbQF/ARJTY2lUZWdpYy5Nb2xlY3VsZQAAAQFkAv5qAQAAAAIAAgETGAAAAPwEAPwAAgAAAAAAAPC/Ao5TwO+NIR5AAsVc9pYhTgnAAAAAABgAAAD8CAD8AAIAAAAAAADwvwIc+KgfWPcZQALoCTfw1xMOwAAAAAAcAAAA/AgA/AACAAAAAAAA8L8CrbgFQzLHFEACu9eXck0JCMAAAAAAGAAAAPwEAPwAAgAAAAAAAPC/AowOOPagyRRAAnEIa6OVEvi/AAAAABgAAAD8BAD8AAIAAAAAAADwvwIotNOvQjEPQAJPh0XkVxTovwAAAAAcAAAA/AQA/AACAAAAAAAA8L8CHZuA6zLKBEACWrY67IIB+L8AAAAAGAAAAPwEAPwAAgAAAAAAAPC/Au5aiZ3eyPQ/AnvHq2L8/+e/AAAAABgAAAD8BAD8AAIAAAAAAADwvwIqitBa2Mj0PwLTYaISEgDoPwAAAAAYAAAA/AgA/AACAAAAAAAA8L8CgUmWpuix4L4COepvNAEA+D8AAAAAGAAAAPwIAPwAAgAAAAAAAPC/AgS0xbPgyPS/AhLLAij1/+c/AAAAABwAAAD8CAD8AAIAAAAAAADwvwIb+WE9hk4DwAK6uRbqFwz8PwAAAAAYAAAA/AgA/AACAAAAAAAA8L8C5LmuSBXa/L8CWrOUuXb8CEAAAAAAASMAAAD8BAD8AAIAAAAAAADwvwI8xbYX2jkDwAIEbSeiZqYQQAAAAAABEAAAAPwEAPwAAgAAAAAAAPC/Ai8cdtfy7tO/AjNWo2peuwdAAAAAABgAAAD8BAD8AAIAAAAAAADwvwIDxg5x2sj0vwLWkvvXCgDovwAAAAAYAAAA/AQA/AACAAAAAAAA8L8CIIqKpuix0D4C8gBxNAEA+L8AAAAAGAAAAPwEAPwAAgAAAAAAAPC/AkcVubSJxQRAAhI9vo3eAAjAAAAAABgAAAD8BAD8AAIAAAAAAADwvwL8k3vlhycPQAKC6J80FQUOwAAAAAAgAAAA/AgA/AACAAAAAAAA8L8CdTEXUKXzGUAC8NIjWLfWE8AAAAAAARUABAQAAAAAAAAECAQAAAAAAAAIDAQABAAAAAAMEAQABAAAAAAQFAQABAAAAAAUGAQAAAAAAAAYHAQABAAAAAAcIAQABAAAAAAgJAgABAQAAAAkKAQABAQAAAAoLAgABAQAAAAsMAQAAAAAAAAsNAQABAQAAAA0IAQABAQAAAAkOAQABAAAAAA4PAQABAAAAAA8GAQABAAAAAAUARAEAAQAAAAAARABEQQABAAAAAABEQgEAAQAAAAABAESCAAAAAAAAAAAAAA=</t>
        </r>
      </text>
    </comment>
    <comment ref="D96" authorId="0">
      <text>
        <r>
          <rPr>
            <sz val="9"/>
            <color indexed="81"/>
            <rFont val="Tahoma"/>
            <family val="2"/>
          </rPr>
          <t>Insight iXlW00004C0000096R0841462918S00000095P01512LAocjBAQBF1NjaVRlZ2ljLmRhdGEuTW9sZWN1bGUBbQF/ARJTY2lUZWdpYy5Nb2xlY3VsZQAAAQFkAv5qAQAAAAIAAgEVHAAAAPwIAPwAAgAAAAAAAPC/Au5aiZ3eyPQ/AnvHq2L8/+e/AAAAABgAAAD8CAD8AAIAAAAAAADwvwIqitBa2Mj0PwLTYaISEgDoPwAAAAAcAAAA/AQA/AACAAAAAAAA8L8CfkI+2nrNBEACcsHyd9L29z8AAAAAGAAAAPwIAPwAAgAAAAAAAPC/ArC4ErowMQ9AAv5e2QYt2+c/AAAAABgAAAD8CAD8AAIAAAAAAADwvwIemJNDh80UQAKYzmf88dr3PwAAAAAYAAAA/AgA/AACAAAAAAAA8L8C4aaQSRX9GUAC8TXd+SyR5z8AAAAAGAAAAPwIAPwAAgAAAAAAAPC/ArmUM6fH9xlAAnWnMkbAbui/AAAAACAAAAD8BAD8AAIAAAAAAADwvwIzbKR7qSkfQAJ5mtksg0D4vwAAAAAYAAAA/AQA/AACAAAAAAAA8L8C7ppL+ompIUACPxKG4hlf7b8AAAAAGAAAAPwIAPwAAgAAAAAAAPC/As4jUf7rwhRAAhariaz9JPi/AAAAACAAAAD8BAD8AAIAAAAAAADwvwJZ7l/wdLoUQAKa6j3UKBQIwAAAAAAYAAAA/AQA/AACAAAAAAAA8L8CdhIjT02PEEAC9CEpgpHWDMAAAAAAGAAAAPwIAPwAAgAAAAAAAPC/AsUy8eO6Jg9AAj+bFZFLJei/AAAAABgAAAD8CAD8AAIAAAAAAADwvwKBSZam6LHgvgI56m80AQD4PwAAAAAcAAAA/AgA/AACAAAAAAAA8L8C5LI7mwHv078CxEgrgmC7B0AAAAAAGAAAAPwIAPwAAgAAAAAAAPC/Aq5bSGkZ2vy/AtBw5712/AhAAAAAABgAAAD8CAD8AAIAAAAAAADwvwLy7rllhk4DwALxwzxAFgz8PwAAAAAcAAAA/AgA/AACAAAAAAAA8L8CBLTFs+DI9L8CEssCKPX/5z8AAAAAGAAAAPwIAPwAAgAAAAAAAPC/AgPGDnHayPS/AtaS+9cKAOi/AAAAABgAAAD8CAD8AAIAAAAAAADwvwIgioqm6LHQPgLyAHE0AQD4vwAAAAABIwAAAPwEAPwAAgAAAAAAAPC/Ah+WJ4AIDd4+Aun00TOamQXAAAAAAAEXAAQIAAQEAAAABAgEAAAAAAAACAwEAAAAAAAADBAIAAQEAAAAEBQEAAQEAAAAFBgIAAQEAAAAGBwEAAAAAAAAHCAEAAAAAAAAGCQEAAQEAAAAJCgEAAAAAAAAKCwEAAAAAAAAJDAIAAQEAAAAMAwEAAQEAAAABDQEAAQEAAAANDgIAAQEAAAAODwEAAQEAAAAPAEQCAAEBAAAADQBEQQABAQAAAABEQEQBAAEBAAAAAERARIEAAQEAAAAARIBEwgABAQAAAABEwAEAAQEAAAAARMBFAQAAAAAAAAAAAAA</t>
        </r>
      </text>
    </comment>
    <comment ref="D97" authorId="0">
      <text>
        <r>
          <rPr>
            <sz val="9"/>
            <color indexed="81"/>
            <rFont val="Tahoma"/>
            <family val="2"/>
          </rPr>
          <t>Insight iXlW00004C0000097R0841462918S00000096P01564LAocjBAQBF1NjaVRlZ2ljLmRhdGEuTW9sZWN1bGUBbQF/ARJTY2lUZWdpYy5Nb2xlY3VsZQAAAQFkAv5qAQAAAAIBAgEWGAgAAPwEAPwAAgAAAAAAAPC/Au5aiZ3eyPQ/AnvHq2L8/+e/AAAAABgAAAD8BAD8AAIAAAAAAADwvwIqitBa2Mj0PwLTYaISEgDoPwAAAAAYCAAA/AQA/AACAAAAAAAA8L8CgUmWpuix4L4COepvNAEA+D8AAAAAGAAAAPwEAPwAAgAAAAAAAPC/AkJBHuoUs/C+AnGPNdqwAQhAAAAAABgAAAD8BAD8AAIAAAAAAADwvwKys7uki6HwvwLLxiH1zc0MQAAAAAAgAAAA/AQA/AACAAAAAAAA8L8CaCVhu1mg8L8CLHSDxYo0A0AAAAAAGAAAAPwIAPwAAgAAAAAAAPC/AhT82qDAyfQ/AuHTCLc8BA5AAAAAABgAAAD8CAD8AAIAAAAAAADwvwLmO+g8TcoEQAI4aPzM7wUIQAAAAAAYAAAA/AgA/AACAAAAAAAA8L8CqiVhVL4tD0ACVHGbrqUHDkAAAAAAGAAAAPwIAPwAAgAAAAAAAPC/AlodPk/FKw9AAhlHjMLSAxVAAAAAAAEjAAAA/AQA/AACAAAAAAAA8L8CcCJLs6m9E0ACYH5/8+dqF0AAAAAAGAAAAPwIAPwAAgAAAAAAAPC/Anx2bzJbxgRAAjbyM1f4AhhAAAAAABwAAAD8CAD8AAIAAAAAAADwvwIMIxgf0sX0PwJmcqNNHgIVQAAAAAAYAAAA/AQA/AACAAAAAAAA8L8CUg2VWsi0AkACwqlLa5SZ9b8AAAAAGAgAAPwEAPwAAgAAAAAAAPC/AiCKiqbosdA+AvIAcTQBAPi/AAAAABgAAAD8CAD8AAIAAAAAAADwvwKNsCwO2jhpvwL71+zetAEIwAAAAAAgAAAA/AQA/AACAAAAAAAA8L8CHE8XXsLc9L8CrO4E+cP+DcAAAAAAGAAAAPwEAPwAAgAAAAAAAPC/AuFXEXBl6fS/Aqs88UY5ABXAAAAAABgAAAD8BAD8AAIAAAAAAADwvwIxvfJhycYCwAKJHzFIHGUXwAAAAAAgAAAA/AgA/AACAAAAAAAA8L8CDxBxRcyP8D8CKZtXdDTSDMAAAAAAGAAAAPwEAPwAAgAAAAAAAPC/AgPGDnHayPS/AtaS+9cKAOi/AAAAABgAAAD8BAD8AAIAAAAAAADwvwIEtMWz4Mj0vwISywIo9f/nPwAAAAABFwAEBAAEAAAAAAQIBAAEAAAAAAgMBBQAAAAAAAwQBAAAAAAAAAwUBAAAAAAAAAwYBAAAAAAAABgcCAAEBAAAABwgBAAEBAAAACAkCAAEBAAAACQoBAAAAAAAACQsBAAEBAAAACwwCAAEBAAAADAYBAAEBAAAAAA0BBAAAAAAAAA4BAAEAAAAADg8BBAAAAAAADwBEAQAAAAAAAABEAERBAAAAAAAAAERARIEAAAAAAAAPAETCAAAAAAAADgBFAQABAAAAAABFAEVBAAEAAAAAAEVCAQABAAAAAAAAAAA</t>
        </r>
      </text>
    </comment>
    <comment ref="D98" authorId="0">
      <text>
        <r>
          <rPr>
            <sz val="9"/>
            <color indexed="81"/>
            <rFont val="Tahoma"/>
            <family val="2"/>
          </rPr>
          <t>Insight iXlW00004C0000098R0841462918S00000097P01648LAocjBAQBF1NjaVRlZ2ljLmRhdGEuTW9sZWN1bGUBbQF/ARJTY2lUZWdpYy5Nb2xlY3VsZQAAAQFkAv5qAQAAAAIAAgEXGAAAAPwIAPwAAgAAAAAAAPC/Au5aiZ3eyPQ/AnvHq2L8/+e/AAAAAAEjAAAA/AQA/AACAAAAAAAA8L8CUg2VWsi0AkACwqlLa5SZ9b8AAAAAGAAAAPwIAPwAAgAAAAAAAPC/AiqK0FrYyPQ/AtNhohISAOg/AAAAABgAAAD8CAD8AAIAAAAAAADwvwKBSZam6LHgvgI56m80AQD4PwAAAAAYAAAA/AgA/AACAAAAAAAA8L8CBLTFs+DI9L8CEssCKPX/5z8AAAAAGAAAAPwEAPwAAgAAAAAAAPC/AknKVDnhyATAAiakyY30//c/AAAAABgAAAD8BAD8AAIAAAAAAADwvwJIQbBa5MgEwAKMaeRG+v8HQAAAAAAYAAAA/AgA/AACAAAAAAAA8L8CInQoMPcxD8AC8bib01f7DUAAAAAAIAAAAPwIAPwAAgAAAAAAAPC/AiR1znBBNg/AAqNB6Dt4yhNAAAAAACAAAAD8BAD8AAIAAAAAAADwvwKULhFz1MoUwAKPWUmpsvYHQAAAAAAYAAAA/AQA/AACAAAAAAAA8L8CeBQtWUT0GMACZCQT5Bq/DEAAAAAAGAAAAPwIAPwAAgAAAAAAAPC/Atohj1rwyPS/AuSrG5f9/w1AAAAAACAAAAD8CAD8AAIAAAAAAADwvwKoDh8I98j0vwJrWFqYy8wTQAAAAAAcAAAA/AgA/AACAAAAAAAA8L8CAADMiJRN774CPE+MgQEACEAAAAAAGAAAAPwEAPwAAgAAAAAAAPC/AskGomRpxfQ/AlwDWvFYBg5AAAAAABgAAAD8CAD8AAIAAAAAAADwvwIb5OmZn7z0PwL5y/4wBAQVQAAAAAAYAAAA/AgA/AACAAAAAAAA8L8CaAlIlV69BEACCMosVrcIGEAAAAAAGAAAAPwIAPwAAgAAAAAAAPC/Ai6SLHq5sgRAAvHH0/m0CB5AAAAAABgAAAD8CAD8AAIAAAAAAADwvwLVgYOJ+pH0PwKHdcILDIIgQAAAAAAYAAAA/AgA/AACAAAAAAAA8L8CABtuNOEahr8CBdE03n3/HUAAAAAAGAAAAPwIAPwAAgAAAAAAAPC/AgC0Paq473a/Aq/1oDmA/xdAAAAAABwAAAD8CAD8AAIAAAAAAADwvwIDxg5x2sj0vwLWkvvXCgDovwAAAAAYAAAA/AgA/AACAAAAAAAA8L8CIIqKpuix0D4C8gBxNAEA+L8AAAAAARkABAQAAAAAAAAACAgABAQAAAAIDAQABAQAAAAMEAgABAQAAAAQFAQABAAAAAAUGAQABAAAAAAYHAQAAAAAAAAcIAgAAAAAAAAcJAQAAAAAAAAkKAQAAAAAAAAYLAQABAAAAAAsMAgAAAAAAAAsNAQABAAAAAA0DAQABAAAAAA0OAQAAAAAAAA4PAQAAAAAAAA8ARAIAAQEAAAAARABEQQABAQAAAABEQESCAAEBAAAAAESARMEAAQEAAAAARMBFAgABAQAAAABFDwEAAQEAAAAEAEVBAAEBAAAAAEVARYIAAQEAAAAARYABAAEBAAAAAAAAAA=</t>
        </r>
      </text>
    </comment>
    <comment ref="D99" authorId="0">
      <text>
        <r>
          <rPr>
            <sz val="9"/>
            <color indexed="81"/>
            <rFont val="Tahoma"/>
            <family val="2"/>
          </rPr>
          <t>Insight iXlW00004C0000099R0841462918S00000098P01496LAocjBAQBF1NjaVRlZ2ljLmRhdGEuTW9sZWN1bGUBbQF/ARJTY2lUZWdpYy5Nb2xlY3VsZQAAAQFkAv5qAQAAAAIBAgEVGAAAAPwEAPwAAgAAAAAAAPC/Au5aiZ3eyPQ/AnvHq2L8/+e/AAAAABgIAAD8BAD8AAIAAAAAAADwvwIqitBa2Mj0PwLTYaISEgDoPwAAAAAgAAAA/AQA/AACAAAAAAAA8L8CnojBoCyXAkACiO739EwVwD8AAAAAGAAAAPwIAPwAAgAAAAAAAPC/AiMoBUpiOvQ/AiTu3NR/1wFAAAAAAAEQAAAA/AQA/AACAAAAAAAA8L8CABWdivqanz8CyC5mHV99CEAAAAAAGAAAAPwIAPwAAgAAAAAAAPC/AvA3UzcDfd0/AoSFGAVB/hFAAAAAAAEjAAAA/AQA/AACAAAAAAAA8L8CFF1JcboZ0b8CiEBljyLPFUAAAAAAGAAAAPwIAPwAAgAAAAAAAPC/Aozy6NqOXf8/An3U1CVVIhJAAAAAABwAAAD8CAD8AAIAAAAAAADwvwLw97EtcqgDQAJhyMjjH/IIQAAAAAAYAAAA/AQA/AACAAAAAAAA8L8CgUmWpuix4L4COepvNAEA+D8AAAAAGAwAAPwEAPwAAgAAAAAAAPC/AgS0xbPgyPS/AhLLAij1/+c/AAAAABgAAAD8BAD8AAIAAAAAAADwvwITC4zQybQCwALCaNVbj5n1PwAAAAAYDAAA/AQA/AACAAAAAAAA8L8CA8YOcdrI9L8C1pL71woA6L8AAAAAGAAAAPwIAPwAAgAAAAAAAPC/AvCxDe98zQTAAoTRPmLL9ve/AAAAACAAAAD8BAD8AAIAAAAAAADwvwJfEM7IMTEPwAK9oKXJF9vnvwAAAAAYAAAA/AQA/AACAAAAAAAA8L8CsNBTmB7NFMACLPZ/B0rk978AAAAAGAAAAPwEAPwAAgAAAAAAAPC/AjDuquxq9BjAAqY1iCpKiey/AAAAABgAAAD8BAD8AAIAAAAAAADwvwIcGJE3Qc8UwAIQcTCqvYsFwAAAAAAgAAAA/AgA/AACAAAAAAAA8L8CzECILcLRBMACvN6PV/6UBcAAAAAAGAgAAPwEAPwAAgAAAAAAAPC/AiCKiqbosdA+AvIAcTQBAPi/AAAAABgAAAD8BAD8AAIAAAAAAADwvwIflieACA3ePgLp9NEzmpkFwAAAAAABFgAEBAAEAAAAAAQIBBAAAAAAAAQMBAAAAAAAAAwQBAAEBAAAABAUBAAEBAAAABQYBAAAAAAAABQcCAAEBAAAABwgBAAEBAAAACAMCAAEBAAAAAQkBAAEAAAAACQoBAAEAAAAACgsBBAAAAAAACgwBAAEAAAAADA0BBAAAAAAADQ4BAAAAAAAADg8BAAAAAAAADwBEAQAAAAAAAA8AREEAAAAAAAANAESCAAAAAAAADABEwQABAAAAAABEwAEAAQAAAAAARMBFAQQAAAAAAAAAAAA</t>
        </r>
      </text>
    </comment>
    <comment ref="D100" authorId="0">
      <text>
        <r>
          <rPr>
            <sz val="9"/>
            <color indexed="81"/>
            <rFont val="Tahoma"/>
            <family val="2"/>
          </rPr>
          <t>Insight iXlW00004C0000100R0841462918S00000099P01636LAocjBAQBF1NjaVRlZ2ljLmRhdGEuTW9sZWN1bGUBbQF/ARJTY2lUZWdpYy5Nb2xlY3VsZQAAAQFkAv5qAQAAAAIAAgEXGAAAAPwIAPwAAgAAAAAAAPC/Au5aiZ3eyPQ/AnvHq2L8/+e/AAAAABgAAAD8CAD8AAIAAAAAAADwvwIqitBa2Mj0PwLTYaISEgDoPwAAAAAYAAAA/AQA/AACAAAAAAAA8L8CxmsiuMK0AkACdgEQ8KeZ9T8AAAAAGAAAAPwIAPwAAgAAAAAAAPC/AoFJlqboseC+AjnqbzQBAPg/AAAAABgAAAD8CAD8AAIAAAAAAADwvwIEtMWz4Mj0vwISywIo9f/nPwAAAAAcAAAA/AgA/AACAAAAAAAA8L8C3AxbL4PNBMACUgRwrbX29z8AAAAAARAAAAD8BAD8AAIAAAAAAADwvwLkFiAaM9kEwAIqDLgSC/0HQAAAAAAgAAAA/AgA/AACAAAAAAAA8L8CwjZehW0tDcACfd0cSxfDDEAAAAAAIAAAAPwIAPwAAgAAAAAAAPC/AvsRKcdg4QTAAqNpP5hQyxBAAAAAABgAAAD8BAD8AAIAAAAAAADwvwI2rHzdTRr5vwJ5SLZQQdEMQAAAAAAYAAAA/AgA/AACAAAAAAAA8L8C4/VU5TQxD8ACHIuWsdba5z8AAAAAGAAAAPwIAPwAAgAAAAAAAPC/AtDCc2iLzRTAAm5pxW+42vc/AAAAABgAAAD8CAD8AAIAAAAAAADwvwJA1eJYF/0ZwAKqGSY6nZDnPwAAAAAYAAAA/AQA/AACAAAAAAAA8L8Cy/FU3rAyH8AC0HSEnIm39z8AAAAAJAAAAPwEAPwAAgAAAAAAAPC/AriPCvK5Nx/AAq7Qih9ZdQVAAAAAACQAAAD8BAD8AAIAAAAAAADwvwLrPCMmRKwhwAKoF6MruRvsPwAAAAAkAAAA/AQA/AACAAAAAAAA8L8Cyg3oMaOuIcACPB2PzyygAEAAAAAAGAAAAPwIAPwAAgAAAAAAAPC/AnqfxJHF9xnAAqCqkehPb+i/AAAAABgAAAD8CAD8AAIAAAAAAADwvwLCnK7Z58IUwAKs9dMbNyX4vwAAAAAcAAAA/AgA/AACAAAAAAAA8L8Cct7GxbYmD8ACKPg0yaEl6L8AAAAAHAAAAPwIAPwAAgAAAAAAAPC/AgPGDnHayPS/AtaS+9cKAOi/AAAAABgAAAD8CAD8AAIAAAAAAADwvwIgioqm6LHQPgLyAHE0AQD4vwAAAAABIwAAAPwEAPwAAgAAAAAAAPC/Ah+WJ4AIDd4+Aun00TOamQXAAAAAAAEYAAQIAAQEAAAABAgEAAAAAAAABAwEAAQEAAAADBAIAAQEAAAAEBQEAAAAAAAAFBgEAAAAAAAAGBwIAAAAAAAAGCAIAAAAAAAAGCQEAAAAAAAAFCgEAAAAAAAAKCwIAAQEAAAALDAEAAQEAAAAMDQEAAAAAAAANDgEAAAAAAAANDwEAAAAAAAANAEQBAAAAAAAADABEQgABAQAAAABEQESBAAEBAAAAAESARMIAAQEAAAAARMoBAAEBAAAABABFAQABAQAAAABFAEVCAAEBAAAAAEVAAQABAQAAAABFQEWBAAAAAAAAAAAAAA=</t>
        </r>
      </text>
    </comment>
    <comment ref="D101" authorId="0">
      <text>
        <r>
          <rPr>
            <sz val="9"/>
            <color indexed="81"/>
            <rFont val="Tahoma"/>
            <family val="2"/>
          </rPr>
          <t>Insight iXlW00004C0000101R0841462918S00000100P01772LAocjBAQBF1NjaVRlZ2ljLmRhdGEuTW9sZWN1bGUBbQF/ARJTY2lUZWdpYy5Nb2xlY3VsZQAAAQFkAv5qAQAAAAIAAgEZGAAAAPwIAPwAAgAAAAAAAPC/Au5aiZ3eyPQ/AnvHq2L8/+e/AAAAABgAAAD8CAD8AAIAAAAAAADwvwIqitBa2Mj0PwLTYaISEgDoPwAAAAAYAAAA/AQA/AACAAAAAAAA8L8CiOOJLE7KBEACJJDLksEB+D8AAAAAJAAAAPwEAPwAAgAAAAAAAPC/AsSTtJRvGw1AAp+FtN3D1ew/AAAAACQAAAD8BAD8AAIAAAAAAADwvwIi9F7MgskEQALlIJVaepoFQAAAAAAkAAAA/AQA/AACAAAAAAAA8L8CknGtnQ4aDUACvHp0ErTOAEAAAAAAGAAAAPwIAPwAAgAAAAAAAPC/AoFJlqboseC+AjnqbzQBAPg/AAAAABgAAAD8CAD8AAIAAAAAAADwvwIEtMWz4Mj0vwISywIo9f/nPwAAAAAcAAAA/AgA/AACAAAAAAAA8L8ClFI9V9nOBMACNz6nDDry9z8AAAAAGAAAAPwIAPwAAgAAAAAAAPC/AhcCUbz9Mg/AAouvc6T31Oc/AAAAACAAAAD8CAD8AAIAAAAAAADwvwJrQEx4ai8PwAK+3m4w2CLdvwAAAAAYAAAA/AQA/AACAAAAAAAA8L8C2VE1G83NFMACpGS37bvi9z8AAAAAGAAAAPwEAPwAAgAAAAAAAPC/Av1/ZwdG9RjAAhKgeAuWiOw/AAAAABgAAAD8BAD8AAIAAAAAAADwvwKvsje9ls8UwAIMegbm9ooFQAAAAAAYAAAA/AQA/AACAAAAAAAA8L8CbQ5WysT2GMACHM4AQGi7AEAAAAAAGAAAAPwIAPwAAgAAAAAAAPC/AuwayjVu2QTAAmT7mUPr+gdAAAAAABgAAAD8CAD8AAIAAAAAAADwvwLTwrKJHvT0vwJifkw5YQQOQAAAAAAYAAAA/AgA/AACAAAAAAAA8L8CpMI1IwwJ9b8CFniqVC4CFUAAAAAAGAAAAPwEAPwAAgAAAAAAAPC/AhQPjkwEw9G/ApAWV6kzbBdAAAAAABgAAAD8CAD8AAIAAAAAAADwvwIZ9xtDK+4EwAKSP5+Jpf0XQAAAAAAYAAAA/AgA/AACAAAAAAAA8L8CYBKAs1pND8ACUJM3Ux/5FEAAAAAAASMAAAD8BAD8AAIAAAAAAADwvwICgXE479ATwAI7auVz5VsXQAAAAAAcAAAA/AgA/AACAAAAAAAA8L8ChMH6/OVCD8ACiAeVNEPyDUAAAAAAHAAAAPwIAPwAAgAAAAAAAPC/AgPGDnHayPS/AtaS+9cKAOi/AAAAABgAAAD8CAD8AAIAAAAAAADwvwIgioqm6LHQPgLyAHE0AQD4vwAAAAABGgAECAAEBAAAAAQIBAAAAAAAAAgMBAAAAAAAAAgQBAAAAAAAAAgUBAAAAAAAAAQYBAAEBAAAABgcCAAEBAAAABwgBAAAAAAAACAkBAAAAAAAACQoCAAAAAAAACQsBAAAAAAAACwwBAAAAAAAACw0BAAAAAAAACw4BAAAAAAAACA8BAAAAAAAADwBEAgABAQAAAABEAERBAAEBAAAAAERARIEAAAAAAAAAREBEwgABAQAAAABEwEUBAAEBAAAAAEUARUEAAAAAAAAARQBFggABAQAAAABFjwEAAQEAAAAHAEXBAAEBAAAAAEXARgIAAQEAAAAARgABAAEBAAAAAAAAAA=</t>
        </r>
      </text>
    </comment>
    <comment ref="D102" authorId="0">
      <text>
        <r>
          <rPr>
            <sz val="9"/>
            <color indexed="81"/>
            <rFont val="Tahoma"/>
            <family val="2"/>
          </rPr>
          <t>Insight iXlW00004C0000102R0841462918S00000101P02056LAocjBAQBF1NjaVRlZ2ljLmRhdGEuTW9sZWN1bGUBbQF/ARJTY2lUZWdpYy5Nb2xlY3VsZQAAAQFkAv5qAQAAAAIBAgEdGAAAAPwIAPwAAgAAAAAAAPC/Au5aiZ3eyPQ/AnvHq2L8/+e/AAAAABgAAAD8CAD8AAIAAAAAAADwvwIqitBa2Mj0PwLTYaISEgDoPwAAAAAYAAAA/AgA/AACAAAAAAAA8L8CgUmWpuix4L4COepvNAEA+D8AAAAAHAAAAPwIAPwAAgAAAAAAAPC/AgAALbOJyvK+Ang6fzcEAAhAAAAAABgAAAD8CAD8AAIAAAAAAADwvwJtO7OmY8X0PwIov3XcXQYOQAAAAAAgAAAA/AQA/AACAAAAAAAA8L8CHjH8s5S89D8C3sATpgYEFUAAAAAAGAAAAPwEAPwAAgAAAAAAAPC/AnVk4AwAwQRAAtZkG5oyBxhAAAAAABgAAAD8BAD8AAIAAAAAAADwvwLthgiRer0EQAIH0zwU/9McQAAAAAAgAAAA/AgA/AACAAAAAAAA8L8Cjt5XkC+1AkACDV2NCUs9CUAAAAAAGAwAAPwEAPwAAgAAAAAAAPC/AozxbpT1yPS/AlB6e37+/w1AAAAAABgAAAD8BAD8AAIAAAAAAADwvwIMNdtUXbz0vwJQmrBi2QAVQAAAAAAYAAAA/AQA/AACAAAAAAAA8L8CcGF+Vs1g0L8CBTtW1r1lF0AAAAAAGAAAAPwEAPwAAgAAAAAAAPC/AnpmjuzlyATAAl0Dsl/5/wdAAAAAABgMAAD8BAD8AAIAAAAAAADwvwKM4RC14MgEwAJOS2a/8v/3PwAAAAAcAAAA/AQA/AACAAAAAAAA8L8CGnlRYe8xD8ACsc7RVFIS6D8AAAAAGAAAAPwIAPwAAgAAAAAAAPC/AgeEd6PSyhTAAlMQ9QplEvg/AAAAABwAAAD8CAD8AAIAAAAAAADwvwJBL0qGwf8ZwAL+F5TuEkroPwAAAAAYAAAA/AgA/AACAAAAAAAA8L8CJochkE8vH8ACMDxI3GQ3+D8AAAAAGAAAAPwIAPwAAgAAAAAAAPC/AqBMbfUBKh/AArafNb6tGwhAAAAAAAEjAAAA/AQA/AACAAAAAAAA8L8CLxcfswaoIcAC4KVPlNHvDEAAAAAAGAAAAPwIAPwAAgAAAAAAAPC/AvhqWVAm9RnAAmLXOJB8Eg5AAAAAABwAAAD8CAD8AAIAAAAAAADwvwKQmCbAl8UUwAK063arUAkIQAAAAAAYAAAA/AgA/AACAAAAAAAA8L8CBLTFs+DI9L8CEssCKPX/5z8AAAAAGAAAAPwIAPwAAgAAAAAAAPC/AgPGDnHayPS/AtaS+9cKAOi/AAAAABgAAAD8CAD8AAIAAAAAAADwvwIgioqm6LHQPgLyAHE0AQD4vwAAAAAYAAAA/AQA/AACAAAAAAAA8L8CdHMU6hSz4D4CPqY22rABCMAAAAAAJAAAAPwEAPwAAgAAAAAAAPC/AhaFxd4Wn/C/AkY3qpvYzwzAAAAAACQAAAD8BAD8AAIAAAAAAADwvwLYHgqggaHwPwJ4+1Vnz80MwAAAAAAkAAAA/AQA/AACAAAAAAAA8L8CCWCKS+sRQz8CsJWxMKXNEMAAAAAAAR8ABAgABAQAAAAECAQABAQAAAAIDAQABAAAAAAMEAQAAAAAAAAQFAQAAAAAAAAUGAQAAAAAAAAYHAQAAAAAAAAQIAgAAAAAAAAMJAQABAAAAAAkKAQQAAAAAAAoLAQAAAAAAAAkMAQABAAAAAAwNAQABAAAAAA0OAQQAAAAAAA4PAQAAAAAAAA8ARAIAAQEAAAAARABEQQABAQAAAABEQESCAAEBAAAAAESARMEAAAAAAAAARIBFAQABAQAAAABFAEVCAAEBAAAAAEVPAQABAQAAAAIARYIAAQEAAAAARY0BAAEAAAAAAEWARcEAAQEAAAAARcBGAgABAQAAAABGAAEAAQEAAAAARgBGQQAAAAAAAABGQEaBAAAAAAAAAEZARsEAAAAAAAAARkBHAQAAAAAAAAAAAAA</t>
        </r>
      </text>
    </comment>
    <comment ref="D103" authorId="0">
      <text>
        <r>
          <rPr>
            <sz val="9"/>
            <color indexed="81"/>
            <rFont val="Tahoma"/>
            <family val="2"/>
          </rPr>
          <t>Insight iXlW00004C0000103R0841462918S00000102P00764LAocjBAQBF1NjaVRlZ2ljLmRhdGEuTW9sZWN1bGUBbQF/ARJTY2lUZWdpYy5Nb2xlY3VsZQAAAQFkAv5qAQAAAAIAAigYAAAA/AgA/AACAAAAAAAA8L8C7lqJnd7I9D8Ce8erYvz/578AAAAAGAAAAPwIAPwAAgAAAAAAAPC/AiqK0FrYyPQ/AtNhohISAOg/AAAAABgAAAD8BAD8AAIAAAAAAADwvwL6y6L4VMwFQAKFmKiRpWrzPwAAAAAYAAAA/AQA/AACAAAAAAAA8L8CCl8tTATaDEACEgVuHtIa7j4AAAAAHAAAAPwE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MLjNDJtALAAsJo1VuPmfU/AAAAACwABAgABAQAAAAECAQABAAAAAAIDAQABAAAAAAMEAQABAAAAAAQAAQABAAAAAAEFAQABAQAAAAUGAgABAQAAAAYHAQABAQAAAAcIAgABAQAAAAgAAQABAQAAAAYJAQAAAAAAAAAAAAA</t>
        </r>
      </text>
    </comment>
    <comment ref="D104" authorId="0">
      <text>
        <r>
          <rPr>
            <sz val="9"/>
            <color indexed="81"/>
            <rFont val="Tahoma"/>
            <family val="2"/>
          </rPr>
          <t>Insight iXlW00004C0000104R0841462918S00000103P00764LAocjBAQBF1NjaVRlZ2ljLmRhdGEuTW9sZWN1bGUBbQF/ARJTY2lUZWdpYy5Nb2xlY3VsZQAAAQFkAv5qAQAAAAIAAigYAAAA/AgA/AACAAAAAAAA8L8C7lqJnd7I9D8Ce8erYvz/578AAAAAGAAAAPwIAPwAAgAAAAAAAPC/AiqK0FrYyPQ/AtNhohISAOg/AAAAABgAAAD8CAD8AAIAAAAAAADwvwL6y6L4VMwFQAKFmKiRpWrzPwAAAAAYAAAA/AgA/AACAAAAAAAA8L8CCl8tTATaDEACEgVuHtIa7j4AAAAAHAAAAPwI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MLjNDJtALAAsJo1VuPmfU/AAAAACwABAgABAQAAAAECAQABAQAAAAIDAgABAQAAAAMEAQABAQAAAAQAAQABAQAAAAEFAQABAQAAAAUGAgABAQAAAAYHAQABAQAAAAcIAgABAQAAAAgAAQABAQAAAAYJAQAAAAAAAAAAAAA</t>
        </r>
      </text>
    </comment>
    <comment ref="D105" authorId="0">
      <text>
        <r>
          <rPr>
            <sz val="9"/>
            <color indexed="81"/>
            <rFont val="Tahoma"/>
            <family val="2"/>
          </rPr>
          <t>Insight iXlW00004C0000105R0841462918S00000104P00764LAocjBAQBF1NjaVRlZ2ljLmRhdGEuTW9sZWN1bGUBbQF/ARJTY2lUZWdpYy5Nb2xlY3VsZQAAAQFkAv5qAQAAAAIAAigYAAAA/AgA/AACAAAAAAAA8L8C7lqJnd7I9D8Ce8erYvz/578AAAAAGAAAAPwIAPwAAgAAAAAAAPC/AiqK0FrYyPQ/AtNhohISAOg/AAAAABwAAAD8CAD8AAIAAAAAAADwvwL6y6L4VMwFQAKFmKiRpWrzPwAAAAAYAAAA/AgA/AACAAAAAAAA8L8CCl8tTATaDEACEgVuHtIa7j4AAAAAGAAAAPwI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MLjNDJtALAAsJo1VuPmfU/AAAAACwABAgABAQAAAAECAQABAQAAAAIDAQABAQAAAAMEAgABAQAAAAQAAQABAQAAAAEFAQABAQAAAAUGAgABAQAAAAYHAQABAQAAAAcIAgABAQAAAAgAAQABAQAAAAYJAQAAAAAAAAAAAAA</t>
        </r>
      </text>
    </comment>
    <comment ref="D106" authorId="0">
      <text>
        <r>
          <rPr>
            <sz val="9"/>
            <color indexed="81"/>
            <rFont val="Tahoma"/>
            <family val="2"/>
          </rPr>
          <t>Insight iXlW00004C0000106R0841462918S00000105P00764LAocjBAQBF1NjaVRlZ2ljLmRhdGEuTW9sZWN1bGUBbQF/ARJTY2lUZWdpYy5Nb2xlY3VsZQAAAQFkAv5qAQAAAAIAAigYAAAA/AgA/AACAAAAAAAA8L8C7lqJnd7I9D8Ce8erYvz/578AAAAAGAAAAPwIAPwAAgAAAAAAAPC/AiqK0FrYyPQ/AtNhohISAOg/AAAAABwAAAD8CAD8AAIAAAAAAADwvwL6y6L4VMwFQAKFmKiRpWrzPwAAAAAYAAAA/AgA/AACAAAAAAAA8L8CCl8tTATaDEACEgVuHtIa7j4AAAAAGAAAAPwI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+WJ4AIDd4+Aun00TOamQXAAAAAACwABAgABAQAAAAECAQABAQAAAAIDAQABAQAAAAMEAgABAQAAAAQAAQABAQAAAAEFAQABAQAAAAUGAgABAQAAAAYHAQABAQAAAAcIAgABAQAAAAgAAQABAQAAAAgJAQAAAAAAAAAAAAA</t>
        </r>
      </text>
    </comment>
    <comment ref="D107" authorId="0">
      <text>
        <r>
          <rPr>
            <sz val="9"/>
            <color indexed="81"/>
            <rFont val="Tahoma"/>
            <family val="2"/>
          </rPr>
          <t>Insight iXlW00004C0000107R0841462918S00000106P00764LAocjBAQBF1NjaVRlZ2ljLmRhdGEuTW9sZWN1bGUBbQF/ARJTY2lUZWdpYy5Nb2xlY3VsZQAAAQFkAv5qAQAAAAIAAigYAAAA/AgA/AACAAAAAAAA8L8C7lqJnd7I9D8Ce8erYvz/578AAAAAGAAAAPwIAPwAAgAAAAAAAPC/AiqK0FrYyPQ/AtNhohISAOg/AAAAABgAAAD8CAD8AAIAAAAAAADwvwL6y6L4VMwFQAKFmKiRpWrzPwAAAAAYAAAA/AgA/AACAAAAAAAA8L8CCl8tTATaDEACEgVuHtIa7j4AAAAAHAAAAPwI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+WJ4AIDd4+Aun00TOamQXAAAAAACwABAgABAQAAAAECAQABAQAAAAIDAgABAQAAAAMEAQABAQAAAAQAAQABAQAAAAEFAQABAQAAAAUGAgABAQAAAAYHAQABAQAAAAcIAgABAQAAAAgAAQABAQAAAAgJAQAAAAAAAAAAAAA</t>
        </r>
      </text>
    </comment>
    <comment ref="D108" authorId="0">
      <text>
        <r>
          <rPr>
            <sz val="9"/>
            <color indexed="81"/>
            <rFont val="Tahoma"/>
            <family val="2"/>
          </rPr>
          <t>Insight iXlW00004C0000108R0841462918S00000107P00764LAocjBAQBF1NjaVRlZ2ljLmRhdGEuTW9sZWN1bGUBbQF/ARJTY2lUZWdpYy5Nb2xlY3VsZQAAAQFkAv5qAQAAAAIAAigYAAAA/AgA/AACAAAAAAAA8L8C7lqJnd7I9D8Ce8erYvz/578AAAAAGAAAAPwIAPwAAgAAAAAAAPC/AiqK0FrYyPQ/AtNhohISAOg/AAAAABgAAAD8CAD8AAIAAAAAAADwvwL6y6L4VMwFQAKFmKiRpWrzPwAAAAAYAAAA/AgA/AACAAAAAAAA8L8CCl8tTATaDEACEgVuHtIa7j4AAAAAIAAAAPwIAPwAAgAAAAAAAPC/At5+QglazAVAAvW98NKOavO/AAAAABgAAAD8CAD8AAIAAAAAAADwvwKBSZam6LHgvgI56m80AQD4PwAAAAAYAAAA/AgA/AACAAAAAAAA8L8CBLTFs+DI9L8CEssCKPX/5z8AAAAAGAAAAPwIAPwAAgAAAAAAAPC/AgPGDnHayPS/AtaS+9cKAOi/AAAAAAEjAAAA/AQA/AACAAAAAAAA8L8CdLsaLsS0AsACqkab4KKZ9b8AAAAAGAAAAPwIAPwAAgAAAAAAAPC/AiCKiqbosdA+AvIAcTQBAPi/AAAAACwABAgABAQAAAAECAQABAQAAAAIDAgABAQAAAAMEAQABAQAAAAQAAQABAQAAAAEFAQABAQAAAAUGAgABAQAAAAYHAQABAQAAAAcIAQAAAAAAAAcJAgABAQAAAAkAAQABAQAAAAAAAAA</t>
        </r>
      </text>
    </comment>
    <comment ref="D109" authorId="0">
      <text>
        <r>
          <rPr>
            <sz val="9"/>
            <color indexed="81"/>
            <rFont val="Tahoma"/>
            <family val="2"/>
          </rPr>
          <t>Insight iXlW00004C0000109R0841462918S00000108P00764LAocjBAQBF1NjaVRlZ2ljLmRhdGEuTW9sZWN1bGUBbQF/ARJTY2lUZWdpYy5Nb2xlY3VsZQAAAQFkAv5qAQAAAAIAAigYAAAA/AgA/AACAAAAAAAA8L8C7lqJnd7I9D8Ce8erYvz/578AAAAAGAAAAPwIAPwAAgAAAAAAAPC/AiqK0FrYyPQ/AtNhohISAOg/AAAAABgAAAD8CAD8AAIAAAAAAADwvwL6y6L4VMwFQAKFmKiRpWrzPwAAAAAYAAAA/AgA/AACAAAAAAAA8L8CCl8tTATaDEACEgVuHtIa7j4AAAAAIAAAAPwI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MLjNDJtALAAsJo1VuPmfU/AAAAACwABAgABAQAAAAECAQABAQAAAAIDAgABAQAAAAMEAQABAQAAAAQAAQABAQAAAAEFAQABAQAAAAUGAgABAQAAAAYHAQABAQAAAAcIAgABAQAAAAgAAQABAQAAAAYJAQAAAAAAAAAAAAA</t>
        </r>
      </text>
    </comment>
    <comment ref="D110" authorId="0">
      <text>
        <r>
          <rPr>
            <sz val="9"/>
            <color indexed="81"/>
            <rFont val="Tahoma"/>
            <family val="2"/>
          </rPr>
          <t>Insight iXlW00004C0000110R0841462918S00000109P00764LAocjBAQBF1NjaVRlZ2ljLmRhdGEuTW9sZWN1bGUBbQF/ARJTY2lUZWdpYy5Nb2xlY3VsZQAAAQFkAv5qAQAAAAIAAigYAAAA/AgA/AACAAAAAAAA8L8C7lqJnd7I9D8Ce8erYvz/578AAAAAGAAAAPwIAPwAAgAAAAAAAPC/AiqK0FrYyPQ/AtNhohISAOg/AAAAABgAAAD8CAD8AAIAAAAAAADwvwKBSZam6LHgvgI56m80AQD4PwAAAAAYAAAA/AgA/AACAAAAAAAA8L8C5LI7mwHv078CxEgrgmC7B0AAAAAAGAAAAPwIAPwAAgAAAAAAAPC/Aq5bSGkZ2vy/AtBw5712/AhAAAAAACAAAAD8CAD8AAIAAAAAAADwvwLy7rllhk4DwALxwzxAFgz8PwAAAAAYAAAA/AgA/AACAAAAAAAA8L8CBLTFs+DI9L8CEssCKPX/5z8AAAAAGAAAAPwIAPwAAgAAAAAAAPC/AgPGDnHayPS/AtaS+9cKAOi/AAAAAAEjAAAA/AQA/AACAAAAAAAA8L8CdLsaLsS0AsACqkab4KKZ9b8AAAAAGAAAAPwIAPwAAgAAAAAAAPC/AiCKiqbosdA+AvIAcTQBAPi/AAAAACwABAgABAQAAAAECAQABAQAAAAIDAQABAQAAAAMEAgABAQAAAAQFAQABAQAAAAIGAgABAQAAAAYFAQABAQAAAAYHAQABAQAAAAcIAQAAAAAAAAcJAgABAQAAAAkAAQABAQAAAAAAAAA</t>
        </r>
      </text>
    </comment>
    <comment ref="D111" authorId="0">
      <text>
        <r>
          <rPr>
            <sz val="9"/>
            <color indexed="81"/>
            <rFont val="Tahoma"/>
            <family val="2"/>
          </rPr>
          <t>Insight iXlW00004C0000111R0841462918S00000110P00764LAocjBAQBF1NjaVRlZ2ljLmRhdGEuTW9sZWN1bGUBbQF/ARJTY2lUZWdpYy5Nb2xlY3VsZQAAAQFkAv5qAQAAAAIAAigYAAAA/AgA/AACAAAAAAAA8L8C7lqJnd7I9D8Ce8erYvz/578AAAAAGAAAAPwIAPwAAgAAAAAAAPC/AiqK0FrYyPQ/AtNhohISAOg/AAAAABgAAAD8CAD8AAIAAAAAAADwvwL6y6L4VMwFQAKFmKiRpWrzPwAAAAAcAAAA/AgA/AACAAAAAAAA8L8CCl8tTATaDEACEgVuHtIa7j4AAAAAHAAAAPwI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MLjNDJtALAAsJo1VuPmfU/AAAAACwABAgABAQAAAAECAQABAQAAAAIDAgABAQAAAAMEAQABAQAAAAQAAQABAQAAAAEFAQABAQAAAAUGAgABAQAAAAYHAQABAQAAAAcIAgABAQAAAAgAAQABAQAAAAYJAQAAAAAAAAAAAAA</t>
        </r>
      </text>
    </comment>
    <comment ref="D112" authorId="0">
      <text>
        <r>
          <rPr>
            <sz val="9"/>
            <color indexed="81"/>
            <rFont val="Tahoma"/>
            <family val="2"/>
          </rPr>
          <t>Insight iXlW00004C0000112R0841462918S00000111P00764LAocjBAQBF1NjaVRlZ2ljLmRhdGEuTW9sZWN1bGUBbQF/ARJTY2lUZWdpYy5Nb2xlY3VsZQAAAQFkAv5qAQAAAAIAAigYAAAA/AgA/AACAAAAAAAA8L8C7lqJnd7I9D8Ce8erYvz/578AAAAAGAAAAPwIAPwAAgAAAAAAAPC/AkhzR8VczAVAAoLJILiNavO/AAAAABgAAAD8CAD8AAIAAAAAAADwvwIqitBa2Mj0PwLTYaISEgDoPwAAAAAYAAAA/AgA/AACAAAAAAAA8L8CgUmWpuix4L4COepvNAEA+D8AAAAAGAAAAPwIAPwAAgAAAAAAAPC/AgS0xbPgyPS/AhLLAij1/+c/AAAAABgAAAD8CAD8AAIAAAAAAADwvwIDxg5x2sj0vwLWkvvXCgDovwAAAAAYAAAA/AgA/AACAAAAAAAA8L8CIIqKpuix0D4C8gBxNAEA+L8AAAAAASMAAAD8BAD8AAIAAAAAAADwvwIflieACA3ePgLp9NEzmpkFwAAAAAAcAAAA/AgA/AACAAAAAAAA8L8CvqVoVFTMBUAC0DN2rKZq8z8AAAAAHAAAAPwIAPwAAgAAAAAAAPC/AvFYElgF2gxAApqWUxchnPI+AAAAACwABAQABAQAAAAACAgABAQAAAAIDAQABAQAAAAMEAgABAQAAAAQFAQABAQAAAAUGAgABAQAAAAYAAQABAQAAAAYHAQAAAAAAAAIIAQABAQAAAAgJAQABAQAAAAkBAgABAQAAAAAAAAA</t>
        </r>
      </text>
    </comment>
    <comment ref="D113" authorId="0">
      <text>
        <r>
          <rPr>
            <sz val="9"/>
            <color indexed="81"/>
            <rFont val="Tahoma"/>
            <family val="2"/>
          </rPr>
          <t>Insight iXlW00004C0000113R0841462918S00000112P00764LAocjBAQBF1NjaVRlZ2ljLmRhdGEuTW9sZWN1bGUBbQF/ARJTY2lUZWdpYy5Nb2xlY3VsZQAAAQFkAv5qAQAAAAIAAigcAAAA/AgA/AACAAAAAAAA8L8CYVTZWAXaDEACiYKwQFCa8j4AAAAAGAAAAPwIAPwAAgAAAAAAAPC/AhLvuWVZzAVAAh6szuuPavO/AAAAABgAAAD8CAD8AAIAAAAAAADwvwLuWomd3sj0PwJ7x6ti/P/nvwAAAAAYAAAA/AgA/AACAAAAAAAA8L8CKorQWtjI9D8C02GiEhIA6D8AAAAAGAAAAPwIAPwAAgAAAAAAAPC/AiCKiqbosdA+AvIAcTQBAPi/AAAAABgAAAD8CAD8AAIAAAAAAADwvwIDxg5x2sj0vwLWkvvXCgDovwAAAAAYAAAA/AgA/AACAAAAAAAA8L8CBLTFs+DI9L8CEssCKPX/5z8AAAAAASMAAAD8BAD8AAIAAAAAAADwvwITC4zQybQCwALCaNVbj5n1PwAAAAAYAAAA/AgA/AACAAAAAAAA8L8CgUmWpuix4L4COepvNAEA+D8AAAAAIAAAAPwIAPwAAgAAAAAAAPC/AubyGVVUzAVAAgnchaqmavM/AAAAACwABAgABAQAAAAECAQABAQAAAAIDAgABAQAAAAIEAQABAQAAAAQFAgABAQAAAAUGAQABAQAAAAYHAQAAAAAAAAYIAgABAQAAAAgDAQABAQAAAAAJAQABAQAAAAkDAQABAQAAAAAAAAA</t>
        </r>
      </text>
    </comment>
    <comment ref="D114" authorId="0">
      <text>
        <r>
          <rPr>
            <sz val="9"/>
            <color indexed="81"/>
            <rFont val="Tahoma"/>
            <family val="2"/>
          </rPr>
          <t>Insight iXlW00004C0000114R0841462918S00000113P00764LAocjBAQBF1NjaVRlZ2ljLmRhdGEuTW9sZWN1bGUBbQF/ARJTY2lUZWdpYy5Nb2xlY3VsZQAAAQFkAv5qAQAAAAIAAigYAAAA/AgA/AACAAAAAAAA8L8C7lqJnd7I9D8Ce8erYvz/578AAAAAGAAAAPwIAPwAAgAAAAAAAPC/AiqK0FrYyPQ/AtNhohISAOg/AAAAACAAAAD8CAD8AAIAAAAAAADwvwL6y6L4VMwFQAKFmKiRpWrzPwAAAAAYAAAA/AgA/AACAAAAAAAA8L8CCl8tTATaDEACEgVuHtIa7j4AAAAAHAAAAPwI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MLjNDJtALAAsJo1VuPmfU/AAAAACwABAgABAQAAAAECAQABAQAAAAIDAQABAQAAAAMEAgABAQAAAAQAAQABAQAAAAEFAQABAQAAAAUGAgABAQAAAAYHAQABAQAAAAcIAgABAQAAAAgAAQABAQAAAAYJAQAAAAAAAAAAAAA</t>
        </r>
      </text>
    </comment>
    <comment ref="D115" authorId="0">
      <text>
        <r>
          <rPr>
            <sz val="9"/>
            <color indexed="81"/>
            <rFont val="Tahoma"/>
            <family val="2"/>
          </rPr>
          <t>Insight iXlW00004C0000115R0841462918S00000114P00764LAocjBAQBF1NjaVRlZ2ljLmRhdGEuTW9sZWN1bGUBbQF/ARJTY2lUZWdpYy5Nb2xlY3VsZQAAAQFkAv5qAQAAAAIAAigYAAAA/AgA/AACAAAAAAAA8L8C7lqJnd7I9D8Ce8erYvz/578AAAAAGAAAAPwIAPwAAgAAAAAAAPC/AiqK0FrYyPQ/AtNhohISAOg/AAAAABwAAAD8CAD8AAIAAAAAAADwvwL6y6L4VMwFQAKFmKiRpWrzPwAAAAAYAAAA/AgA/AACAAAAAAAA8L8CCl8tTATaDEACEgVuHtIa7j4AAAAAIAAAAPwI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MLjNDJtALAAsJo1VuPmfU/AAAAACwABAgABAQAAAAECAQABAQAAAAIDAgABAQAAAAMEAQABAQAAAAQAAQABAQAAAAEFAQABAQAAAAUGAgABAQAAAAYHAQABAQAAAAcIAgABAQAAAAgAAQABAQAAAAYJAQAAAAAAAAAAAAA</t>
        </r>
      </text>
    </comment>
    <comment ref="D116" authorId="0">
      <text>
        <r>
          <rPr>
            <sz val="9"/>
            <color indexed="81"/>
            <rFont val="Tahoma"/>
            <family val="2"/>
          </rPr>
          <t>Insight iXlW00004C0000116R0841462918S00000115P00764LAocjBAQBF1NjaVRlZ2ljLmRhdGEuTW9sZWN1bGUBbQF/ARJTY2lUZWdpYy5Nb2xlY3VsZQAAAQFkAv5qAQAAAAIAAigYAAAA/AgA/AACAAAAAAAA8L8C7lqJnd7I9D8Ce8erYvz/578AAAAAGAAAAPwIAPwAAgAAAAAAAPC/AiqK0FrYyPQ/AtNhohISAOg/AAAAABwAAAD8CAD8AAIAAAAAAADwvwL6y6L4VMwFQAKFmKiRpWrzPwAAAAAcAAAA/AgA/AACAAAAAAAA8L8CCl8tTATaDEACEgVuHtIa7j4AAAAAHAAAAPwI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MLjNDJtALAAsJo1VuPmfU/AAAAACwABAgABAQAAAAECAQABAQAAAAIDAgABAQAAAAMEAQABAQAAAAQAAQABAQAAAAEFAQABAQAAAAUGAgABAQAAAAYHAQABAQAAAAcIAgABAQAAAAgAAQABAQAAAAYJAQAAAAAAAAAAAAA</t>
        </r>
      </text>
    </comment>
    <comment ref="D117" authorId="0">
      <text>
        <r>
          <rPr>
            <sz val="9"/>
            <color indexed="81"/>
            <rFont val="Tahoma"/>
            <family val="2"/>
          </rPr>
          <t>Insight iXlW00004C0000117R0841462918S00000116P00764LAocjBAQBF1NjaVRlZ2ljLmRhdGEuTW9sZWN1bGUBbQF/ARJTY2lUZWdpYy5Nb2xlY3VsZQAAAQFkAv5qAQAAAAIAAigYAAAA/AgA/AACAAAAAAAA8L8C7lqJnd7I9D8Ce8erYvz/578AAAAAGAAAAPwIAPwAAgAAAAAAAPC/AiqK0FrYyPQ/AtNhohISAOg/AAAAABwAAAD8CAD8AAIAAAAAAADwvwL6y6L4VMwFQAKFmKiRpWrzPwAAAAAgAAAA/AgA/AACAAAAAAAA8L8CCl8tTATaDEACEgVuHtIa7j4AAAAAHAAAAPwI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MLjNDJtALAAsJo1VuPmfU/AAAAACwABAQABAQAAAAECAgABAQAAAAIDAQABAQAAAAMEAQABAQAAAAQAAgABAQAAAAEFAQABAQAAAAUGAgABAQAAAAYHAQABAQAAAAcIAgABAQAAAAgAAQABAQAAAAYJAQAAAAAAAAAAAAA</t>
        </r>
      </text>
    </comment>
    <comment ref="D118" authorId="0">
      <text>
        <r>
          <rPr>
            <sz val="9"/>
            <color indexed="81"/>
            <rFont val="Tahoma"/>
            <family val="2"/>
          </rPr>
          <t>Insight iXlW00004C0000118R0841462918S00000117P00764LAocjBAQBF1NjaVRlZ2ljLmRhdGEuTW9sZWN1bGUBbQF/ARJTY2lUZWdpYy5Nb2xlY3VsZQAAAQFkAv5qAQAAAAIAAigYAAAA/AgA/AACAAAAAAAA8L8C7lqJnd7I9D8Ce8erYvz/578AAAAAGAAAAPwIAPwAAgAAAAAAAPC/AiqK0FrYyPQ/AtNhohISAOg/AAAAABgAAAD8BAD8AAIAAAAAAADwvwL6y6L4VMwFQAKFmKiRpWrzPwAAAAAYAAAA/AQA/AACAAAAAAAA8L8CCl8tTATaDEACEgVuHtIa7j4AAAAAIAAAAPwEAPwAAgAAAAAAAPC/At5+QglazAVAAvW98NKOavO/AAAAABgAAAD8CAD8AAIAAAAAAADwvwKBSZam6LHgvgI56m80AQD4PwAAAAAYAAAA/AgA/AACAAAAAAAA8L8CBLTFs+DI9L8CEssCKPX/5z8AAAAAGAAAAPwIAPwAAgAAAAAAAPC/AgPGDnHayPS/AtaS+9cKAOi/AAAAABgAAAD8CAD8AAIAAAAAAADwvwIgioqm6LHQPgLyAHE0AQD4vwAAAAABIwAAAPwEAPwAAgAAAAAAAPC/AhMLjNDJtALAAsJo1VuPmfU/AAAAACwABAgABAQAAAAECAQABAAAAAAIDAQABAAAAAAMEAQABAAAAAAQAAQABAAAAAAEFAQABAQAAAAUGAgABAQAAAAYHAQABAQAAAAcIAgABAQAAAAgAAQABAQAAAAYJAQAAAAAAAAAAAAA</t>
        </r>
      </text>
    </comment>
    <comment ref="D119" authorId="0">
      <text>
        <r>
          <rPr>
            <sz val="9"/>
            <color indexed="81"/>
            <rFont val="Tahoma"/>
            <family val="2"/>
          </rPr>
          <t>Insight iXlW00004C0000119R0841462918S00000118P00832LAocjBAQBF1NjaVRlZ2ljLmRhdGEuTW9sZWN1bGUBbQF/ARJTY2lUZWdpYy5Nb2xlY3VsZQAAAQFkAv5qAQAAAAIAAiwYAAAA/AgA/AACAAAAAAAA8L8C7lqJnd7I9D8Ce8erYvz/578AAAAAGAAAAPwIAPwAAgAAAAAAAPC/AiqK0FrYyPQ/AtNhohISAOg/AAAAABgAAAD8CAD8AAIAAAAAAADwvwIgioqm6LHQPgLyAHE0AQD4vwAAAAAYAAAA/AgA/AACAAAAAAAA8L8CA8YOcdrI9L8C1pL71woA6L8AAAAAGAAAAPwIAPwAAgAAAAAAAPC/AgS0xbPgyPS/AhLLAij1/+c/AAAAABwAAAD8CAD8AAIAAAAAAADwvwKBSZam6LHgvgI56m80AQD4PwAAAAAYAAAA/AgA/AACAAAAAAAA8L8CAADqpFQk3T4CEAwQfQEACMAAAAAAGAAAAPwIAPwAAgAAAAAAAPC/Ary/1OblyPQ/Ak1TGmH//w3AAAAAABgAAAD8CAD8AAIAAAAAAADwvwIGpdYr4MgEQAI5cF3f/f8HwAAAAAABIwAAAPwEAPwAAgAAAAAAAPC/AvD/48w4GQ1AAiFOQ7XJzAzAAAAAABgAAAD8CAD8AAIAAAAAAADwvwIagYEg38gEQAK097q++//3vwAAAAAwAAQIAAQEAAAAAAgEAAQEAAAACAwIAAQEAAAADBAEAAQEAAAAEBQIAAQEAAAAFAQEAAQEAAAACBgEAAQEAAAAGBwIAAQEAAAAHCAEAAQEAAAAICQEAAAAAAAAICgIAAQEAAAAKAAEAAQEAAAAAAAAAA==</t>
        </r>
      </text>
    </comment>
    <comment ref="D120" authorId="0">
      <text>
        <r>
          <rPr>
            <sz val="9"/>
            <color indexed="81"/>
            <rFont val="Tahoma"/>
            <family val="2"/>
          </rPr>
          <t>Insight iXlW00004C0000120R0841462918S00000119P00832LAocjBAQBF1NjaVRlZ2ljLmRhdGEuTW9sZWN1bGUBbQF/ARJTY2lUZWdpYy5Nb2xlY3VsZQAAAQFkAv5qAQAAAAIAAiwYAAAA/AgA/AACAAAAAAAA8L8C7lqJnd7I9D8Ce8erYvz/578AAAAAGAAAAPwIAPwAAgAAAAAAAPC/AiqK0FrYyPQ/AtNhohISAOg/AAAAABwAAAD8CAD8AAIAAAAAAADwvwKBSZam6LHgvgI56m80AQD4PwAAAAAYAAAA/AgA/AACAAAAAAAA8L8CBLTFs+DI9L8CEssCKPX/5z8AAAAAGAAAAPwIAPwAAgAAAAAAAPC/AgPGDnHayPS/AtaS+9cKAOi/AAAAABgAAAD8CAD8AAIAAAAAAADwvwIgioqm6LHQPgLyAHE0AQD4vwAAAAAYAAAA/AgA/AACAAAAAAAA8L8C9M9KY9nIBEACvUxsDAwA+D8AAAAAASMAAAD8BAD8AAIAAAAAAADwvwK3a1+318gEQAK3ms+fn5kFQAAAAAAYAAAA/AgA/AACAAAAAAAA8L8CyEcPskgtD0ACbCryhyAA6D8AAAAAGAAAAPwIAPwAAgAAAAAAAPC/Asq+atNLLQ9AAn4zDHjf/+e/AAAAABgAAAD8CAD8AAIAAAAAAADwvwJsDgKm38gEQAJwnnRc9v/3vwAAAAAwAAQIAAQEAAAABAgEAAQEAAAACAwIAAQEAAAADBAEAAQEAAAAEBQIAAQEAAAAFAAEAAQEAAAABBgEAAQEAAAAGBwEAAAAAAAAGCAIAAQEAAAAICQEAAQEAAAAJCgIAAQEAAAAKAAEAAQEAAAAAAAAAA==</t>
        </r>
      </text>
    </comment>
    <comment ref="D121" authorId="0">
      <text>
        <r>
          <rPr>
            <sz val="9"/>
            <color indexed="81"/>
            <rFont val="Tahoma"/>
            <family val="2"/>
          </rPr>
          <t>Insight iXlW00004C0000121R0841462918S00000120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HAAAAPwIAPwAAgAAAAAAAPC/AgPGDnHayPS/AtaS+9cKAOi/AAAAABgAAAD8CAD8AAIAAAAAAADwvwIgioqm6LHQPgLyAHE0AQD4vwAAAAAYAAAA/AgA/AACAAAAAAAA8L8C9M9KY9nIBEACvUxsDAwA+D8AAAAAASMAAAD8BAD8AAIAAAAAAADwvwK3a1+318gEQAK3ms+fn5kFQAAAAAAYAAAA/AgA/AACAAAAAAAA8L8CyEcPskgtD0ACbCryhyAA6D8AAAAAGAAAAPwIAPwAAgAAAAAAAPC/Asq+atNLLQ9AAn4zDHjf/+e/AAAAABgAAAD8CAD8AAIAAAAAAADwvwJsDgKm38gEQAJwnnRc9v/3vwAAAAAwAAQIAAQEAAAABAgEAAQEAAAACAwIAAQEAAAADBAEAAQEAAAAEBQIAAQEAAAAFAAEAAQEAAAABBgEAAQEAAAAGBwEAAAAAAAAGCAIAAQEAAAAICQEAAQEAAAAJCgIAAQEAAAAKAAEAAQEAAAAAAAAAA==</t>
        </r>
      </text>
    </comment>
    <comment ref="D122" authorId="0">
      <text>
        <r>
          <rPr>
            <sz val="9"/>
            <color indexed="81"/>
            <rFont val="Tahoma"/>
            <family val="2"/>
          </rPr>
          <t>Insight iXlW00004C0000122R0841462918S00000121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GAAAAPwIAPwAAgAAAAAAAPC/AgPGDnHayPS/AtaS+9cKAOi/AAAAABwAAAD8CAD8AAIAAAAAAADwvwIgioqm6LHQPgLyAHE0AQD4vwAAAAAYAAAA/AgA/AACAAAAAAAA8L8C9M9KY9nIBEACvUxsDAwA+D8AAAAAASMAAAD8BAD8AAIAAAAAAADwvwK3a1+318gEQAK3ms+fn5kFQAAAAAAYAAAA/AgA/AACAAAAAAAA8L8CyEcPskgtD0ACbCryhyAA6D8AAAAAGAAAAPwIAPwAAgAAAAAAAPC/Asq+atNLLQ9AAn4zDHjf/+e/AAAAABgAAAD8CAD8AAIAAAAAAADwvwJsDgKm38gEQAJwnnRc9v/3vwAAAAAwAAQIAAQEAAAABAgEAAQEAAAACAwIAAQEAAAADBAEAAQEAAAAEBQIAAQEAAAAFAAEAAQEAAAABBgEAAQEAAAAGBwEAAAAAAAAGCAIAAQEAAAAICQEAAQEAAAAJCgIAAQEAAAAKAAEAAQEAAAAAAAAAA==</t>
        </r>
      </text>
    </comment>
    <comment ref="D123" authorId="0">
      <text>
        <r>
          <rPr>
            <sz val="9"/>
            <color indexed="81"/>
            <rFont val="Tahoma"/>
            <family val="2"/>
          </rPr>
          <t>Insight iXlW00004C0000123R0841462918S00000122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IIqKpuix0D4C8gBxNAEA+L8AAAAAGAAAAPwIAPwAAgAAAAAAAPC/AgPGDnHayPS/AtaS+9cKAOi/AAAAABwAAAD8CAD8AAIAAAAAAADwvwIEtMWz4Mj0vwISywIo9f/nPwAAAAAYAAAA/AgA/AACAAAAAAAA8L8CAADqpFQk3T4CEAwQfQEACMAAAAAAGAAAAPwIAPwAAgAAAAAAAPC/Ary/1OblyPQ/Ak1TGmH//w3AAAAAABgAAAD8CAD8AAIAAAAAAADwvwIGpdYr4MgEQAI5cF3f/f8HwAAAAAABIwAAAPwEAPwAAgAAAAAAAPC/AvD/48w4GQ1AAiFOQ7XJzAzAAAAAABgAAAD8CAD8AAIAAAAAAADwvwIagYEg38gEQAK097q++//3vwAAAAAwAAQIAAQEAAAABAgEAAQEAAAAAAwEAAQEAAAADBAIAAQEAAAAEBQEAAQEAAAAFAgIAAQEAAAADBgEAAQEAAAAGBwIAAQEAAAAHCAEAAQEAAAAICQEAAAAAAAAICgIAAQEAAAAKAAEAAQEAAAAAAAAAA==</t>
        </r>
      </text>
    </comment>
    <comment ref="D124" authorId="0">
      <text>
        <r>
          <rPr>
            <sz val="9"/>
            <color indexed="81"/>
            <rFont val="Tahoma"/>
            <family val="2"/>
          </rPr>
          <t>Insight iXlW00004C0000124R0841462918S00000123P00832LAocjBAQBF1NjaVRlZ2ljLmRhdGEuTW9sZWN1bGUBbQF/ARJTY2lUZWdpYy5Nb2xlY3VsZQAAAQFkAv5qAQAAAAIAAiwYAAAA/AgA/AACAAAAAAAA8L8C7lqJnd7I9D8Ce8erYvz/578AAAAAGAAAAPwIAPwAAgAAAAAAAPC/AiqK0FrYyPQ/AtNhohISAOg/AAAAABwAAAD8CAD8AAIAAAAAAADwvwKBSZam6LHgvgI56m80AQD4PwAAAAAYAAAA/AgA/AACAAAAAAAA8L8CBLTFs+DI9L8CEssCKPX/5z8AAAAAGAAAAPwIAPwAAgAAAAAAAPC/AgPGDnHayPS/AtaS+9cKAOi/AAAAABgAAAD8CAD8AAIAAAAAAADwvwIgioqm6LHQPgLyAHE0AQD4vwAAAAAYAAAA/AgA/AACAAAAAAAA8L8C9M9KY9nIBEACvUxsDAwA+D8AAAAAGAAAAPwIAPwAAgAAAAAAAPC/AshHD7JILQ9AAmwq8ocgAOg/AAAAABgAAAD8CAD8AAIAAAAAAADwvwLKvmrTSy0PQAJ+Mwx43//nvwAAAAABIwAAAPwEAPwAAgAAAAAAAPC/Au73CaXSvhNAAvoc2oOEmfW/AAAAABgAAAD8CAD8AAIAAAAAAADwvwJsDgKm38gEQAJwnnRc9v/3vwAAAAAwAAQIAAQEAAAABAgEAAQEAAAACAwIAAQEAAAADBAEAAQEAAAAEBQIAAQEAAAAFAAEAAQEAAAABBgEAAQEAAAAGBwIAAQEAAAAHCAEAAQEAAAAICQEAAAAAAAAICgIAAQEAAAAKAAEAAQEAAAAAAAAAA==</t>
        </r>
      </text>
    </comment>
    <comment ref="D125" authorId="0">
      <text>
        <r>
          <rPr>
            <sz val="9"/>
            <color indexed="81"/>
            <rFont val="Tahoma"/>
            <family val="2"/>
          </rPr>
          <t>Insight iXlW00004C0000125R0841462918S00000124P00832LAocjBAQBF1NjaVRlZ2ljLmRhdGEuTW9sZWN1bGUBbQF/ARJTY2lUZWdpYy5Nb2xlY3VsZQAAAQFkAv5qAQAAAAIAAiwYAAAA/AgA/AACAAAAAAAA8L8C7lqJnd7I9D8Ce8erYvz/578AAAAAGAAAAPwIAPwAAgAAAAAAAPC/AiqK0FrYyPQ/AtNhohISAOg/AAAAABgAAAD8CAD8AAIAAAAAAADwvwIgioqm6LHQPgLyAHE0AQD4vwAAAAAYAAAA/AgA/AACAAAAAAAA8L8CA8YOcdrI9L8C1pL71woA6L8AAAAAGAAAAPwIAPwAAgAAAAAAAPC/AgS0xbPgyPS/AhLLAij1/+c/AAAAABwAAAD8CAD8AAIAAAAAAADwvwKBSZam6LHgvgI56m80AQD4PwAAAAAYAAAA/AgA/AACAAAAAAAA8L8CAADqpFQk3T4CEAwQfQEACMAAAAAAGAAAAPwIAPwAAgAAAAAAAPC/Ary/1OblyPQ/Ak1TGmH//w3AAAAAABgAAAD8CAD8AAIAAAAAAADwvwIGpdYr4MgEQAI5cF3f/f8HwAAAAAAYAAAA/AgA/AACAAAAAAAA8L8CGoGBIN/IBEACtPe6vvv/978AAAAAASMAAAD8BAD8AAIAAAAAAADwvwKEKgSbNhkNQALZWjktwMzsvwAAAAAwAAQIAAQEAAAAAAgEAAQEAAAACAwIAAQEAAAADBAEAAQEAAAAEBQIAAQEAAAAFAQEAAQEAAAACBgEAAQEAAAAGBwIAAQEAAAAHCAEAAQEAAAAICQIAAQEAAAAJAAEAAQEAAAAJCgEAAAAAAAAAAAAAA==</t>
        </r>
      </text>
    </comment>
    <comment ref="D126" authorId="0">
      <text>
        <r>
          <rPr>
            <sz val="9"/>
            <color indexed="81"/>
            <rFont val="Tahoma"/>
            <family val="2"/>
          </rPr>
          <t>Insight iXlW00004C0000126R0841462918S00000125P00832LAocjBAQBF1NjaVRlZ2ljLmRhdGEuTW9sZWN1bGUBbQF/ARJTY2lUZWdpYy5Nb2xlY3VsZQAAAQFkAv5qAQAAAAIAAiwYAAAA/AgA/AACAAAAAAAA8L8C7lqJnd7I9D8Ce8erYvz/578AAAAAGAAAAPwIAPwAAgAAAAAAAPC/AiqK0FrYyPQ/AtNhohISAOg/AAAAABwAAAD8CAD8AAIAAAAAAADwvwKBSZam6LHgvgI56m80AQD4PwAAAAAYAAAA/AgA/AACAAAAAAAA8L8CBLTFs+DI9L8CEssCKPX/5z8AAAAAGAAAAPwIAPwAAgAAAAAAAPC/AgPGDnHayPS/AtaS+9cKAOi/AAAAABwAAAD8CAD8AAIAAAAAAADwvwIgioqm6LHQPgLyAHE0AQD4vwAAAAAYAAAA/AgA/AACAAAAAAAA8L8C9M9KY9nIBEACvUxsDAwA+D8AAAAAGAAAAPwIAPwAAgAAAAAAAPC/AshHD7JILQ9AAmwq8ocgAOg/AAAAABgAAAD8CAD8AAIAAAAAAADwvwLKvmrTSy0PQAJ+Mwx43//nvwAAAAABIwAAAPwEAPwAAgAAAAAAAPC/Au73CaXSvhNAAvoc2oOEmfW/AAAAABgAAAD8CAD8AAIAAAAAAADwvwJsDgKm38gEQAJwnnRc9v/3vwAAAAAwAAQIAAQEAAAABAgEAAQEAAAACAwIAAQEAAAADBAEAAQEAAAAEBQIAAQEAAAAFAAEAAQEAAAABBgEAAQEAAAAGBwIAAQEAAAAHCAEAAQEAAAAICQEAAAAAAAAICgIAAQEAAAAKAAEAAQEAAAAAAAAAA==</t>
        </r>
      </text>
    </comment>
    <comment ref="D127" authorId="0">
      <text>
        <r>
          <rPr>
            <sz val="9"/>
            <color indexed="81"/>
            <rFont val="Tahoma"/>
            <family val="2"/>
          </rPr>
          <t>Insight iXlW00004C0000127R0841462918S00000126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GAAAAPwIAPwAAgAAAAAAAPC/AgPGDnHayPS/AtaS+9cKAOi/AAAAAAEjAAAA/AQA/AACAAAAAAAA8L8CdLsaLsS0AsACqkab4KKZ9b8AAAAAGAAAAPwIAPwAAgAAAAAAAPC/AiCKiqbosdA+AvIAcTQBAPi/AAAAABwAAAD8CAD8AAIAAAAAAADwvwL6y6L4VMwFQAKFmKiRpWrzPwAAAAAYAAAA/AgA/AACAAAAAAAA8L8CCl8tTATaDEACEgVuHtIa7j4AAAAAGAAAAPwIAPwAAgAAAAAAAPC/At5+QglazAVAAvW98NKOavO/AAAAABgAAAD8BAD8AAIAAAAAAADwvwKSkijUj8MIQAL5EAtLtdYCQAAAAAAwAAQIAAQEAAAABAgEAAQEAAAACAwIAAQEAAAADBAEAAQEAAAAEBQEAAAAAAAAEBgIAAQEAAAAGAAEAAQEAAAABBwEAAQEAAAAHCAEAAQEAAAAICQIAAQEAAAAJAAEAAQEAAAAHCgEAAAAAAAAAAAAAA==</t>
        </r>
      </text>
    </comment>
    <comment ref="D128" authorId="0">
      <text>
        <r>
          <rPr>
            <sz val="9"/>
            <color indexed="81"/>
            <rFont val="Tahoma"/>
            <family val="2"/>
          </rPr>
          <t>Insight iXlW00004C0000128R0841462918S00000127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BIwAAAPwEAPwAAgAAAAAAAPC/AhMLjNDJtALAAsJo1VuPmfU/AAAAABwAAAD8CAD8AAIAAAAAAADwvwL6y6L4VMwFQAKFmKiRpWrzPwAAAAAYAAAA/AgA/AACAAAAAAAA8L8CCl8tTATaDEACEgVuHtIa7j4AAAAAGAAAAPwEAPwAAgAAAAAAAPC/AoNS4/LOORNAAp4OzgCVD/Q+AAAAABwAAAD8CAD8AAIAAAAAAADwvwLefkIJWswFQAL1vfDSjmrzvwAAAAAwAAQIAAQEAAAABAgEAAQEAAAACAwIAAQEAAAADBAEAAQEAAAAEBQIAAQEAAAAFAAEAAQEAAAADBgEAAAAAAAABBwEAAQEAAAAHCAIAAQEAAAAICQEAAAAAAAAICgEAAQEAAAAKAAEAAQEAAAAAAAAAA==</t>
        </r>
      </text>
    </comment>
    <comment ref="D129" authorId="0">
      <text>
        <r>
          <rPr>
            <sz val="9"/>
            <color indexed="81"/>
            <rFont val="Tahoma"/>
            <family val="2"/>
          </rPr>
          <t>Insight iXlW00004C0000129R0841462918S00000128P00832LAocjBAQBF1NjaVRlZ2ljLmRhdGEuTW9sZWN1bGUBbQF/ARJTY2lUZWdpYy5Nb2xlY3VsZQAAAQFkAv5qAQAAAAIAAiwcAAAA/AgA/AACAAAAAAAA8L8CeEHaWAXaDEACEgUx7AUB5z4AAAAAGAAAAPwIAPwAAgAAAAAAAPC/AufyGVVUzAVAAgfchaqmavM/AAAAABgAAAD8BAD8AAIAAAAAAADwvwJwD4vqjsMIQAJFLz3utdYCQAAAAAAgAAAA/AgA/AACAAAAAAAA8L8CEO+5ZVnMBUACHazO649q878AAAAAGAAAAPwIAPwAAgAAAAAAAPC/Au5aiZ3eyPQ/AnvHq2L8/+e/AAAAABgAAAD8CAD8AAIAAAAAAADwvwIqitBa2Mj0PwLTYaISEgDoPwAAAAAYAAAA/AgA/AACAAAAAAAA8L8CgUmWpuix4L4COepvNAEA+D8AAAAAGAAAAPwIAPwAAgAAAAAAAPC/AgS0xbPgyPS/AhLLAij1/+c/AAAAABgAAAD8CAD8AAIAAAAAAADwvwIDxg5x2sj0vwLWkvvXCgDovwAAAAABIwAAAPwEAPwAAgAAAAAAAPC/AnS7Gi7EtALAAqpGm+CimfW/AAAAABgAAAD8CAD8AAIAAAAAAADwvwIgioqm6LHQPgLyAHE0AQD4vwAAAAAwAAQIAAQEAAAABAgEAAAAAAAAAAwEAAQEAAAADBAEAAQEAAAAEBQIAAQEAAAAFAQEAAQEAAAAFBgEAAQEAAAAGBwIAAQEAAAAHCAEAAQEAAAAICQEAAAAAAAAICgIAAQEAAAAKBAEAAQEAAAAAAAAAA==</t>
        </r>
      </text>
    </comment>
    <comment ref="D130" authorId="0">
      <text>
        <r>
          <rPr>
            <sz val="9"/>
            <color indexed="81"/>
            <rFont val="Tahoma"/>
            <family val="2"/>
          </rPr>
          <t>Insight iXlW00004C0000130R0841462918S00000129P00832LAocjBAQBF1NjaVRlZ2ljLmRhdGEuTW9sZWN1bGUBbQF/ARJTY2lUZWdpYy5Nb2xlY3VsZQAAAQFkAv5qAQAAAAIAAiwcAAAA/AgA/AACAAAAAAAA8L8CYVTZWAXaDEACiYKwQFCa8j4AAAAAHAAAAPwIAPwAAgAAAAAAAPC/AhLvuWVZzAVAAh6szuuPavO/AAAAABgAAAD8BAD8AAIAAAAAAADwvwJ/vp6+mMMIQAJ8FsYCqdYCwAAAAAAYAAAA/AgA/AACAAAAAAAA8L8C7lqJnd7I9D8Ce8erYvz/578AAAAAGAAAAPwIAPwAAgAAAAAAAPC/AiqK0FrYyPQ/AtNhohISAOg/AAAAABgAAAD8CAD8AAIAAAAAAADwvwKBSZam6LHgvgI56m80AQD4PwAAAAAYAAAA/AgA/AACAAAAAAAA8L8CBLTFs+DI9L8CEssCKPX/5z8AAAAAGAAAAPwIAPwAAgAAAAAAAPC/AgPGDnHayPS/AtaS+9cKAOi/AAAAAAEjAAAA/AQA/AACAAAAAAAA8L8CdLsaLsS0AsACqkab4KKZ9b8AAAAAGAAAAPwIAPwAAgAAAAAAAPC/AiCKiqbosdA+AvIAcTQBAPi/AAAAABwAAAD8CAD8AAIAAAAAAADwvwLm8hlVVMwFQAIJ3IWqpmrzPwAAAAAwAAQEAAQEAAAABAgEAAAAAAAABAwEAAQEAAAADBAIAAQEAAAAEBQEAAQEAAAAFBgIAAQEAAAAGBwEAAQEAAAAHCAEAAAAAAAAHCQIAAQEAAAAJAwEAAQEAAAAECgEAAQEAAAAKAAIAAQEAAAAAAAAAA==</t>
        </r>
      </text>
    </comment>
    <comment ref="D131" authorId="0">
      <text>
        <r>
          <rPr>
            <sz val="9"/>
            <color indexed="81"/>
            <rFont val="Tahoma"/>
            <family val="2"/>
          </rPr>
          <t>Insight iXlW00004C0000131R0841462918S00000130P00768LAocjBAQBF1NjaVRlZ2ljLmRhdGEuTW9sZWN1bGUBbQF/ARJTY2lUZWdpYy5Nb2xlY3VsZQAAAQFkAv5qAQAAAAIAAigYAAAA/AgA/AACAAAAAAAA8L8C7lqJnd7I9D8Ce8erYvz/578AAAAAGAAAAPwIAPwAAgAAAAAAAPC/AiqK0FrYyPQ/AtNhohISAOg/AAAAABgAAAD8CAD8AAIAAAAAAADwvwL6y6L4VMwFQAKFmKiRpWrzPwAAAAAYAAAA/AgA/AACAAAAAAAA8L8CCl8tTATaDEACEgVuHtIa7j4AAAAAARAAAAD8BAD8AAIAAAAAAADwvwLefkIJWswFQAL1vfDSjmrzvwAAAAAYAAAA/AgA/AACAAAAAAAA8L8CgUmWpuix4L4COepvNAEA+D8AAAAAGAAAAPwIAPwAAgAAAAAAAPC/AgS0xbPgyPS/AhLLAij1/+c/AAAAABgAAAD8CAD8AAIAAAAAAADwvwIDxg5x2sj0vwLWkvvXCgDovwAAAAAYAAAA/AgA/AACAAAAAAAA8L8CIIqKpuix0D4C8gBxNAEA+L8AAAAAASMAAAD8BAD8AAIAAAAAAADwvwITC4zQybQCwALCaNVbj5n1PwAAAAAsAAQIAAQEAAAABAgEAAQEAAAACAwIAAQEAAAADBAEAAQEAAAAEAAEAAQEAAAABBQEAAQEAAAAFBgIAAQEAAAAGBwEAAQEAAAAHCAIAAQEAAAAIAAEAAQEAAAAGCQEAAAAAAAAAAAAAA==</t>
        </r>
      </text>
    </comment>
    <comment ref="D132" authorId="0">
      <text>
        <r>
          <rPr>
            <sz val="9"/>
            <color indexed="81"/>
            <rFont val="Tahoma"/>
            <family val="2"/>
          </rPr>
          <t>Insight iXlW00004C0000132R0841462918S00000131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BIwAAAPwEAPwAAgAAAAAAAPC/AhMLjNDJtALAAsJo1VuPmfU/AAAAACAAAAD8CAD8AAIAAAAAAADwvwL6y6L4VMwFQAKFmKiRpWrzPwAAAAAcAAAA/AgA/AACAAAAAAAA8L8CCl8tTATaDEACEgVuHtIa7j4AAAAAGAAAAPwIAPwAAgAAAAAAAPC/At5+QglazAVAAvW98NKOavO/AAAAACAAAAD8BAD8AAIAAAAAAADwvwJy7DuomcMIQAJOfpNfqNYCwAAAAAAwAAQIAAQEAAAABAgEAAQEAAAACAwIAAQEAAAADBAEAAQEAAAAEBQIAAQEAAAAFAAEAAQEAAAADBgEAAAAAAAABBwEAAQEAAAAHCAEAAQEAAAAICQIAAQEAAAAJAAEAAQEAAAAJCgEAAAAAAAAAAAAAA==</t>
        </r>
      </text>
    </comment>
    <comment ref="D133" authorId="0">
      <text>
        <r>
          <rPr>
            <sz val="9"/>
            <color indexed="81"/>
            <rFont val="Tahoma"/>
            <family val="2"/>
          </rPr>
          <t>Insight iXlW00004C0000133R0841462918S00000132P00832LAocjBAQBF1NjaVRlZ2ljLmRhdGEuTW9sZWN1bGUBbQF/ARJTY2lUZWdpYy5Nb2xlY3VsZQAAAQFkAv5qAQAAAAIAAiw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BIwAAAPwEAPwAAgAAAAAAAPC/AhMLjNDJtALAAsJo1VuPmfU/AAAAACAAAAD8BAD8AAIAAAAAAADwvwL6y6L4VMwFQAKFmKiRpWrzPwAAAAAYAAAA/AgA/AACAAAAAAAA8L8CCl8tTATaDEACEgVuHtIa7j4AAAAAIAAAAPwIAPwAAgAAAAAAAPC/AoNS4/LOORNAAp4OzgCVD/Q+AAAAABwAAAD8CAD8AAIAAAAAAADwvwLefkIJWswFQAL1vfDSjmrzvwAAAAAwAAQIAAQEAAAABAgEAAQEAAAACAwIAAQEAAAADBAEAAQEAAAAEBQIAAQEAAAAFAAEAAQEAAAADBgEAAAAAAAABBwEAAQAAAAAHCAEAAQAAAAAICQIAAAAAAAAICgEAAQAAAAAKAAEAAQAAAAAAAAAAA==</t>
        </r>
      </text>
    </comment>
    <comment ref="D134" authorId="0">
      <text>
        <r>
          <rPr>
            <sz val="9"/>
            <color indexed="81"/>
            <rFont val="Tahoma"/>
            <family val="2"/>
          </rPr>
          <t>Insight iXlW00004C0000134R0841462918S00000133P00768LAocjBAQBF1NjaVRlZ2ljLmRhdGEuTW9sZWN1bGUBbQF/ARJTY2lUZWdpYy5Nb2xlY3VsZQAAAQFkAv5qAQAAAAIAAigcAAAA/AgA/AACAAAAAAAA8L8CdxAProROA0ACqtFQ4SMM/L8AAAAAGAAAAPwIAPwAAgAAAAAAAPC/Au5aiZ3eyPQ/AnvHq2L8/+e/AAAAABgAAAD8CAD8AAIAAAAAAADwvwIqitBa2Mj0PwLTYaISEgDoPwAAAAAYAAAA/AgA/AACAAAAAAAA8L8CgUmWpuix4L4COepvNAEA+D8AAAAAGAAAAPwIAPwAAgAAAAAAAPC/AgS0xbPgyPS/AhLLAij1/+c/AAAAABgAAAD8CAD8AAIAAAAAAADwvwIDxg5x2sj0vwLWkvvXCgDovwAAAAABIwAAAPwEAPwAAgAAAAAAAPC/AhMLjNDJtALAAsJo1VuPmfU/AAAAABgAAAD8CAD8AAIAAAAAAADwvwIgioqm6LHQPgLyAHE0AQD4vwAAAAABEAAAAPwEAPwAAgAAAAAAAPC/ApqMslvL7tM/AnVmg41euwfAAAAAABgAAAD8CAD8AAIAAAAAAADwvwIEB3KKCtr8PwLZl74Ce/wIwAAAAAAsAAQEAAQEAAAABAgIAAQEAAAACAwEAAQEAAAADBAIAAQEAAAAEBQEAAQEAAAAEBgEAAAAAAAABBwEAAQEAAAAHBQIAAQEAAAAHCAEAAQEAAAAICQEAAQEAAAAJAAIAAQEAAAAAAAAAA==</t>
        </r>
      </text>
    </comment>
    <comment ref="D135" authorId="0">
      <text>
        <r>
          <rPr>
            <sz val="9"/>
            <color indexed="81"/>
            <rFont val="Tahoma"/>
            <family val="2"/>
          </rPr>
          <t>Insight iXlW00004C0000135R0841462918S00000134P00896LAocjBAQBF1NjaVRlZ2ljLmRhdGEuTW9sZWN1bGUBbQF/ARJTY2lUZWdpYy5Nb2xlY3VsZQAAAQFkAv5qAQAAAAIAAjAYAAAA/AgA/AACAAAAAAAA8L8C7lqJnd7I9D8Ce8erYvz/578AAAAAGAAAAPwIAPwAAgAAAAAAAPC/AiqK0FrYyPQ/AtNhohISAOg/AAAAABgAAAD8CAD8AAIAAAAAAADwvwKBSZam6LHgvgI56m80AQD4PwAAAAAYAAAA/AgA/AACAAAAAAAA8L8CBLTFs+DI9L8CEssCKPX/5z8AAAAAASMAAAD8BAD8AAIAAAAAAADwvwITC4zQybQCwALCaNVbj5n1PwAAAAAYAAAA/AgA/AACAAAAAAAA8L8CA8YOcdrI9L8C1pL71woA6L8AAAAAGAAAAPwIAPwAAgAAAAAAAPC/AiCKiqbosdA+AvIAcTQBAPi/AAAAABgAAAD8CAD8AAIAAAAAAADwvwIdm4DrMsoEQAJatjrsggH4vwAAAAAcAAAA/AgA/AACAAAAAAAA8L8CMNQCGOmbD0ACYu0ThiU17L8AAAAAHAAAAPwIAPwAAgAAAAAAAPC/AlMdbK3tzxNAApCbUAX49v+/AAAAABgAAAD8CAD8AAIAAAAAAADwvwIFijlD0s0QQAJILAsZel0KwAAAAAAYAAAA/AgA/AACAAAAAAAA8L8CcXCa3MnfBUACDCnYpgPaB8AAAAAANAAECAAEBAAAAAQIBAAEBAAAAAgMCAAEBAAAAAwQBAAAAAAAAAwUBAAEBAAAABQYCAAEBAAAABgABAAEBAAAAAAcBAAAAAAAABwgCAAEBAAAACAkBAAEBAAAACQoBAAEBAAAACgsCAAEBAAAACwcBAAEBAAAAAAAAAA=</t>
        </r>
      </text>
    </comment>
    <comment ref="D136" authorId="0">
      <text>
        <r>
          <rPr>
            <sz val="9"/>
            <color indexed="81"/>
            <rFont val="Tahoma"/>
            <family val="2"/>
          </rPr>
          <t>Insight iXlW00004C0000136R0841462918S00000135P00896LAocjBAQBF1NjaVRlZ2ljLmRhdGEuTW9sZWN1bGUBbQF/ARJTY2lUZWdpYy5Nb2xlY3VsZQAAAQFkAv5qAQAAAAIAAjAcAAAA/AgA/AACAAAAAAAA8L8CHZuA6zLKBEACWrY67IIB+L8AAAAAGAAAAPwIAPwAAgAAAAAAAPC/AjDUAhjpmw9AAmLtE4YlNey/AAAAABgAAAD8CAD8AAIAAAAAAADwvwJTHWyt7c8TQAKQm1AF+Pb/vwAAAAAYAAAA/AgA/AACAAAAAAAA8L8CBYo5Q9LNEEACSCwLGXpdCsAAAAAAHAAAAPwIAPwAAgAAAAAAAPC/AnFwmtzJ3wVAAgwp2KYD2gfAAAAAABgAAAD8CAD8AAIAAAAAAADwvwLuWomd3sj0PwJ7x6ti/P/nvwAAAAAYAAAA/AgA/AACAAAAAAAA8L8CKorQWtjI9D8C02GiEhIA6D8AAAAAGAAAAPwIAPwAAgAAAAAAAPC/AoFJlqboseC+AjnqbzQBAPg/AAAAABgAAAD8CAD8AAIAAAAAAADwvwIEtMWz4Mj0vwISywIo9f/nPwAAAAAYAAAA/AgA/AACAAAAAAAA8L8CA8YOcdrI9L8C1pL71woA6L8AAAAAGAAAAPwIAPwAAgAAAAAAAPC/AiCKiqbosdA+AvIAcTQBAPi/AAAAAAEjAAAA/AQA/AACAAAAAAAA8L8CH5YngAgN3j4C6fTRM5qZBcAAAAAANAAEBAAEBAAAAAQICAAEBAAAAAgMBAAEBAAAAAwQCAAEBAAAABAABAAEBAAAAAAUBAAAAAAAABQYCAAEBAAAABgcBAAEBAAAABwgCAAEBAAAACAkBAAEBAAAACQoCAAEBAAAACgUBAAEBAAAACgsBAAAAAAAAAAAAAA=</t>
        </r>
      </text>
    </comment>
    <comment ref="D137" authorId="0">
      <text>
        <r>
          <rPr>
            <sz val="9"/>
            <color indexed="81"/>
            <rFont val="Tahoma"/>
            <family val="2"/>
          </rPr>
          <t>Insight iXlW00004C0000137R0841462918S00000136P00896LAocjBAQBF1NjaVRlZ2ljLmRhdGEuTW9sZWN1bGUBbQF/ARJTY2lUZWdpYy5Nb2xlY3VsZQAAAQFkAv5qAQAAAAIAAjAcAAAA/AgA/AACAAAAAAAA8L8CzLPGgcnfBUACgLLhuQPaB8AAAAAAIAAAAPwIAPwAAgAAAAAAAPC/ApReAKPTzRBAApNROWZ5XQrAAAAAABgAAAD8CAD8AAIAAAAAAADwvwIC8mWK7c8TQAIMLiEf8/b/vwAAAAAYAAAA/AgA/AACAAAAAAAA8L8CV8aSOOabD0ACHF6QDiU17L8AAAAAGAAAAPwIAPwAAgAAAAAAAPC/Ah2bgOsyygRAAlq2OuyCAfi/AAAAABgAAAD8CAD8AAIAAAAAAADwvwLuWomd3sj0PwJ7x6ti/P/nvwAAAAAYAAAA/AgA/AACAAAAAAAA8L8CKorQWtjI9D8C02GiEhIA6D8AAAAAGAAAAPwIAPwAAgAAAAAAAPC/AoFJlqboseC+AjnqbzQBAPg/AAAAABgAAAD8CAD8AAIAAAAAAADwvwIEtMWz4Mj0vwISywIo9f/nPwAAAAAYAAAA/AgA/AACAAAAAAAA8L8CA8YOcdrI9L8C1pL71woA6L8AAAAAGAAAAPwIAPwAAgAAAAAAAPC/AiCKiqbosdA+AvIAcTQBAPi/AAAAAAEjAAAA/AQA/AACAAAAAAAA8L8CEwuM0Mm0AsACwmjVW4+Z9T8AAAAANAAEBAAEBAAAAAQIBAAEBAAAAAgMCAAEBAAAAAwQBAAEBAAAABAACAAEBAAAABAUBAAAAAAAABQYCAAEBAAAABgcBAAEBAAAABwgCAAEBAAAACAkBAAEBAAAACQoCAAEBAAAACgUBAAEBAAAACAsBAAAAAAAAAAAAAA=</t>
        </r>
      </text>
    </comment>
    <comment ref="D138" authorId="0">
      <text>
        <r>
          <rPr>
            <sz val="9"/>
            <color indexed="81"/>
            <rFont val="Tahoma"/>
            <family val="2"/>
          </rPr>
          <t>Insight iXlW00004C0000138R0841462918S00000137P00896LAocjBAQBF1NjaVRlZ2ljLmRhdGEuTW9sZWN1bGUBbQF/ARJTY2lUZWdpYy5Nb2xlY3VsZQAAAQFkAv5qAQAAAAIAAjAYAAAA/AgA/AACAAAAAAAA8L8C7lqJnd7I9D8Ce8erYvz/578AAAAAGAAAAPwIAPwAAgAAAAAAAPC/AiqK0FrYyPQ/AtNhohISAOg/AAAAABgAAAD8CAD8AAIAAAAAAADwvwKBSZam6LHgvgI56m80AQD4PwAAAAAYAAAA/AgA/AACAAAAAAAA8L8CBLTFs+DI9L8CEssCKPX/5z8AAAAAASMAAAD8BAD8AAIAAAAAAADwvwITC4zQybQCwALCaNVbj5n1PwAAAAAYAAAA/AgA/AACAAAAAAAA8L8CA8YOcdrI9L8C1pL71woA6L8AAAAAGAAAAPwIAPwAAgAAAAAAAPC/AiCKiqbosdA+AvIAcTQBAPi/AAAAABgAAAD8CAD8AAIAAAAAAADwvwIdm4DrMsoEQAJatjrsggH4vwAAAAAgAAAA/AgA/AACAAAAAAAA8L8CMNQCGOmbD0ACYu0ThiU17L8AAAAAGAAAAPwIAPwAAgAAAAAAAPC/AlMdbK3tzxNAApCbUAX49v+/AAAAABwAAAD8CAD8AAIAAAAAAADwvwIFijlD0s0QQAJILAsZel0KwAAAAAAYAAAA/AgA/AACAAAAAAAA8L8CcXCa3MnfBUACDCnYpgPaB8AAAAAANAAECAAEBAAAAAQIBAAEBAAAAAgMCAAEBAAAAAwQBAAAAAAAAAwUBAAEBAAAABQYCAAEBAAAABgABAAEBAAAAAAcBAAAAAAAABwgBAAEBAAAACAkBAAEBAAAACQoCAAEBAAAACgsBAAEBAAAACwcCAAEBAAAAAAAAAA=</t>
        </r>
      </text>
    </comment>
    <comment ref="D139" authorId="0">
      <text>
        <r>
          <rPr>
            <sz val="9"/>
            <color indexed="81"/>
            <rFont val="Tahoma"/>
            <family val="2"/>
          </rPr>
          <t>Insight iXlW00004C0000139R0841462918S00000138P00896LAocjBAQBF1NjaVRlZ2ljLmRhdGEuTW9sZWN1bGUBbQF/ARJTY2lUZWdpYy5Nb2xlY3VsZQAAAQFkAv5qAQAAAAIAAjAcAAAA/AgA/AACAAAAAAAA8L8C7lqJnd7I9D8Ce8erYvz/578AAAAAGAAAAPwIAPwAAgAAAAAAAPC/AiqK0FrYyPQ/AtNhohISAOg/AAAAABgAAAD8BAD8AAIAAAAAAADwvwKBSZam6LHgvgI56m80AQD4PwAAAAAYAAAA/AQA/AACAAAAAAAA8L8CBLTFs+DI9L8CEssCKPX/5z8AAAAAGAAAAPwIAPwAAgAAAAAAAPC/AgPGDnHayPS/AtaS+9cKAOi/AAAAABgAAAD8CAD8AAIAAAAAAADwvwLXrqiG3MgEwAIOa8arDwD4vwAAAAAYAAAA/AgA/AACAAAAAAAA8L8C6SkrT9fIBMACPhPi1QcACMAAAAAAGAAAAPwIAPwAAgAAAAAAAPC/Al9irOrNyPS/AqLAiOsDAA7AAAAAABgAAAD8CAD8AAIAAAAAAADwvwIAAPvUf+DkPgL9zmibAAAIwAAAAAABIwAAAPwEAPwAAgAAAAAAAPC/AsCxvV29oPA/Arg7Lf/KzAzAAAAAABgAAAD8CAD8AAIAAAAAAADwvwIgioqm6LHQPgLyAHE0AQD4vwAAAAAgAAAA/AgA/AACAAAAAAAA8L8CxmsiuMK0AkACdgEQ8KeZ9T8AAAAANAAEBAAEAAAAAAQIBAAEAAAAAAgMBAAEAAAAAAwQBAAEAAAAABAUCAAEBAAAABQYBAAEBAAAABgcCAAEBAAAABwgBAAEBAAAACAkBAAAAAAAABAoBAAEBAAAACgABAAEAAAAACggCAAEBAAAAAQsCAAAAAAAAAAAAAA=</t>
        </r>
      </text>
    </comment>
    <comment ref="D140" authorId="0">
      <text>
        <r>
          <rPr>
            <sz val="9"/>
            <color indexed="81"/>
            <rFont val="Tahoma"/>
            <family val="2"/>
          </rPr>
          <t>Insight iXlW00004C0000140R0841462918S00000139P00896LAocjBAQBF1NjaVRlZ2ljLmRhdGEuTW9sZWN1bGUBbQF/ARJTY2lUZWdpYy5Nb2xlY3VsZQAAAQFkAv5qAQAAAAIAAjAcAAAA/AgA/AACAAAAAAAA8L8C7lqJnd7I9D8Ce8erYvz/578AAAAAGAAAAPwIAPwAAgAAAAAAAPC/AiqK0FrYyPQ/AtNhohISAOg/AAAAABgAAAD8CAD8AAIAAAAAAADwvwKcDNNt2sgEQAJ4GbbcFgD4PwAAAAAYAAAA/AgA/AACAAAAAAAA8L8CpDRPINPIBEAC3tNYbgsACEAAAAAAGAAAAPwIAPwAAgAAAAAAAPC/AqzR73bDyPQ/Ak1ohLUFAA5AAAAAAAEjAAAA/AQA/AACAAAAAAAA8L8CUnMac7nI9D8CyVmOp8/ME0AAAAAAGAAAAPwIAPwAAgAAAAAAAPC/AgAA37D0zfK+AtZF6pYAAAhAAAAAABgAAAD8CAD8AAIAAAAAAADwvwKBSZam6LHgvgI56m80AQD4PwAAAAAYAAAA/AQA/AACAAAAAAAA8L8CBLTFs+DI9L8CEssCKPX/5z8AAAAAIAAAAPwEAPwAAgAAAAAAAPC/AgPGDnHayPS/AtaS+9cKAOi/AAAAABgAAAD8CAD8AAIAAAAAAADwvwIgioqm6LHQPgLyAHE0AQD4vwAAAAAgAAAA/AgA/AACAAAAAAAA8L8CH5YngAgN3j4C6fTRM5qZBcAAAAAANAAEBAAEAAAAAAQICAAEBAAAAAgMBAAEBAAAAAwQCAAEBAAAABAUBAAAAAAAABAYBAAEBAAAAAQcBAAEBAAAABwYCAAEBAAAABwgBAAEAAAAACAkBAAEAAAAACQoBAAEAAAAACgABAAEAAAAACgsCAAAAAAAAAAAAAA=</t>
        </r>
      </text>
    </comment>
    <comment ref="D141" authorId="0">
      <text>
        <r>
          <rPr>
            <sz val="9"/>
            <color indexed="81"/>
            <rFont val="Tahoma"/>
            <family val="2"/>
          </rPr>
          <t>Insight iXlW00004C0000141R0841462918S00000140P00960LAocjBAQBF1NjaVRlZ2ljLmRhdGEuTW9sZWN1bGUBbQF/ARJTY2lUZWdpYy5Nb2xlY3VsZQAAAQFkAv5qAQAAAAIAAjQYAAAA/AgA/AACAAAAAAAA8L8CuC99VWS9DUACIub3G9kKAMAAAAAAASMAAAD8BAD8AAIAAAAAAADwvwKurmR0xZ0TQAIeJ/BQInkBwAAAAAAYAAAA/AgA/AACAAAAAAAA8L8C26Z8Zg5bCUACFe12hsR8478AAAAAGAAAAPwIAPwAAgAAAAAAAPC/Ar47k6q69vo/AvgsKq73ndi/AAAAABgAAAD8BAD8AAIAAAAAAADwvwIEAivCh5/1PwLIk+U3fj7xPwAAAAAYAAAA/AQA/AACAAAAAAAA8L8CBkRKci09474CYIoVRj6o+z8AAAAAGAAAAPwEAPwAAgAAAAAAAPC/AmgI+MCTn/W/AjyCPS1vPvE/AAAAABgAAAD8CAD8AAIAAAAAAADwvwL9R5iGuPb6vwIOYIwxHZ7YvwAAAAAgAAAA/AgA/AACAAAAAAAA8L8COHmjVlfXBsACbizgKZDa5L8AAAAAHAAAAPwIAPwAAgAAAAAAAPC/Aj1JSFX3/+e/AoVHoYsW6/i/AAAAABgAAAD8CAD8AAIAAAAAAADwvwLw/LaqCADoPwKIUydfEuv4vwAAAAAYAAAA/AgA/AACAAAAAAAA8L8CsZBgoq7I9D8CnumPhsaiB8AAAAAAGAAAAPwIAPwAAgAAAAAAAPC/AmWBT4kHQgZAAtg6xgiibAnAAAAAADgABAQAAAAAAAAACAgABAQAAAAIDAQABAQAAAAMEAQABAAAAAAQFAQABAAAAAAUGAQABAAAAAAYHAQABAAAAAAcIAgAAAAAAAAcJAQABAAAAAAMKAgABAQAAAAoJAQABAAAAAAoLAQABAQAAAAsMAgABAQAAAAwAAQABAQAAAAAAAAA</t>
        </r>
      </text>
    </comment>
    <comment ref="D142" authorId="0">
      <text>
        <r>
          <rPr>
            <sz val="9"/>
            <color indexed="81"/>
            <rFont val="Tahoma"/>
            <family val="2"/>
          </rPr>
          <t>Insight iXlW00004C0000142R0841462918S00000141P00960LAocjBAQBF1NjaVRlZ2ljLmRhdGEuTW9sZWN1bGUBbQF/ARJTY2lUZWdpYy5Nb2xlY3VsZQAAAQFkAv5qAQAAAAIAAjQYAAAA/AgA/AACAAAAAAAA8L8C7lqJnd7I9D8Ce8erYvz/578AAAAAGAAAAPwIAPwAAgAAAAAAAPC/AiqK0FrYyPQ/AtNhohISAOg/AAAAABgAAAD8CAD8AAIAAAAAAADwvwL6y6L4VMwFQAKFmKiRpWrzPwAAAAAYAAAA/AgA/AACAAAAAAAA8L8CCl8tTATaDEACEgVuHtIa7j4AAAAAHAAAAPwIAPwAAgAAAAAAAPC/At5+QglazAVAAvW98NKOavO/AAAAABgAAAD8CAD8AAIAAAAAAADwvwKBSZam6LHgvgI56m80AQD4PwAAAAAYAAAA/AgA/AACAAAAAAAA8L8CBLTFs+DI9L8CEssCKPX/5z8AAAAAGAAAAPwIAPwAAgAAAAAAAPC/AgPGDnHayPS/AtaS+9cKAOi/AAAAABgAAAD8CAD8AAIAAAAAAADwvwIgioqm6LHQPgLyAHE0AQD4vwAAAAAcAAQA/AgA/AACAAAAAAAA8L8CjbAsDto4ab8C+9fs3rQBCMAAAAAAIAD8APwIAPwAAgAAAAAAAPC/Ag8QcUXMj/A/AimbV3Q00gzAAAAAACAAAAD8CAD8AAIAAAAAAADwvwLZONvAybDwvwK4nWzhessMwAAAAAABIwAAAPwEAPwAAgAAAAAAAPC/AhMLjNDJtALAAsJo1VuPmfU/AAAAADgABAgABAQAAAAECAQABAQAAAAIDAgABAQAAAAMEAQABAQAAAAQAAQABAQAAAAEFAQABAQAAAAUGAgABAQAAAAYHAQABAQAAAAcIAgABAQAAAAgAAQABAQAAAAgJAQAAAAAAAAkKAQAAAAAAAAkLAgAAAAAAAAYMAQAAAAAAAAAAAAA</t>
        </r>
      </text>
    </comment>
    <comment ref="D143" authorId="0">
      <text>
        <r>
          <rPr>
            <sz val="9"/>
            <color indexed="81"/>
            <rFont val="Tahoma"/>
            <family val="2"/>
          </rPr>
          <t>Insight iXlW00004C0000143R0841462918S00000142P00960LAocjBAQBF1NjaVRlZ2ljLmRhdGEuTW9sZWN1bGUBbQF/ARJTY2lUZWdpYy5Nb2xlY3VsZQAAAQFkAv5qAQAAAAIAAjQ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BIwAAAPwEAPwAAgAAAAAAAPC/AhMLjNDJtALAAsJo1VuPmfU/AAAAABgAAAD8CAD8AAIAAAAAAADwvwL0z0pj2cgEQAK9TGwMDAD4PwAAAAAgAAAA/AgA/AACAAAAAAAA8L8Ct2tft9fIBEACt5rPn5+ZBUAAAAAAHAAAAPwIAPwAAgAAAAAAAPC/AshHD7JILQ9AAmwq8ocgAOg/AAAAABgAAAD8CAD8AAIAAAAAAADwvwLKvmrTSy0PQAJ+Mwx43//nvwAAAAAgAAAA/AgA/AACAAAAAAAA8L8C7vcJpdK+E0AC+hzag4SZ9b8AAAAAHAAAAPwIAPwAAgAAAAAAAPC/AmwOAqbfyARAAnCedFz2//e/AAAAADgABAgABAQAAAAECAQABAQAAAAIDAgABAQAAAAMEAQABAQAAAAQFAgABAQAAAAUAAQABAQAAAAMGAQAAAAAAAAEHAQABAAAAAAcIAgAAAAAAAAcJAQABAAAAAAkKAQABAAAAAAoLAgAAAAAAAAoMAQABAAAAAAwAAQABAAAAAAAAAAA</t>
        </r>
      </text>
    </comment>
    <comment ref="D144" authorId="0">
      <text>
        <r>
          <rPr>
            <sz val="9"/>
            <color indexed="81"/>
            <rFont val="Tahoma"/>
            <family val="2"/>
          </rPr>
          <t>Insight iXlW00004C0000144R0841462918S00000143P00960LAocjBAQBF1NjaVRlZ2ljLmRhdGEuTW9sZWN1bGUBbQF/ARJTY2lUZWdpYy5Nb2xlY3VsZQAAAQFkAv5qAQAAAAIAAjQgAAAA/AgA/AACAAAAAAAA8L8CMNQCGOmbD0ACZO0ThiU17L8AAAAAGAAAAPwIAPwAAgAAAAAAAPC/Ah2bgOsyygRAAlq2OuyCAfi/AAAAABgAAAD8CAD8AAIAAAAAAADwvwLuWomd3sj0PwJ7x6ti/P/nvwAAAAAYAAAA/AgA/AACAAAAAAAA8L8CKorQWtjI9D8C02GiEhIA6D8AAAAAGAAAAPwIAPwAAgAAAAAAAPC/AoFJlqboseC+AjnqbzQBAPg/AAAAABgAAAD8CAD8AAIAAAAAAADwvwIEtMWz4Mj0vwISywIo9f/nPwAAAAABIwAAAPwEAPwAAgAAAAAAAPC/AhMLjNDJtALAAsJo1VuPmfU/AAAAABgAAAD8CAD8AAIAAAAAAADwvwIDxg5x2sj0vwLWkvvXCgDovwAAAAAYAAAA/AgA/AACAAAAAAAA8L8CIIqKpuix0D4C8gBxNAEA+L8AAAAAHAAAAPwIAPwAAgAAAAAAAPC/AnFwmtzJ3wVAAgwp2KYD2gfAAAAAABwAAAD8CAD8AAIAAAAAAADwvwIGijlD0s0QQAJGLAsZel0KwAAAAAAYAAAA/AgA/AACAAAAAAAA8L8CUh1sre3PE0ACkZtQBfj2/78AAAAAIAAAAPwEAPwAAgAAAAAAAPC/AtDXyfIylhhAAnlT5sDw/P2/AAAAADgABAQABAQAAAAECAQAAAAAAAAIDAgABAQAAAAMEAQABAQAAAAQFAgABAQAAAAUGAQAAAAAAAAUHAQABAQAAAAcIAgABAQAAAAgCAQABAQAAAAEJAgABAQAAAAkKAQABAQAAAAoLAgABAQAAAAsAAQABAQAAAAsMAQAAAAAAAAAAAAA</t>
        </r>
      </text>
    </comment>
    <comment ref="D145" authorId="0">
      <text>
        <r>
          <rPr>
            <sz val="9"/>
            <color indexed="81"/>
            <rFont val="Tahoma"/>
            <family val="2"/>
          </rPr>
          <t>Insight iXlW00004C0000145R0841462918S00000144P00896LAocjBAQBF1NjaVRlZ2ljLmRhdGEuTW9sZWN1bGUBbQF/ARJTY2lUZWdpYy5Nb2xlY3VsZQAAAQFkAv5qAQAAAAIAAjAYAAAA/AgA/AACAAAAAAAA8L8C7lqJnd7I9D8Ce8erYvz/578AAAAAGAAAAPwIAPwAAgAAAAAAAPC/AiqK0FrYyPQ/AtNhohISAOg/AAAAABgAAAD8CAD8AAIAAAAAAADwvwKBSZam6LHgvgI56m80AQD4PwAAAAAYAAAA/AgA/AACAAAAAAAA8L8CBLTFs+DI9L8CEssCKPX/5z8AAAAAGAAAAPwIAPwAAgAAAAAAAPC/AgPGDnHayPS/AtaS+9cKAOi/AAAAAAEjAAAA/AQA/AACAAAAAAAA8L8CdLsaLsS0AsACqkab4KKZ9b8AAAAAGAAAAPwIAPwAAgAAAAAAAPC/AiCKiqbosdA+AvIAcTQBAPi/AAAAABwAAAD8CAD8AAIAAAAAAADwvwL0z0pj2cgEQAK9TGwMDAD4PwAAAAAYAAAA/AgA/AACAAAAAAAA8L8CyEcPskgtD0ACbCryhyAA6D8AAAAAGAAAAPwEAPwAAgAAAAAAAPC/Asq+atNLLQ9AAn4zDHjf/+e/AAAAAAEQAAAA/AQA/AACAAAAAAAA8L8CbA4Cpt/IBEACcJ50XPb/978AAAAAIAAAAPwIAPwAAgAAAAAAAPC/Ah5Q0dPPvhNAAnaSlritmfU/AAAAADQABAgABAQAAAAECAQABAQAAAAIDAgABAQAAAAMEAQABAQAAAAQFAQAAAAAAAAQGAgABAQAAAAYAAQABAQAAAAEHAQABAAAAAAcIAQABAAAAAAgJAQABAAAAAAkKAQABAAAAAAoAAQABAAAAAAgLAgAAAAAAAAAAAAA</t>
        </r>
      </text>
    </comment>
    <comment ref="D146" authorId="0">
      <text>
        <r>
          <rPr>
            <sz val="9"/>
            <color indexed="81"/>
            <rFont val="Tahoma"/>
            <family val="2"/>
          </rPr>
          <t>Insight iXlW00004C0000146R0841462918S00000145P01040LAocjBAQBF1NjaVRlZ2ljLmRhdGEuTW9sZWN1bGUBbQF/ARJTY2lUZWdpYy5Nb2xlY3VsZQAAAQFkAv5qAQAAAAIAAjg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cAAAA/AgA/AACAAAAAAAA8L8C+sui+FTMBUAChZiokaVq8z8AAAAAGAAAAPwIAPwAAgAAAAAAAPC/AgpfLUwE2gxAAhIFbh7SGu4+AAAAABgAAAD8CAD8AAIAAAAAAADwvwKknDpCj2MUQAKceECR4fjDvwAAAAAYAAAA/AgA/AACAAAAAAAA8L8CKDDo9E7UFkACMLxtWe5r+L8AAAAAGAAAAPwIAPwAAgAAAAAAAPC/Akioqvl4TRNAAqXGb+BE6wXAAAAAAAEjAAAA/AQA/AACAAAAAAAA8L8C3ho46kVBFUAC5QgHZmWwDsAAAAAAGAAAAPwIAPwAAgAAAAAAAPC/AtLxMuLFqwpAAhLyDnoqqgTAAAAAABgAAAD8CAD8AAIAAAAAAADwvwLefkIJWswFQAL1vfDSjmrzvwAAAAABEAAECAAEBAAAAAQIBAAEBAAAAAgMCAAEBAAAAAwQBAAEBAAAABAUCAAEBAAAABQABAAEBAAAAAQYBAAEBAAAABgcBAAEBAAAABwgCAAEBAAAACAkBAAEBAAAACQoCAAEBAAAACgsBAAAAAAAACgwBAAEBAAAABw0BAAEBAAAADQABAAEBAAAADQwCAAEBAAAAAAAAAA=</t>
        </r>
      </text>
    </comment>
    <comment ref="D147" authorId="0">
      <text>
        <r>
          <rPr>
            <sz val="9"/>
            <color indexed="81"/>
            <rFont val="Tahoma"/>
            <family val="2"/>
          </rPr>
          <t>Insight iXlW00004C0000147R0841462918S00000146P01040LAocjBAQBF1NjaVRlZ2ljLmRhdGEuTW9sZWN1bGUBbQF/ARJTY2lUZWdpYy5Nb2xlY3VsZQAAAQFkAv5qAQAAAAIAAjg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gAAAA/AgA/AACAAAAAAAA8L8C+sui+FTMBUAChZiokaVq8z8AAAAAGAAAAPwIAPwAAgAAAAAAAPC/AgpfLUwE2gxAAhIFbh7SGu4+AAAAABgAAAD8CAD8AAIAAAAAAADwvwKknDpCj2MUQAKceECR4fjDvwAAAAAYAAAA/AgA/AACAAAAAAAA8L8CKDDo9E7UFkACMLxtWe5r+L8AAAAAGAAAAPwIAPwAAgAAAAAAAPC/Akioqvl4TRNAAqXGb+BE6wXAAAAAAAEjAAAA/AQA/AACAAAAAAAA8L8C3ho46kVBFUAC5QgHZmWwDsAAAAAAGAAAAPwIAPwAAgAAAAAAAPC/AtLxMuLFqwpAAhLyDnoqqgTAAAAAABgAAAD8CAD8AAIAAAAAAADwvwLefkIJWswFQAL1vfDSjmrzvwAAAAABEAAECAAEBAAAAAQIBAAEBAAAAAgMCAAEBAAAAAwQBAAEBAAAABAUCAAEBAAAABQABAAEBAAAAAQYBAAEBAAAABgcBAAEBAAAABwgCAAEBAAAACAkBAAEBAAAACQoCAAEBAAAACgsBAAAAAAAACgwBAAEBAAAABw0BAAEBAAAADQABAAEBAAAADQwCAAEBAAAAAAAAAA=</t>
        </r>
      </text>
    </comment>
    <comment ref="D148" authorId="0">
      <text>
        <r>
          <rPr>
            <sz val="9"/>
            <color indexed="81"/>
            <rFont val="Tahoma"/>
            <family val="2"/>
          </rPr>
          <t>Insight iXlW00004C0000148R0841462918S00000147P01040LAocjBAQBF1NjaVRlZ2ljLmRhdGEuTW9sZWN1bGUBbQF/ARJTY2lUZWdpYy5Nb2xlY3VsZQAAAQFkAv5qAQAAAAIAAjgBIwAAAPwEAPwAAgAAAAAAAPC/AlINlVrItAJAAsKpS2uUmfW/AAAAABgAAAD8CAD8AAIAAAAAAADwvwLuWomd3sj0PwJ7x6ti/P/nvwAAAAAYAAAA/AgA/AACAAAAAAAA8L8CKorQWtjI9D8C02GiEhIA6D8AAAAAGAAAAPwIAPwAAgAAAAAAAPC/AoFJlqboseC+AjnqbzQBAPg/AAAAABgAAAD8CAD8AAIAAAAAAADwvwIEtMWz4Mj0vwISywIo9f/nPwAAAAAcAAAA/AgA/AACAAAAAAAA8L8CScpUOeHIBMACJqTJjfT/9z8AAAAAGAAAAPwIAPwAAgAAAAAAAPC/AkhBsFrkyATAAoxp5Eb6/wdAAAAAABgAAAD8BAD8AAIAAAAAAADwvwLaIY9a8Mj0vwLkqxuX/f8NQAAAAAAgAAAA/AQA/AACAAAAAAAA8L8CAADMiJRN774CPE+MgQEACEAAAAAAHAAAAPwIAPwAAgAAAAAAAPC/Au9xiwJlGBDAAj7fGWpUlfA/AAAAABwAAAD8CAD8AAIAAAAAAADwvwKUV2GsPJ8TwAKLkRR39f8BQAAAAAAcAAAA/AgA/AACAAAAAAAA8L8CooP8imcYEMACzJpZZ0S1C0AAAAAAGAAAAPwIAPwAAgAAAAAAAPC/AgPGDnHayPS/AtaS+9cKAOi/AAAAABgAAAD8CAD8AAIAAAAAAADwvwIgioqm6LHQPgLyAHE0AQD4vwAAAAABEAAEBAAAAAAAAAQICAAEBAAAAAgMBAAEBAAAAAwQCAAEBAAAABAUBAAEAAAAABQYBAAEBAAAABgcBAAEAAAAABwgBAAEAAAAACAMBAAEAAAAABQkBAAEBAAAACQoCAAEBAAAACgsBAAEBAAAACwYCAAEBAAAABAwBAAEBAAAADA0CAAEBAAAADQEBAAEBAAAAAAAAAA=</t>
        </r>
      </text>
    </comment>
    <comment ref="D149" authorId="0">
      <text>
        <r>
          <rPr>
            <sz val="9"/>
            <color indexed="81"/>
            <rFont val="Tahoma"/>
            <family val="2"/>
          </rPr>
          <t>Insight iXlW00004C0000149R0841462918S00000148P01296LAocjBAQBF1NjaVRlZ2ljLmRhdGEuTW9sZWN1bGUBbQF/ARJTY2lUZWdpYy5Nb2xlY3VsZQAAAQFkAv5qAQAAAAIAAgESHAAAAPwIAPwAAgAAAAAAAPC/Au5aiZ3eyPQ/AnvHq2L8/+e/AAAAABgAAAD8CAD8AAIAAAAAAADwvwIqitBa2Mj0PwLTYaISEgDoPwAAAAAYAAAA/AgA/AACAAAAAAAA8L8CnAzTbdrIBEACeBm23BYA+D8AAAAAGAAAAPwIAPwAAgAAAAAAAPC/AqQ0TyDTyARAAt7TWG4LAAhAAAAAABgAAAD8CAD8AAIAAAAAAADwvwKs0e92w8j0PwJNaIS1BQAOQAAAAAAYAAAA/AgA/AACAAAAAAAA8L8CAADfsPTN8r4C1kXqlgAACEAAAAAAASMAAAD8BAD8AAIAAAAAAADwvwJScxpzucj0PwLJWY6nz8wTQAAAAAAYAAAA/AgA/AACAAAAAAAA8L8CgUmWpuix4L4COepvNAEA+D8AAAAAGAAAAPwIAPwAAgAAAAAAAPC/AgS0xbPgyPS/AhLLAij1/+c/AAAAABgAAAD8CAD8AAIAAAAAAADwvwIDxg5x2sj0vwLWkvvXCgDovwAAAAAYAAAA/AgA/AACAAAAAAAA8L8CIIqKpuix0D4C8gBxNAEA+L8AAAAAGAAAAPwIAPwAAgAAAAAAAPC/AnOClj1AWmk/Ajjzudy0AQjAAAAAABgAAAD8CAD8AAIAAAAAAADwvwIe+ps719z0PwJvUjlYwP4NwAAAAAAYAAAA/AgA/AACAAAAAAAA8L8CzW+1p4Lp9D8CLMVxdTcAFcAAAAAAIAAAAPwIAPwAAgAAAAAAAPC/AqRuYzp1NNE/AgxP6bF4aBfAAAAAACAAAAD8BAD8AAIAAAAAAADwvwJUT5lh1twEQALJdDEzvf4XwAAAAAAYAAAA/AQA/AACAAAAAAAA8L8CLQqmFyzjBEACvZCGfJT/HcAAAAAAGAAAAPwEAPwAAgAAAAAAAPC/ArIa5mtENQ1AAhuLqwU7MiDAAAAAAAETAAQIAAQEAAAABAgEAAQEAAAACAwIAAQEAAAADBAEAAQEAAAAEBQIAAQEAAAAEBgEAAAAAAAABBwEAAQEAAAAHBQEAAQEAAAAHCAIAAQEAAAAICQEAAQEAAAAJCgIAAQEAAAAKAAEAAQEAAAAKCwEAAAAAAAALDAIDAAAAAAAMDQEAAAAAAAANDgIAAAAAAAANDwEAAAAAAAAPAEQBAAAAAAAAAEQAREEAAAAAAAAAAAAAA==</t>
        </r>
      </text>
    </comment>
    <comment ref="D150" authorId="0">
      <text>
        <r>
          <rPr>
            <sz val="9"/>
            <color indexed="81"/>
            <rFont val="Tahoma"/>
            <family val="2"/>
          </rPr>
          <t>Insight iXlW00004C0000150R0841462918S00000149P01296LAocjBAQBF1NjaVRlZ2ljLmRhdGEuTW9sZWN1bGUBbQF/ARJTY2lUZWdpYy5Nb2xlY3VsZQAAAQFkAv5qAQAAAAIAAgESHAAAAPwEAPwAAgAAAAAAAPC/Al9Q05nPwgRAAvAsb/YACAjAAAAAABgAAAD8BAD8AAIAAAAAAADwvwLYEoe4LscEQAJoqV8Howz4vwAAAAAYAAAA/AgA/AACAAAAAAAA8L8C7lqJnd7I9D8Ce8erYvz/578AAAAAGAAAAPwIAPwAAgAAAAAAAPC/AiqK0FrYyPQ/AtNhohISAOg/AAAAABgAAAD8CAD8AAIAAAAAAADwvwIgioqm6LHQPgLyAHE0AQD4vwAAAAAYAAAA/AgA/AACAAAAAAAA8L8CA8YOcdrI9L8C1pL71woA6L8AAAAAGAAAAPwIAPwAAgAAAAAAAPC/AgS0xbPgyPS/AhLLAij1/+c/AAAAABgAAAD8CAD8AAIAAAAAAADwvwKBSZam6LHgvgI56m80AQD4PwAAAAAYAAAA/AgA/AACAAAAAAAA8L8CAsnafYklD0ACCimSpFEODsAAAAAAGAAAAPwIAPwAAgAAAAAAAPC/AtStg0qoJQ9AAjcy60kxBxXAAAAAABwABAD8CAD8AAIAAAAAAADwvwIzHyhu78IEQAJw9/t7YAoYwAAAAAAgAPwA/AgA/AACAAAAAAAA8L8ClG3kGt/g+D8CSU3L7tilFcAAAAAAIAAAAPwIAPwAAgAAAAAAAPC/AjuzxTR5xgRAAuZkU/Us1xzAAAAAABgAAAD8CAD8AAIAAAAAAADwvwJ2Yb5FGMUUQALg5Drfbg4IwAAAAAAYAAAA/AgA/AACAAAAAAAA8L8CWm8i5kr3GUACliWhLX4ODsAAAAAAGAAAAPwIAPwAAgAAAAAAAPC/Aqzd3mhC9xlAAlWRyhY/BxXAAAAAABgAAAD8CAD8AAIAAAAAAADwvwLoYzZLB8UUQALVEsoJOAcYwAAAAAABIwAAAPwEAPwAAgAAAAAAAPC/AmKbe2Z6Hx5AAuN/5mG9QQnAAAAAAAETAAQEAAAAAAAABAgEAAAAAAAACAwIAAQEAAAACBAEAAQEAAAAEBQIAAQEAAAAFBgEAAQEAAAAGBwIAAQEAAAAHAwEAAQEAAAAACAEAAAAAAAAICQIAAQEAAAAJCgEAAAAAAAAKCwEAAAAAAAAKDAIAAAAAAAAIDQEAAQEAAAANDgIAAQEAAAAODwEAAQEAAAAPAEQCAAEBAAAAAEQJAQABAQAAAA4AREEAAAAAAAAAAAAAA==</t>
        </r>
      </text>
    </comment>
    <comment ref="D151" authorId="0">
      <text>
        <r>
          <rPr>
            <sz val="9"/>
            <color indexed="81"/>
            <rFont val="Tahoma"/>
            <family val="2"/>
          </rPr>
          <t>Insight iXlW00004C0000151R0841462918S00000150P01308LAocjBAQBF1NjaVRlZ2ljLmRhdGEuTW9sZWN1bGUBbQF/ARJTY2lUZWdpYy5Nb2xlY3VsZQAAAQFkAv5qAQAAAAIBAgESGAAAAPwEAPwAAgAAAAAAAPC/AusBBVgfTB1AAqdk+QYFwe0/AAAAABgAAAD8BAD8AAIAAAAAAADwvwK2dNtSR8QdQALmtEG5XhnivwAAAAAcAAAA/AgA/AACAAAAAAAA8L8Ca0Q1wQ85GEAC6dDS04468r8AAAAAGAAAAPwIAPwAAgAAAAAAAPC/AnWxq/3pyBZAAi0cJwP1vwTAAAAAACAAAAD8CAD8AAIAAAAAAADwvwISqrTQ9T0aQAIQlWHo0mgLwAAAAAAYAAAA/AQA/AACAAAAAAAA8L8CrPHJGUUsEkACamzNrjdpB8AAAAAAGAwAAPwEAPwAAgAAAAAAAPC/Ah8m6iXHbRRAApys2IBV9Po+AAAAABgAAAD8CAD8AAIAAAAAAADwvwJhVNlYBdoMQAKJgrBAUJryPgAAAAAcAAAA/AgA/AACAAAAAAAA8L8CEu+5ZVnMBUACHqzO649q878AAAAAGAAAAPwIAPwAAgAAAAAAAPC/Au5aiZ3eyPQ/AnvHq2L8/+e/AAAAABgAAAD8CAD8AAIAAAAAAADwvwIqitBa2Mj0PwLTYaISEgDoPwAAAAAYAAAA/AgA/AACAAAAAAAA8L8CgUmWpuix4L4COepvNAEA+D8AAAAAGAAAAPwIAPwAAgAAAAAAAPC/AgS0xbPgyPS/AhLLAij1/+c/AAAAAAEjAAAA/AQA/AACAAAAAAAA8L8CEwuM0Mm0AsACwmjVW4+Z9T8AAAAAGAAAAPwIAPwAAgAAAAAAAPC/AgPGDnHayPS/AtaS+9cKAOi/AAAAABgAAAD8CAD8AAIAAAAAAADwvwIgioqm6LHQPgLyAHE0AQD4vwAAAAAcAAAA/AgA/AACAAAAAAAA8L8C5vIZVVTMBUACCdyFqqZq8z8AAAAAGAAAAPwEAPwAAgAAAAAAAPC/ApQDdTmldhdAAnEa++AufPQ/AAAAAAEUAAQEAAQAAAAABAgEAAQAAAAACAwEAAAAAAAADBAIAAAAAAAADBQEAAAAAAAACBgEAAQAAAAAGBwEFAAAAAAAHCAIAAQEAAAAICQEAAQEAAAAJCgIAAQEAAAAKCwEAAQEAAAALDAIAAQEAAAAMDQEAAAAAAAAMDgEAAQEAAAAODwIAAQEAAAAPCQEAAQEAAAAKAEQBAAEBAAAAAEQHAQABAQAAAAYAREEAAQAAAAAAREABAAEAAAAAAAAAAA=</t>
        </r>
      </text>
    </comment>
    <comment ref="D152" authorId="0">
      <text>
        <r>
          <rPr>
            <sz val="9"/>
            <color indexed="81"/>
            <rFont val="Tahoma"/>
            <family val="2"/>
          </rPr>
          <t>Insight iXlW00004C0000152R0841462918S00000151P01376LAocjBAQBF1NjaVRlZ2ljLmRhdGEuTW9sZWN1bGUBbQF/ARJTY2lUZWdpYy5Nb2xlY3VsZQAAAQFkAv5qAQAAAAIAAgETGAAAAPwEAPwAAgAAAAAAAPC/AkJ96+Ac+gVAAnhED2/CVghAAAAAABwAAAD8CAD8AAIAAAAAAADwvwKm4t1euB0FQAKZDwqPH479PwAAAAAYAAAA/AgA/AACAAAAAAAA8L8Cfts7uCsnDkACIgtHAn+H6z8AAAAAGAAAAPwIAPwAAgAAAAAAAPC/AmT30nbNbwlAAu6XblCrm+C/AAAAABgAAAD8CAD8AAIAAAAAAADwvwKr2C4bClAQQAKlghwI03/7vwAAAAAYAAAA/AgA/AACAAAAAAAA8L8CLA9iSA1FFkACR1MAJkCi+L8AAAAAASMAAAD8BAD8AAIAAAAAAADwvwKaBlB4HSYZQAKvYzbGh/8DwAAAAAAYAAAA/AgA/AACAAAAAAAA8L8CEIfsZ7ygGEACBYFA1VeFxL8AAAAAGAAAAPwIAPwAAgAAAAAAAPC/AtmZ4JZoBxVAAndK0oVZo/A/AAAAABgAAAD8CAD8AAIAAAAAAADwvwK+O5Oquvb6PwL4LCqu953YvwAAAAAYAAAA/AgA/AACAAAAAAAA8L8CBAIrwoef9T8CyJPlN34+8T8AAAAAGAAAAPwEAPwAAgAAAAAAAPC/AgZESnItPeO+AmCKFUY+qPs/AAAAABwAAAD8CAD8AAIAAAAAAADwvwJoCPjAk5/1vwI8gj0tbz7xPwAAAAAYAAAA/AgA/AACAAAAAAAA8L8ChEHrpfE5BMACpgh5RjQZAEAAAAAAIAAAAPwIAPwAAgAAAAAAAPC/AlKblw9jKA3AAoFhrs42KPk/AAAAABgAAAD8BAD8AAIAAAAAAADwvwJ+JJjF3c8CwAKGdTpH/JcJQAAAAAAYAAAA/AQA/AACAAAAAAAA8L8C/UeYhrj2+r8CDmCMMR2e2L8AAAAAGAAAAPwEAPwAAgAAAAAAAPC/Aj1JSFX3/+e/AoVHoYsW6/i/AAAAABgAAAD8BAD8AAIAAAAAAADwvwLw/LaqCADoPwKIUydfEuv4vwAAAAABFQAEBAAAAAAAAAQIBAAEBAAAAAgMCAAEBAAAAAwQBAAEBAAAABAUCAAEBAAAABQYBAAAAAAAABQcBAAEBAAAABwgCAAEBAAAACAIBAAEBAAAAAwkBAAEBAAAACQoCAAEBAAAACgEBAAEBAAAACgsBAAEAAAAACwwBAAEAAAAADA0BAAAAAAAADQ4CAAAAAAAADQ8BAAAAAAAADABEAQABAAAAAABEAERBAAEAAAAAAERARIEAAQAAAAAARIkBAAEAAAAAAAAAAA=</t>
        </r>
      </text>
    </comment>
    <comment ref="D153" authorId="0">
      <text>
        <r>
          <rPr>
            <sz val="9"/>
            <color indexed="81"/>
            <rFont val="Tahoma"/>
            <family val="2"/>
          </rPr>
          <t>Insight iXlW00004C0000153R0841462918S00000152P01364LAocjBAQBF1NjaVRlZ2ljLmRhdGEuTW9sZWN1bGUBbQF/ARJTY2lUZWdpYy5Nb2xlY3VsZQAAAQFkAv5qAQAAAAIAAgETGAAAAPwIAPwAAgAAAAAAAPC/Au5aiZ3eyPQ/AnvHq2L8/+e/AAAAABgAAAD8CAD8AAIAAAAAAADwvwIqitBa2Mj0PwLTYaISEgDoPwAAAAAgAAAA/AQA/AACAAAAAAAA8L8Cbm6BcijHBEACxJqTtbgM+D8AAAAAGAAAAPwEAPwAAgAAAAAAAPC/AoGmNRDDwgRAAiimP8sLCAhAAAAAABgAAAD8BAD8AAIAAAAAAADwvwJnYSyNkBANQALIvN7BPNkMQAAAAAAYAAAA/AQA/AACAAAAAAAA8L8C/mvzUIzg+D8C3i8HESDRDEAAAAAAHAAAAPwIAPwAAgAAAAAAAPC/AoFJlqboseC+AjnqbzQBAPg/AAAAABgAAAD8CAD8AAIAAAAAAADwvwIEtMWz4Mj0vwISywIo9f/nPwAAAAAcAAAA/AQA/AACAAAAAAAA8L8C3AxbL4PNBMACUgRwrbX29z8AAAAAGAAAAPwIAPwAAgAAAAAAAPC/AuP1VOU0MQ/AAhyLlrHW2uc/AAAAABgAAAD8CAD8AAIAAAAAAADwvwLQwnNoi80UwAJuacVvuNr3PwAAAAAYAAAA/AgA/AACAAAAAAAA8L8CQNXiWBf9GcACqhkmOp2Q5z8AAAAAGAAAAPwEAPwAAgAAAAAAAPC/AtxsqIdiJx7AAmzroxYmU/U/AAAAABgAAAD8CAD8AAIAAAAAAADwvwJ6n8SRxfcZwAKgqpHoT2/ovwAAAAAYAAAA/AgA/AACAAAAAAAA8L8Cwpyu2efCFMACrPXTGzcl+L8AAAAAASMAAAD8BAD8AAIAAAAAAADwvwKTRm/Ypr4UwALrwGViMawFwAAAAAAYAAAA/AgA/AACAAAAAAAA8L8Cct7GxbYmD8ACKPg0yaEl6L8AAAAAHAAAAPwIAPwAAgAAAAAAAPC/AgPGDnHayPS/AtaS+9cKAOi/AAAAABgAAAD8CAD8AAIAAAAAAADwvwIgioqm6LHQPgLyAHE0AQD4vwAAAAABFAAECAAEBAAAAAQIBAAAAAAAAAgMBAAAAAAAAAwQBAAAAAAAAAwUBAAAAAAAAAQYBAAEBAAAABgcCAAEBAAAABwgBAAAAAAAACAkBAAAAAAAACQoCAAEBAAAACgsBAAEBAAAACwwBAAAAAAAACw0CAAEBAAAADQ4BAAEBAAAADg8BAAAAAAAADgBEAgABAQAAAABECQEAAQEAAAAHAERBAAEBAAAAAERARIIAAQEAAAAARIABAAEBAAAAAAAAAA=</t>
        </r>
      </text>
    </comment>
    <comment ref="D154" authorId="0">
      <text>
        <r>
          <rPr>
            <sz val="9"/>
            <color indexed="81"/>
            <rFont val="Tahoma"/>
            <family val="2"/>
          </rPr>
          <t>Insight iXlW00004C0000154R0841462918S00000153P01376LAocjBAQBF1NjaVRlZ2ljLmRhdGEuTW9sZWN1bGUBbQF/ARJTY2lUZWdpYy5Nb2xlY3VsZQAAAQFkAv5qAQAAAAIAAgETGAAAAPwIAPwAAgAAAAAAAPC/Au5aiZ3eyPQ/AnvHq2L8/+e/AAAAABgAAAD8CAD8AAIAAAAAAADwvwIqitBa2Mj0PwLTYaISEgDoPwAAAAAYAAAA/AgA/AACAAAAAAAA8L8CgUmWpuix4L4COepvNAEA+D8AAAAAGAAAAPwIAPwAAgAAAAAAAPC/AgS0xbPgyPS/AhLLAij1/+c/AAAAABgAAAD8CAD8AAIAAAAAAADwvwJJylQ54cgEwAImpMmN9P/3PwAAAAAYAAAA/AgA/AACAAAAAAAA8L8CSEGwWuTIBMACjGnkRvr/B0AAAAAAGAAAAPwEAPwAAgAAAAAAAPC/Atohj1rwyPS/AuSrG5f9/w1AAAAAACAAAAD8BAD8AAIAAAAAAADwvwIAAMyIlE3vvgI8T4yBAQAIQAAAAAAYAAAA/AgA/AACAAAAAAAA8L8CooP8imcYEMACzJpZZ0S1C0AAAAAAGAAAAPwIAPwAAgAAAAAAAPC/ArojP5dA9RHAAnmEPJLcjBNAAAAAACAAAAD8CAD8AAIAAAAAAADwvwLsA+3J54ANwAI83CViUh8XQAAAAAAgAAAA/AQA/AACAAAAAAAA8L8Cqy8p3+jUF8ACt+1/RoTKFEAAAAAAGAAAAPwEAPwAAgAAAAAAAPC/AmZxOEiRshnAAqgEpz4/fxpAAAAAABgAAAD8BAD8AAIAAAAAAADwvwISWo4k1WQewAL9vnRFO30bQAAAAAAcAAAA/AgA/AACAAAAAAAA8L8ClFdhrDyfE8ACi5EUd/X/AUAAAAAAHAAAAPwIAPwAAgAAAAAAAPC/Au9xiwJlGBDAAj7fGWpUlfA/AAAAABgAAAD8CAD8AAIAAAAAAADwvwIDxg5x2sj0vwLWkvvXCgDovwAAAAABIwAAAPwEAPwAAgAAAAAAAPC/AsZrIrjCtAJAAnYBEPCnmfU/AAAAABgAAAD8CAD8AAIAAAAAAADwvwIgioqm6LHQPgLyAHE0AQD4vwAAAAABFQAECAAEBAAAAAQIBAAEBAAAAAgMCAAEBAAAAAwQBAAEAAAAABAUCAAEBAAAABQYBAAEAAAAABgcBAAEAAAAABwIBAAEAAAAABQgBAAEBAAAACAkBAAAAAAAACQoCAAAAAAAACQsBAAAAAAAACwwBAAAAAAAADA0BAAAAAAAACA4CAAEBAAAADg8BAAEBAAAADwQBAAEBAAAAAwBEAQABAQAAAAEAREEAAAAAAAAAAESBAAEBAAAAAESARAIAAQEAAAAAAAAAA==</t>
        </r>
      </text>
    </comment>
    <comment ref="D155" authorId="0">
      <text>
        <r>
          <rPr>
            <sz val="9"/>
            <color indexed="81"/>
            <rFont val="Tahoma"/>
            <family val="2"/>
          </rPr>
          <t>Insight iXlW00004C0000155R0841462918S00000154P01512LAocjBAQBF1NjaVRlZ2ljLmRhdGEuTW9sZWN1bGUBbQF/ARJTY2lUZWdpYy5Nb2xlY3VsZQAAAQFkAv5qAQAAAAIAAgEVGAAAAPwIAPwAAgAAAAAAAPC/Au5aiZ3eyPQ/AnvHq2L8/+e/AAAAABgAAAD8CAD8AAIAAAAAAADwvwIqitBa2Mj0PwLTYaISEgDoPwAAAAAYAAAA/AgA/AACAAAAAAAA8L8CgUmWpuix4L4COepvNAEA+D8AAAAAHAAAAPwIAPwAAgAAAAAAAPC/AuSyO5sB79O/AsRIK4JguwdAAAAAABwAAAD8CAD8AAIAAAAAAADwvwKuW0hpGdr8vwLQcOe9dvwIQAAAAAAYAAAA/AgA/AACAAAAAAAA8L8C8u65ZYZOA8AC8cM8QBYM/D8AAAAAGAAAAPwIAPwAAgAAAAAAAPC/AnkGY1EXCQ/AAoBmHG9qG/c/AAAAACAAAAD8BAD8AAIAAAAAAADwvwKw8NXfe4cTwAL38R8PcXwEQAAAAAAYAAAA/AQA/AACAAAAAAAA8L8CEIQfN+g5GMACEFJ11fiBAkAAAAAAIAAAAPwIAPwAAgAAAAAAAPC/AiswwjYUAhHAAngbmz6VbNM/AAAAABgAAAD8BAD8AAIAAAAAAADwvwKSzZIuwWUEwAKXxKnZe7ARQAAAAAAYAAAA/AgA/AACAAAAAAAA8L8Clc9D1C/C/L8CIESBhFPiFkAAAAAAGAAAAPwIAPwAAgAAAAAAAPC/As00no+5VwTAAgk0kcNFFxxAAAAAABgAAAD8CAD8AAIAAAAAAADwvwLOjReA/5z8vwKNK4QjaKMgQAAAAAAYAAAA/AgA/AACAAAAAAAA8L8CkO0t4yN00r8CnPMq1b2gIEAAAAAAGAAAAPwIAPwAAgAAAAAAAPC/AihU9WDxQd0/AuhQo4mcDBxAAAAAABgAAAD8CAD8AAIAAAAAAADwvwKIhr6tzgfTvwKvpc9/Ed0WQAAAAAAYAAAA/AgA/AACAAAAAAAA8L8CBLTFs+DI9L8CEssCKPX/5z8AAAAAGAAAAPwIAPwAAgAAAAAAAPC/AgPGDnHayPS/AtaS+9cKAOi/AAAAABgAAAD8CAD8AAIAAAAAAADwvwIgioqm6LHQPgLyAHE0AQD4vwAAAAABIwAAAPwEAPwAAgAAAAAAAPC/Ah+WJ4AIDd4+Aun00TOamQXAAAAAAAEXAAQIAAQEAAAABAgEAAQEAAAACAwIAAQEAAAADBAEAAQEAAAAEBQEAAQEAAAAFBgEAAAAAAAAGBwEAAAAAAAAHCAEAAAAAAAAGCQIAAAAAAAAECgEAAAAAAAAKCwEAAAAAAAALDAIAAQEAAAAMDQEAAQEAAAANDgIAAQEAAAAODwEAAQEAAAAPAEQCAAEBAAAAAEQLAQABAQAAAAIAREEAAQEAAAAAREUCAAEBAAAAAERARIEAAQEAAAAARIBEwgABAQAAAABEwAEAAQEAAAAARMBFAQAAAAAAAAAAAAA</t>
        </r>
      </text>
    </comment>
    <comment ref="D156" authorId="0">
      <text>
        <r>
          <rPr>
            <sz val="9"/>
            <color indexed="81"/>
            <rFont val="Tahoma"/>
            <family val="2"/>
          </rPr>
          <t>Insight iXlW00004C0000156R0841462918S00000155P01428LAocjBAQBF1NjaVRlZ2ljLmRhdGEuTW9sZWN1bGUBbQF/ARJTY2lUZWdpYy5Nb2xlY3VsZQAAAQFkAv5qAQAAAAIAAgEUHAAAAPwIAPwAAgAAAAAAAPC/AubyGVVUzAVAAgnchaqmavM/AAAAABgAAAD8CAD8AAIAAAAAAADwvwJ5QdpYBdoMQAISBTrsBQHnPgAAAAAYAAAA/AgA/AACAAAAAAAA8L8CEu+5ZVnMBUACHqzO649q878AAAAAGAAAAPwIAPwAAgAAAAAAAPC/Au5aiZ3eyPQ/AnvHq2L8/+e/AAAAABgAAAD8CAD8AAIAAAAAAADwvwIqitBa2Mj0PwLTYaISEgDoPwAAAAAYAAAA/AgA/AACAAAAAAAA8L8CgUmWpuix4L4COepvNAEA+D8AAAAAGAAAAPwIAPwAAgAAAAAAAPC/AgS0xbPgyPS/AhLLAij1/+c/AAAAABgAAAD8CAD8AAIAAAAAAADwvwIDxg5x2sj0vwLWkvvXCgDovwAAAAAYAAAA/AgA/AACAAAAAAAA8L8CIIqKpuix0D4C8gBxNAEA+L8AAAAAASMAAAD8BAD8AAIAAAAAAADwvwIflieACA3ePgLp9NEzmpkFwAAAAAA4AAAA/AQA/AACAAAAAAAA8L8CEimRLu5/CUACjBrAfr4bBUAAAAAAGAAAAPwEAPwAAgAAAAAAAPC/Ar476wT1nhJAAqgfeWZSnQdAAAAAABgAAAD8BAD8AAIAAAAAAADwvwLQuWggcBoUQAI0xL6ZZV8QQAAAAAAYAAAA/AQA/AACAAAAAAAA8L8CQLiBQqnVFUAC9l601NN7AEAAAAAAGAAAAPwEAPwAAgAAAAAAAPC/AgR3FIsN2xBAAvRZC39uEPg/AAAAABgAAAD8BAD8AAIAAAAAAADwvwLLm5RtiowVQAIGuUkB+hb8PwAAAAAYAAAA/AQA/AACAAAAAAAA8L8CbVgaaE9BD0ACsghOLYms4T8AAAAAGAAAAPwEAPwAAgAAAAAAAPC/AmvJan4kdgFAAghCeJbABg5AAAAAABgAAAD8BAD8AAIAAAAAAADwvwJsFLFT4WoEQALqU1z7eJQTQAAAAAAYAAAA/AQA/AACAAAAAAAA8L8Chni5X1ol8D8C8Q9qpMUFDEAAAAAAARUABAQABAQAAAAECAgABAQAAAAIDAQABAQAAAAMEAgABAQAAAAQAAQABAQAAAAQFAQABAQAAAAUGAgABAQAAAAYHAQABAQAAAAcIAgABAQAAAAgDAQABAQAAAAgJAQAAAAAAAAAKAQAAAAAAAAoLAQAAAAAAAAsMAQAAAAAAAAsNAQAAAAAAAAoOAQAAAAAAAA4PAQAAAAAAAA4ARAEAAAAAAAAKAERBAAAAAAAAAERARIEAAAAAAAAAREBEwQAAAAAAAAAAAAA</t>
        </r>
      </text>
    </comment>
    <comment ref="D157" authorId="0">
      <text>
        <r>
          <rPr>
            <sz val="9"/>
            <color indexed="81"/>
            <rFont val="Tahoma"/>
            <family val="2"/>
          </rPr>
          <t>Insight iXlW00004C0000157R0841462918S00000156P01704LAocjBAQBF1NjaVRlZ2ljLmRhdGEuTW9sZWN1bGUBbQF/ARJTY2lUZWdpYy5Nb2xlY3VsZQAAAQFkAv5qAQAAAAIAAgEYGAAAAPwIAPwAAgAAAAAAAPC/Au5aiZ3eyPQ/AnvHq2L8/+e/AAAAABgAAAD8CAD8AAIAAAAAAADwvwIqitBa2Mj0PwLTYaISEgDoPwAAAAAYAAAA/AgA/AACAAAAAAAA8L8CgUmWpuix4L4COepvNAEA+D8AAAAAGAAAAPwIAPwAAgAAAAAAAPC/AoNcSlXzamm/Agpqn9u0AQhAAAAAACAAAAD8CAD8AAIAAAAAAADwvwLlZMMyro/wPwIublDGONIMQAAAAAAcAAAA/AgA/AACAAAAAAAA8L8CYF1dquHc9L8C9ifSh77+DUAAAAAAGAAAAPwIAPwAAgAAAAAAAPC/AvmIhkOR6fS/AocVsYw2ABVAAAAAABgAAAD8CAD8AAIAAAAAAADwvwLhNyvLONkEwAKgusawRQAYQAAAAAAYAAAA/AgA/AACAAAAAAAA8L8CDM66/U3ZBMACLl69sEUAHkAAAAAAGAAAAPwEAPwAAgAAAAAAAPC/AoDWAjM9Pw/AAmRqijVUgCBAAAAAACQAAAD8BAD8AAIAAAAAAADwvwLo+vkIKsgTwAJK3txe55oeQAAAAAAkAAAA/AQA/AACAAAAAAAA8L8C0X4g64Y+D8ACfi5AmrrmIkAAAAAAJAAAAPwEAPwAAgAAAAAAAPC/Asi3OxmExxPAAq1g7HbEsyFAAAAAABgAAAD8CAD8AAIAAAAAAADwvwJr4/mx1en0vwL94cyVJ4AgQAAAAAAYAAAA/AgA/AACAAAAAAAA8L8CAAwgknZxgL8Cjcuc81gAHkAAAAAAHAAAAPwIAPwAAgAAAAAAAPC/AgDjj8UtWoC/AhQXqPNYABhAAAAAABgAAAD8CAD8AAIAAAAAAADwvwIEtMWz4Mj0vwISywIo9f/nPwAAAAAYAAAA/AgA/AACAAAAAAAA8L8CA8YOcdrI9L8C1pL71woA6L8AAAAAGAAAAPwIAPwAAgAAAAAAAPC/AvCxDe98zQTAAoTRPmLL9ve/AAAAACAAAAD8BAD8AAIAAAAAAADwvwJfEM7IMTEPwAK9oKXJF9vnvwAAAAAYAAAA/AQA/AACAAAAAAAA8L8CO7sciwfCE8ACb0nSCWV+9b8AAAAAIAAAAPwIAPwAAgAAAAAAAPC/AsxAiC3C0QTAArzej1f+lAXAAAAAABgAAAD8CAD8AAIAAAAAAADwvwIgioqm6LHQPgLyAHE0AQD4vwAAAAABIwAAAPwEAPwAAgAAAAAAAPC/Ah+WJ4AIDd4+Aun00TOamQXAAAAAAAEZAAQIAAQEAAAABAgEAAQEAAAACAwEAAAAAAAADBAIAAAAAAAADBQEAAAAAAAAFBgEAAAAAAAAGBwIAAQEAAAAHCAEAAQEAAAAICQEAAAAAAAAJCgEAAAAAAAAJCwEAAAAAAAAJDAEAAAAAAAAIDQIAAQEAAAANDgEAAQEAAAAODwIAAQEAAAAPBgEAAQEAAAACAEQCAAEBAAAAAEQAREEAAQEAAAAAREBEgQAAAAAAAABEgETBAAAAAAAAAETARQEAAAAAAAAARIBFQgAAAAAAAABEQEWCAAEBAAAAAEWAAQABAQAAAABFgEXBAAAAAAAAAAAAAA=</t>
        </r>
      </text>
    </comment>
    <comment ref="D158" authorId="0">
      <text>
        <r>
          <rPr>
            <sz val="9"/>
            <color indexed="81"/>
            <rFont val="Tahoma"/>
            <family val="2"/>
          </rPr>
          <t>Insight iXlW00004C0000158R0841462918S00000157P02192LAocjBAQBF1NjaVRlZ2ljLmRhdGEuTW9sZWN1bGUBbQF/ARJTY2lUZWdpYy5Nb2xlY3VsZQAAAQFkAv5qAQAAAAIBAgEfHAAAAPwIAPwAAgAAAAAAAPC/Au5aiZ3eyPQ/AnvHq2L8/+e/AAAAABgAAAD8CAD8AAIAAAAAAADwvwIqitBa2Mj0PwLTYaISEgDoPwAAAAAYAAAA/AgA/AACAAAAAAAA8L8CgUmWpuix4L4COepvNAEA+D8AAAAAASMAAAD8BAD8AAIAAAAAAADwvwLakTSACA3uvgIQ+tAzmpkFQAAAAAAYAAAA/AgA/AACAAAAAAAA8L8CBLTFs+DI9L8CEssCKPX/5z8AAAAAGAAAAPwEAPwAAgAAAAAAAPC/AtwMWy+DzQTAAlIEcK219vc/AAAAABwAAAD8CAD8AAIAAAAAAADwvwLj9VTlNDEPwAIci5ax1trnPwAAAAAYCAAA/AQA/AACAAAAAAAA8L8CKr6Ad6ACFcAC+HjJcdPJ9T8AAAAAGAAAAPwEAPwAAgAAAAAAAPC/AvPLv8Mm/xXAAtAzsN8OSgRAAAAAABgIAAD8BAD8AAIAAAAAAADwvwK2l4yBbgIZwALiH376SC3PPwAAAAAYAAAA/AgA/AACAAAAAAAA8L8CHtLylVT7HsACWJF+t7BL2T8AAAAAGAAAAPwIAPwAAgAAAAAAAPC/AlGwvXuHaiHAAr6mv5Tq9Oe/AAAAABgAAAD8CAD8AAIAAAAAAADwvwLGBTsTl14kwAK00wY0SA3fvwAAAAAYAAAA/AQA/AACAAAAAAAA8L8COZN/X7ZNJsACir0Vw3og+r8AAAAAJAAAAPwEAPwAAgAAAAAAAPC/AhlzrT4cfSXAAr5Rq6PaFwbAAAAAACQAAAD8BAD8AAIAAAAAAADwvwKFBtvjhqoowAL43y4Zo7/2vwAAAAAkAAAA/AQA/AACAAAAAAAA8L8CAsMJ6tDZJ8AC+2anuupmBMAAAAAAGAAAAPwIAPwAAgAAAAAAAPC/AlSJNhjNYyXAAtoo27fHnO0/AAAAABgAAAD8CAD8AAIAAAAAAADwvwKqw+6f83QjwAKmLs1lfJQAQAAAAAAYAAAA/AQA/AACAAAAAAAA8L8CLTjJpE56JMAClOJVeu3eC0AAAAAAJAAAAPwEAPwAAgAAAAAAAPC/An5M82wW1ybAAs4U5pwckA1AAAAAACQAAAD8BAD8AAIAAAAAAADwvwLGQpthR+4iwAIu8wLt7ZoRQAAAAAAkAAAA/AQA/AACAAAAAAAA8L8CiF65fQBLJcACVIeBPTRzEkAAAAAAGAAAAPwIAPwAAgAAAAAAAPC/Ai0Y/PDjgCDAAoQMGqrZ8fw/AAAAACAAAAD8BAD8AAIAAAAAAADwvwJm/lmhzv0VwAJil1QEetjwvwAAAAAYAAAA/AgA/AACAAAAAAAA8L8CLnT7Fn4gEMACUBPUrVWM578AAAAAIAAAAPwIAPwAAgAAAAAAAPC/ArV3Vzw2DwnAArqHHtR/fPi/AAAAABwAAAD8CAD8AAIAAAAAAADwvwIDxg5x2sj0vwLWkvvXCgDovwAAAAAYAAAA/AgA/AACAAAAAAAA8L8CIIqKpuix0D4C8gBxNAEA+L8AAAAAARAAAAD8BAD8AAIAAAAAAADwvwJzgpY9QFppPwI487nctAEIwAAAAAAYAAAA/AQA/AACAAAAAAAA8L8CTOyeyN2w8D8CKv5a+nfLDMAAAAAAASEABAgABAQAAAAECAQABAQAAAAIDAQAAAAAAAAIEAgABAQAAAAQFAQAAAAAAAAUGAQAAAAAAAAYHAQABAAAAAAcIAQUAAAAAAAcJAQABAAAAAAkKAQUAAAAAAAoLAgABAQAAAAsMAQABAQAAAAwNAQAAAAAAAA0OAQAAAAAAAA0PAQAAAAAAAA0ARAEAAAAAAAAMAERCAAEBAAAAAERARIEAAQEAAAAARIBEwQAAAAAAAABEwEUBAAAAAAAAAETARUEAAAAAAAAARMBFgQAAAAAAAABEgEXCAAEBAAAAAEXKAQABAQAAAAkARgEAAQAAAAAARgBGQQABAAAAAABGRgEAAQAAAAAARkBGggAAAAAAAAQARsEAAQEAAAAARsBHAgABAQAAAABHAAEAAQEAAAAARwBHQQAAAAAAAABHQEeBAAAAAAAAAAAAAA=</t>
        </r>
      </text>
    </comment>
    <comment ref="D159" authorId="0">
      <text>
        <r>
          <rPr>
            <sz val="9"/>
            <color indexed="81"/>
            <rFont val="Tahoma"/>
            <family val="2"/>
          </rPr>
          <t>Insight iXlW00004C0000159R0841462918S00000158P02216LAocjBAQBF1NjaVRlZ2ljLmRhdGEuTW9sZWN1bGUBbQF/ARJTY2lUZWdpYy5Nb2xlY3VsZQAAAQFkAv5qAQAAAAIBAgEfGAwAAPwEAPwAAgAAAAAAAPC/Ar47k6q69vo/AvgsKq73ndi/AAAAABgAAAD8CAD8AAIAAAAAAADwvwIEAivCh5/1PwLIk+U3fj7xPwAAAAAYAAAA/AgA/AACAAAAAAAA8L8CKioMmxS7BEACJJguFTPI/j8AAAAAGAAAAPwIAPwAAgAAAAAAAPC/AgoRUDx71QNAAjCr1fmBWwtAAAAAABgAAAD8CAD8AAIAAAAAAADwvwKq9n5IYwvyPwKEsegPMEgQQAAAAAAYAAAA/AgA/AACAAAAAAAA8L8CKCReX/WPvL8CYidiXNbNCUAAAAAAGAAAAPwIAPwAAgAAAAAAAPC/AgZESnItPeO+AmCKFUY+qPs/AAAAABgIAAD8BAD8AAIAAAAAAADwvwJoCPjAk5/1vwI8gj0tbz7xPwAAAAAcAAAA/AQA/AACAAAAAAAA8L8C/UeYhrj2+r8CDmCMMR2e2L8AAAAAGAAAAPwEAPwAAgAAAAAAAPC/ApIvFIJi9QjAAroTu6jiuuq/AAAAABgAAAD8BAD8AAIAAAAAAADwvwKfxXjqL+MQwAL6yqFf8VTHPwAAAAAYDAAA/AQA/AACAAAAAAAA8L8COF1lcQwiD8ACFCZ9sd5T+j8AAAAAHAAAAPwIAPwAAgAAAAAAAPC/AnLfcnNK/BPAAuZcbkN5SgVAAAAAABgAAAD8CAD8AAIAAAAAAADwvwIaIrWIGrcZwAJd0RzFMbUBQAAAAAAgAAAA/AgA/AACAAAAAAAA8L8CGTu+wIvDGsACbASR6Oit8D8AAAAAGAAAAPwIAPwAAgAAAAAAAPC/AoIF7BddIh7AAsao1Ou21QlAAAAAAAEQAAAA/AQA/AACAAAAAAAA8L8CUvXs/TleHcAChNyVpybREkAAAAAAHAAAAPwIAPwAAgAAAAAAAPC/Am7hYJO/aCHAAryvDQ9tUxVAAAAAABwAAAD8CAD8AAIAAAAAAADwvwIi5Rz9v3EjwAImj9aU6+oQQAAAAAAYAAAA/AgA/AACAAAAAAAA8L8Cs7K11Rz6IcACGv1tRGBeB0AAAAAAGAAAAPwEAPwAAgAAAAAAAPC/AgbDjE+09yLAAqJbrVbDP/0/AAAAABgAAAD8BAD8AAIAAAAAAADwvwJA3BN3u6wDwAKZDToIiboAQAAAAAAEAAAA/AQA/AACAAAAAAAA8L8CArj1SpNL878C5q1vnGuJAEAAAAAAGAAAAPwEAPwAAgAAAAAAAPC/AnI3Y1ZZ1wZAArA+byFt2uS/AAAAABgAAAD8CAD8AAIAAAAAAADwvwLw/LaqCADoPwKIUydfEuv4vwAAAAAYAAAA/AgA/AACAAAAAAAA8L8CPUlIVff/578ChUehixbr+L8AAAAAGAAAAPwIAPwAAgAAAAAAAPC/AosX3UD5//e/AuLMsKyK3AbAAAAAABgAAAD8CAD8AAIAAAAAAADwvwL9dTDe6P/nvwK6fdSve6AQwAAAAAAYAAAA/AgA/AACAAAAAAAA8L8CMtDOIRcA6D8CuwC2pHqgEMAAAAAAASMAAAD8BAD8AAIAAAAAAADwvwJ2f2OTp5n1PwLKPexUpsgUwAAAAAAYAAAA/AgA/AACAAAAAAAA8L8C57sEKAkA+D8CQqM2gIbcBsAAAAAAASMABAQABAAAAAAECAgABAQAAAAIDAQABAQAAAAMEAgABAQAAAAQFAQABAQAAAAEGAQABAQAAAAYFAgABAQAAAAYHAQABAAAAAAcIAQABAAAAAAgJAQABAAAAAAkKAQABAAAAAAoLAQABAAAAAAsMAQUAAAAAAAwNAQAAAAAAAA0OAgAAAAAAAA0PAQAAAAAAAA8ARAEAAQEAAAAARABEQQABAQAAAABEQESCAAEBAAAAAESARMEAAQEAAAAARM8CAAEBAAAAAETARQEAAAAAAAALAEVBAAEAAAAAAEVHAQABAAAAAAcARYEFAAAAAAAAAEXBBQAAAAAAAABGAQABAAAAAABGAEZCAAEBAAAAAEZIAQABAAAAAABGQEaBAAEBAAAAAEaARsIAAQEAAAAARsBHAQABAQAAAABHAEdBAAAAAAAAAEcAR4IAAQEAAAAAR4BGAQABAQAAAAAAAAA</t>
        </r>
      </text>
    </comment>
    <comment ref="D160" authorId="0">
      <text>
        <r>
          <rPr>
            <sz val="9"/>
            <color indexed="81"/>
            <rFont val="Tahoma"/>
            <family val="2"/>
          </rPr>
          <t>Insight iXlW00004C0000160R0841462918S00000159P01716LAocjBAQBF1NjaVRlZ2ljLmRhdGEuTW9sZWN1bGUBbQF/ARJTY2lUZWdpYy5Nb2xlY3VsZQAAAQFkAv5qAQAAAAIBAgEYGAgAAPwEAPwAAgAAAAAAAPC/Au5aiZ3eyPQ/AnvHq2L8/+e/AAAAABwAAAD8BAD8AAIAAAAAAADwvwJk1AN4WygDQAISsaEDjq3QvwAAAAAYAAAA/AgA/AACAAAAAAAA8L8C9LXHFINDA0ACW16PrALm+78AAAAAIAAAAPwIAPwAAgAAAAAAAPC/At65u3/KpgxAAuD8E29M4ve/AAAAABgAAAD8BAD8AAIAAAAAAADwvwIqitBa2Mj0PwLTYaISEgDoPwAAAAAYCAAA/AQA/AACAAAAAAAA8L8CIIqKpuix0D4C8gBxNAEA+L8AAAAABAAAAPwEAPwAAgAAAAAAAPC/AmlTZHM26em/AjiaE7vLsQDAAAAAABgIAAD8BAD8AAIAAAAAAADwvwLssU5ev5bTPwI4DnwfTqgHwAAAAAAYAAAA/AQA/AACAAAAAAAA8L8CRhuSPHTe378C5jEI5a3IDsAAAAAAIAAAAPwEAPwAAgAAAAAAAPC/Ao3ltpEHxPw/AkRdPXVq6QjAAAAAABgIAAD8BAD8AAIAAAAAAADwvwIDxg5x2sj0vwLWkvvXCgDovwAAAAAYAAAA/AgA/AACAAAAAAAA8L8CYUA6iSrHBMAC2w3bobEM+L8AAAAAGAAAAPwIAPwAAgAAAAAAAPC/As5b5jHHwgTAAlStIkIICAjAAAAAABgAAAD8CAD8AAIAAAAAAADwvwIIlbD3fiUPwAIq9AGXXA4OwAAAAAAYAAAA/AgA/AACAAAAAAAA8L8C2BJLjJklD8AC3CIowzYHFcAAAAAAGAAAAPwIAPwAAgAAAAAAAPC/AgZIFd7+xBTAAuB3sFY/BxjAAAAAABwAAAD8CAD8AAIAAAAAAADwvwKb7qUQFMUUwALuGhV5fQ4IwAAAAAAYAAAA/AgA/AACAAAAAAAA8L8CxtwEo0X3GcACh+bNbpAODsAAAAAAGAAAAPwIAPwAAgAAAAAAAPC/ArIRvQk79xnAAtCWXTdIBxXAAAAAAAEjAAAA/AQA/AACAAAAAAAA8L8Coyd252IfHsACChe51rVtF8AAAAAAGAwAAPwEAPwAAgAAAAAAAPC/AgS0xbPgyPS/AhLLAij1/+c/AAAAABgAAAD8BAD8AAIAAAAAAADwvwITC4zQybQCwALCaNVbj5n1PwAAAAAYDAAA/AQA/AACAAAAAAAA8L8CgUmWpuix4L4COepvNAEA+D8AAAAAGAAAAPwEAPwAAgAAAAAAAPC/AtqRNIAIDe6+AhD60DOamQVAAAAAAAEaAAQEFAAAAAAAAAgEAAQAAAAACAwIAAAAAAAAABAEAAQAAAAAABQEAAQAAAAAFBgEFAAAAAAAFBwEAAQAAAAAHCAEFAAAAAAAHCQEAAQAAAAAJAgEAAQAAAAAFCgEAAQAAAAAKCwEEAAAAAAALDAIDAAAAAAAMDQEAAAAAAAANDgIAAQEAAAAODwEAAQEAAAANAEQBAAEBAAAAAEQAREIAAQEAAAAAREBEgQABAQAAAABEjwIAAQEAAAAARIBEwQAAAAAAAAoARQEAAQAAAAAARQBFQQUAAAAAAABFAEWBAAEAAAAAAEWEAQABAAAAAABFgEXBBAAAAAAAAAAAAA=</t>
        </r>
      </text>
    </comment>
    <comment ref="D161" authorId="0">
      <text>
        <r>
          <rPr>
            <sz val="9"/>
            <color indexed="81"/>
            <rFont val="Tahoma"/>
            <family val="2"/>
          </rPr>
          <t>Insight iXlW00004C0000161R0841462918S00000160P01796LAocjBAQBF1NjaVRlZ2ljLmRhdGEuTW9sZWN1bGUBbQF/ARJTY2lUZWdpYy5Nb2xlY3VsZQAAAQFkAv5qAQAAAAIBAgEZGAAAAPwIAPwAAgAAAAAAAPC/Au5aiZ3eyPQ/AnvHq2L8/+e/AAAAABgAAAD8CAD8AAIAAAAAAADwvwIqitBa2Mj0PwLTYaISEgDoPwAAAAAcAAAA/AgA/AACAAAAAAAA8L8C+sui+FTMBUAChZiokaVq8z8AAAAAGAAAAPwIAPwAAgAAAAAAAPC/AgpfLUwE2gxAAhIFbh7SGu4+AAAAABwAAAD8CAD8AAIAAAAAAADwvwLefkIJWswFQAL1vfDSjmrzvwAAAAAYAAAA/AQA/AACAAAAAAAA8L8CUKUT2AyGCUACAzKJ77sZBcAAAAAAGAAAAPwIAPwAAgAAAAAAAPC/Am6TlMeuohJAApjXPZ4KlQfAAAAAABgAAAD8CAD8AAIAAAAAAADwvwJ2FY/FOYIUQAIJW35ux30RwAAAAAAYAAAA/AgA/AACAAAAAAAA8L8CtxxzlLNhGkACkz5RizG4EsAAAAAAGAAAAPwIAPwAAgAAAAAAAPC/AtTStzm7YR5AAj2wMva0fgzAAAAAABgAAAD8CAD8AAIAAAAAAADwvwIWs+l2SYIcQAIzOTi2MRgBwAAAAAAYAAAA/AgA/AACAAAAAAAA8L8CPnKz3s+iFkACdeZK47ZG/b8AAAAAGAgAAPwEAPwAAgAAAAAAAPC/Ah5UlJ/GbRRAAoA+UP/sUPU+AAAAABwAAAD8CAD8AAIAAAAAAADwvwKbpzOADTkYQAIuDkObyzryPwAAAAAYAAAA/AgA/AACAAAAAAAA8L8C7iD/QuXIFkAC2tYjJRLABEAAAAAAGAAAAPwEAPwAAgAAAAAAAPC/ArPCXc4/LBJAAk4sXeVQaQdAAAAAACAAAAD8CAD8AAIAAAAAAADwvwJpYMqr7z0aQAKkNZD68mgLQAAAAAAYAAAA/AQA/AACAAAAAAAA8L8C5eph8UXEHUAClXBDKOkZ4j8AAAAAGAAAAPwEAPwAAgAAAAAAAPC/AqlYRGQhTB1AAhtbnDhxwO2/AAAAABgAAAD8BAD8AAIAAAAAAADwvwI7nx1LqHYXQAL1R6z49Xv0vwAAAAAYAAAA/AgA/AACAAAAAAAA8L8CgUmWpuix4L4COepvNAEA+D8AAAAAGAAAAPwIAPwAAgAAAAAAAPC/AgS0xbPgyPS/AhLLAij1/+c/AAAAABgAAAD8CAD8AAIAAAAAAADwvwIDxg5x2sj0vwLWkvvXCgDovwAAAAABIwAAAPwEAPwAAgAAAAAAAPC/AnS7Gi7EtALAAqpGm+CimfW/AAAAABgAAAD8CAD8AAIAAAAAAADwvwIgioqm6LHQPgLyAHE0AQD4vwAAAAABHAAECAAEBAAAAAQIBAAEBAAAAAgMCAAEBAAAAAwQBAAEBAAAABAABAAEBAAAABAUBAAAAAAAABQYBAAAAAAAABgcCAAEBAAAABwgBAAEBAAAACAkCAAEBAAAACQoBAAEBAAAACgsCAAEBAAAACwYBAAEBAAAADAMBBAAAAAAADA0BAAEAAAAADQ4BAAAAAAAADg8BAAAAAAAADgBEAgAAAAAAAA0AREEAAQAAAAAAREBEgQABAAAAAABEgETBAAEAAAAAAETMAQABAAAAAAEARQEAAQEAAAAARQBFQgABAQAAAABFQEWBAAEBAAAAAEWARcEAAAAAAAAARYBGAgABAQAAAABGAAEAAQEAAAAAAAAAA==</t>
        </r>
      </text>
    </comment>
    <comment ref="D162" authorId="0">
      <text>
        <r>
          <rPr>
            <sz val="9"/>
            <color indexed="81"/>
            <rFont val="Tahoma"/>
            <family val="2"/>
          </rPr>
          <t>Insight iXlW00004C0000162R0841462918S00000161P02196LAocjBAQBF1NjaVRlZ2ljLmRhdGEuTW9sZWN1bGUBbQF/ARJTY2lUZWdpYy5Nb2xlY3VsZQAAAQFkAv5qAQAAAAIAAgEfGAAAAPwIAPwAAgAAAAAAAPC/Au5aiZ3eyPQ/AnvHq2L8/+e/AAAAABgAAAD8CAD8AAIAAAAAAADwvwIqitBa2Mj0PwLTYaISEgDoPwAAAAAgAAAA/AQA/AACAAAAAAAA8L8CxmsiuMK0AkACdgEQ8KeZ9T8AAAAAGAAAAPwIAPwAAgAAAAAAAPC/AoFJlqboseC+AjnqbzQBAPg/AAAAABgAAAD8CAD8AAIAAAAAAADwvwKDXEpV82ppvwIKap/btAEIQAAAAAAcAAAA/AgA/AACAAAAAAAA8L8CYF1dquHc9L8C9ifSh77+DUAAAAAAGAAAAPwEAPwAAgAAAAAAAPC/AvmIhkOR6fS/AocVsYw2ABVAAAAAABgAAAD8CAD8AAIAAAAAAADwvwKVoBy63twEwAJ9dMpiu/4XQAAAAAAgAAAA/AgA/AACAAAAAAAA8L8CnqVTkBArDcACavJxbXmWFUAAAAAAIAAAAPwEAPwAAgAAAAAAAPC/AmI2sYY24wTAAgl2kquS/x1AAAAAABgAAAD8BAD8AAIAAAAAAADwvwJ7kgqfTEsPwAKA6tXAC38gQAAAAAAYAAAA/AQA/AACAAAAAAAA8L8CYuhs8l5QD8ACrLp/0XHlIkAAAAAAGAAAAPwEAPwAAgAAAAAAAPC/AiNch379zhPAAv53J1A7sSFAAAAAABgAAAD8BAD8AAIAAAAAAADwvwLCy6A6v8wTwALuUlOM1ZUeQAAAAAAgAAAA/AgA/AACAAAAAAAA8L8C5WTDMq6P8D8CLm5QxjjSDEAAAAAAGAAAAPwIAPwAAgAAAAAAAPC/AgS0xbPgyPS/AhLLAij1/+c/AAAAACAAAAD8CAD8AAIAAAAAAADwvwITC4zQybQCwALCaNVbj5n1PwAAAAAcAAAA/AgA/AACAAAAAAAA8L8CA8YOcdrI9L8C1pL71woA6L8AAAAAGAAAAPwEAPwAAgAAAAAAAPC/AvCxDe98zQTAAoTRPmLL9ve/AAAAABgAAAD8CAD8AAIAAAAAAADwvwJfEM7IMTEPwAK9oKXJF9vnvwAAAAAYAAAA/AgA/AACAAAAAAAA8L8CiznyS4jNFMACjHN32ePa978AAAAAGAAAAPwEAPwAAgAAAAAAAPC/AjQrtcXQ0RTAAsz67bMHhwXAAAAAABgAAAD8CAD8AAIAAAAAAADwvwLRJHXPFf0ZwAKKsGGyCZHnvwAAAAAYAAAA/AgA/AACAAAAAAAA8L8C0iuxKcf3GcAC1j6DhuNu6D8AAAAAASMAAAD8BAD8AAIAAAAAAADwvwJSYAsv0h0ewALUJhZSvN/1PwAAAAAYAAAA/AgA/AACAAAAAAAA8L8CgN3h/+rCFMACwRdPyAsl+D8AAAAAGAAAAPwIAPwAAgAAAAAAAPC/AiSfBuy5Jg/AAr7vBMdgJeg/AAAAABgAAAD8CAD8AAIAAAAAAADwvwIgioqm6LHQPgLyAHE0AQD4vwAAAAAYAAAA/AQA/AACAAAAAAAA8L8CmrdEwNHu0z8CWj4J1V67B8AAAAAAIAAAAPwEAPwAAgAAAAAAAPC/Ako/QJMM2vw/AhdODzd5/AjAAAAAABgAAAD8BAD8AAIAAAAAAADwvwIfnYHKg04DQAIjenGXHgz8vwAAAAABIQAEBAAEAAAAAAQIBAAAAAAAAAQMCAQEAAAAAAwQBAAAAAAAABAUBAAAAAAAABQYBAAAAAAAABgcBAAAAAAAABwgCAAAAAAAABwkBAAAAAAAACQoBAAAAAAAACgsBAAAAAAAACgwBAAAAAAAACg0BAAAAAAAABA4CAAAAAAAAAw8BAAEAAAAADwBEAgAAAAAAAA8AREEAAQAAAAAAREBEgQAAAAAAAABEgETBAAAAAAAAAETARQIAAQEAAAAARQBFQQAAAAAAAABFAEWBAAEBAAAAAEWARcIAAQEAAAAARcBGAQAAAAAAAABFwEZBAAEBAAAAAEZARoIAAQEAAAAARoBEwQABAQAAAAAARsIBAQAAAAAARsBEQQABAAAAAABGwEcBAAEAAAAAAEcAR0EAAQAAAAAAR0BHgQABAAAAAABHgAEAAQAAAAAAAAAAA==</t>
        </r>
      </text>
    </comment>
    <comment ref="D163" authorId="0">
      <text>
        <r>
          <rPr>
            <sz val="9"/>
            <color indexed="81"/>
            <rFont val="Tahoma"/>
            <family val="2"/>
          </rPr>
          <t>Insight iXlW00004C0000163R0841462918S00000162P01084LAocjBAQBF1NjaVRlZ2ljLmRhdGEuTW9sZWN1bGUBbQF/ARJTY2lUZWdpYy5Nb2xlY3VsZQAAAQFkAv5qAQAAAAIAAjwBIwAAAPwEAPwAAgAAAAAAAPC/AmidB3/UayFAAuk3j2FWNhdAAAAAABgAAAD8CAD8AAIAAAAAAADwvwJJQFYqUC8gQALkbRI60aMYQAAAAAAYAAAA/AgA/AACAAAAAAAA8L8Co0CWtk8vIEACFnMamoY1HEAAAAAAGAAAAPwIAPwAAgAAAAAAAPC/AsAYZTtURx1AAgx3lolf/h1AAAAAACQAAAD8BAD8AAIAAAAAAADwvwJ1GeVTU0cdQAIz6NUzwS8gQAAAAAAYAAAA/AgA/AACAAAAAAAA8L8CWa/9KgowGkACwnRKdIQ1HEAAAAAAARAAAAD8BAD8AAIAAAAAAADwvwJpnabbTxgXQAJtRhbvnf4dQAAAAAAcAAAA/AgA/AACAAAAAAAA8L8C8RFXT7oXF0ACIvROaGnIIEAAAAAAAWkAAAD8BAD8AAIAAAAAAADwvwIAAAAAAAAUQAL33LQl9qwhQAAAAAABaQAAAPwEAPwAAgAAAAAAAPC/AmdJTndELxpAAn7FjEUUrSFAAAAAACAAAAD8CAD8AAIAAAAAAADwvwL0BfSLGp8UQAKnuFl2y2sfQAAAAAAgAAAA/AgA/AACAAAAAAAA8L8Cj8uDfWWfFEACZzmjhu6QHEAAAAAAGAAAAPwIAPwAAgAAAAAAAPC/Ao6ubS8LMBpAAsZushjQoxhAAAAAABgAAAD8CAD8AAIAAAAAAADwvwJXF2UKVkcdQAJAa4aY9toWQAAAAAABEQAAAPwEAPwAAgAAAAAAAPC/Av0WJX5WRx1AAv7//////xNAAAAAADwABAQAAAAAAAAECAgMBAQAAAAIDAQABAQAAAAMEAQAAAAAAAAMFAgMBAQAAAAUGAQAAAAAAAAYHAQAAAAAAAAcIAQAAAAAAAAcJAQAAAAAAAAYKAgAAAAAAAAYLAgAAAAAAAAUMAQABAQAAAAwNAgIBAQAAAA0BAQABAQAAAA0OAQAAAAAAAAAAAAA</t>
        </r>
      </text>
    </comment>
    <comment ref="D164" authorId="0">
      <text>
        <r>
          <rPr>
            <sz val="9"/>
            <color indexed="81"/>
            <rFont val="Tahoma"/>
            <family val="2"/>
          </rPr>
          <t>Insight iXlW00004C0000164R0841462918S00000163P02124LAocjBAQBF1NjaVRlZ2ljLmRhdGEuTW9sZWN1bGUBbQF/ARJTY2lUZWdpYy5Nb2xlY3VsZQAAAQFkAv5qAQAAAAIBAgEeGAAAAPwIAPwAAgAAAAAAAPC/Au5aiZ3eyPQ/AnvHq2L8/+e/AAAAAAEjAAAA/AQA/AACAAAAAAAA8L8CUg2VWsi0AkACwqlLa5SZ9b8AAAAAGAAAAPwIAPwAAgAAAAAAAPC/AiqK0FrYyPQ/AtNhohISAOg/AAAAABgAAAD8CAD8AAIAAAAAAADwvwKBSZam6LHgvgI56m80AQD4PwAAAAAYAAAA/AgA/AACAAAAAAAA8L8CBLTFs+DI9L8CEssCKPX/5z8AAAAAGAAAAPwEAPwAAgAAAAAAAPC/AtwMWy+DzQTAAlIEcK219vc/AAAAABgAAAD8CAD8AAIAAAAAAADwvwLj9VTlNDEPwAIci5ax1trnPwAAAAAcAAAA/AgA/AACAAAAAAAA8L8C0MJzaIvNFMACbmnFb7ja9z8AAAAAGAAAAPwIAPwAAgAAAAAAAPC/AkDV4lgX/RnAAqoZJjqdkOc/AAAAACAAAAD8CAD8AAIAAAAAAADwvwLcbKiHYicewAJs66MWJlP1PwAAAAAYAAAA/AgA/AACAAAAAAAA8L8Cep/EkcX3GcACoKqR6E9v6L8AAAAAGAAAAPwIAPwAAgAAAAAAAPC/AsKcrtnnwhTAAqz10xs3Jfi/AAAAABgAAAD8CAD8AAIAAAAAAADwvwKwjWembLoUwALOEC+ARRQIwAAAAAAcAAAA/AgA/AACAAAAAAAA8L8C1jgpu3oHD8ACjgKAcRcIDsAAAAAAGAwAAPwEAPwAAgAAAAAAAPC/AtRmah2D9g7AAncHbNndBBXAAAAAABgAAAD8BAD8AAIAAAAAAADwvwI7bd6JN6ATwAKDeAiTy3AXwAAAAAAYAAAA/AgA/AACAAAAAAAA8L8CSYTEiySJBMACV4AU0sb+F8AAAAAAGAAAAPwIAPwAAgAAAAAAAPC/Am/ycuqxcwTAAnVYcbTF/h3AAAAAABgAAAD8CAD8AAIAAAAAAADwvwI0haIpZAn0vwIE/BPPxXogwAAAAAAYAAAA/AgA/AACAAAAAAAA8L8CwNEznH5CpT8CnQ+wQFvsHcAAAAAAGAAAAPwEAPwAAgAAAAAAAPC/AuywUj8Ci/U/AlkwHTHGcSDAAAAAACQAAAD8BAD8AAIAAAAAAADwvwLC9Gk6JbD1PwIr7DgaKNgiwAAAAAAkAAAA/AQA/AACAAAAAAAA8L8CFMbN7uUMA0ACXmVqLHZ1HsAAAAAAJAAAAPwEAPwAAgAAAAAAAPC/AuL2SSjhHgNAAlSeYK0HoSHAAAAAABgAAAD8CAD8AAIAAAAAAADwvwIAZGAOn+OfPwLYBXmrZOwXwAAAAAAYAAAA/AgA/AACAAAAAAAA8L8CWrI3H29e9L8CPDOC2Z31FMAAAAAAIAAAAPwIAPwAAgAAAAAAAPC/AoDHkKFi3xjAAunyZ/Mg7AzAAAAAABwAAAD8CAD8AAIAAAAAAADwvwJy3sbFtiYPwAIo+DTJoSXovwAAAAAYAAAA/AgA/AACAAAAAAAA8L8CA8YOcdrI9L8C1pL71woA6L8AAAAAGAAAAPwIAPwAAgAAAAAAAPC/AiCKiqbosdA+AvIAcTQBAPi/AAAAAAEgAAQEAAAAAAAAAAgIAAQEAAAACAwEAAQEAAAADBAIAAQEAAAAEBQEAAAAAAAAFBgEAAAAAAAAGBwEAAQAAAAAHCAEAAQAAAAAICQIAAAAAAAAICgEAAQAAAAAKCwIBAQAAAAALDAEAAAAAAAAMDQEAAAAAAAANDgEAAAAAAAAODwEEAAAAAAAOAEQBAAAAAAAAAEQAREIAAQEAAAAAREBEgQABAQAAAABEgETCAAEBAAAAAETARQEAAAAAAAAARQBFQQAAAAAAAABFAEWBAAAAAAAAAEUARcEAAAAAAAAARMBGAQABAQAAAABGAEZCAAEBAAAAAEZARAEAAQEAAAAMAEaCAAAAAAAABgBGwgEBAAAAAABGywEAAQAAAAAEAEcBAAEBAAAAAEcAR0IAAQEAAAAAR0ABAAEBAAAAAAAAAA=</t>
        </r>
      </text>
    </comment>
    <comment ref="D165" authorId="0">
      <text>
        <r>
          <rPr>
            <sz val="9"/>
            <color indexed="81"/>
            <rFont val="Tahoma"/>
            <family val="2"/>
          </rPr>
          <t>Insight iXlW00004C0000165R0841462918S00000164P01716LAocjBAQBF1NjaVRlZ2ljLmRhdGEuTW9sZWN1bGUBbQF/ARJTY2lUZWdpYy5Nb2xlY3VsZQAAAQFkAv5qAQAAAAIAAgEYGAAAAPwIAPwAAgAAAAAAAPC/Au5aiZ3eyPQ/AnvHq2L8/+e/AAAAABgAAAD8CAD8AAIAAAAAAADwvwIqitBa2Mj0PwLTYaISEgDoPwAAAAABIwAAAPwEAPwAAgAAAAAAAPC/AsZrIrjCtAJAAnYBEPCnmfU/AAAAABgAAAD8CAD8AAIAAAAAAADwvwKBSZam6LHgvgI56m80AQD4PwAAAAAYAAAA/AgA/AACAAAAAAAA8L8CYPlzk/my8L4C+ewyjYkBCEAAAAAAHAAAAPwIAPwAAgAAAAAAAPC/AmjToe/wZPM/ApDt50F25g5AAAAAABwAAAD8CAD8AAIAAAAAAADwvwLzeaIZEeLnPwKOCbqySycVQAAAAAAcAAAA/AgA/AACAAAAAAAA8L8CW9Kg6eod6L8Cgn/6oNkkFUAAAAAAHAAAAPwIAPwAAgAAAAAAAPC/AjOV6GxCcPO/Alu9g0CM3g5AAAAAABgAAAD8CAD8AAIAAAAAAADwvwIEtMWz4Mj0vwISywIo9f/nPwAAAAABEAAAAPwEAPwAAgAAAAAAAPC/AtwMWy+DzQTAAlIEcK219vc/AAAAABgAAAD8BAD8AAIAAAAAAADwvwLj9VTlNDEPwAIci5ax1trnPwAAAAAYAAAA/AgA/AACAAAAAAAA8L8CFjAPtiHNFMACnoCqnh7k9z8AAAAAGAAAAPwIAPwAAgAAAAAAAPC/ApzJf49m/xnAAvrWpQl1yOc/AAAAABgAAAD8CAD8AAIAAAAAAADwvwJHkye7ojEfwALMbx4CF+T3PwAAAAAYAAAA/AgA/AACAAAAAAAA8L8CWF5vVK0xH8ACAH/8gAvyB0AAAAAAGAAAAPwIAPwAAgAAAAAAAPC/AipwEMJ7/xnAApJKtXYe8g1AAAAAABgAAAD8CAD8AAIAAAAAAADwvwJYB9sQP80UwAKwWbsGMvIHQAAAAAAYAAAA/AgA/AACAAAAAAAA8L8CA8YOcdrI9L8C1pL71woA6L8AAAAAGAAAAPwEAPwAAgAAAAAAAPC/Amo4NEJQygTAAp2Tbn66Afi/AAAAACQAAAD8BAD8AAIAAAAAAADwvwIQoaDZcBsNwAL8QaAMsNXsvwAAAAAkAAAA/AQA/AACAAAAAAAA8L8C1Uv8g4bJBMACVRWJ0HaaBcAAAAAAJAAAAPwEAPwAAgAAAAAAAPC/AnfNfYQRGg3AAhxNax6vzgDAAAAAABgAAAD8CAD8AAIAAAAAAADwvwIgioqm6LHQPgLyAHE0AQD4vwAAAAABGgAECAAEBAAAAAQIBAAAAAAAAAQMBAAEBAAAAAwQBAAAAAAAABAUBAAEBAAAABQYBAAEBAAAABgcCAAEBAAAABwgBAAEBAAAACAQCAAEBAAAAAwkCAAEBAAAACQoBAAAAAAAACgsBAAAAAAAACwwBAAAAAAAADA0CAAEBAAAADQ4BAAEBAAAADg8CAAEBAAAADwBEAQABAQAAAABEAERCAAEBAAAAAERMAQABAQAAAAkARIEAAQEAAAAARIBEwQAAAAAAAABEwEUBAAAAAAAAAETARUEAAAAAAAAARMBFgQAAAAAAAABEgEXCAAEBAAAAAEXAAQABAQAAAAAAAAA</t>
        </r>
      </text>
    </comment>
    <comment ref="D166" authorId="0">
      <text>
        <r>
          <rPr>
            <sz val="9"/>
            <color indexed="81"/>
            <rFont val="Tahoma"/>
            <family val="2"/>
          </rPr>
          <t>Insight iXlW00004C0000166R0841462918S00000165P02052LAocjBAQBF1NjaVRlZ2ljLmRhdGEuTW9sZWN1bGUBbQF/ARJTY2lUZWdpYy5Nb2xlY3VsZQAAAQFkAv5qAQAAAAIBAgEdGAAAAPwIAPwAAgAAAAAAAPC/Au5aiZ3eyPQ/AnvHq2L8/+e/AAAAABgAAAD8CAD8AAIAAAAAAADwvwIdm4DrMsoEQAJatjrsggH4vwAAAAAcAAAA/AgA/AACAAAAAAAA8L8CMNQCGOmbD0ACYu0ThiU17L8AAAAAGAAAAPwIAPwAAgAAAAAAAPC/AlMdbK3tzxNAApCbUAX49v+/AAAAABgMAAD8BAD8AAIAAAAAAADwvwJ1wVuyh8gZQALWYvAGHn79vwAAAAAYAAAA/AQA/AACAAAAAAAA8L8CIKGeA0FUHUACiPaJ5zJPCMAAAAAAGAgAAPwEAPwAAgAAAAAAAPC/AnzOAlNrfiFAAv2hiy+iUQTAAAAAACQAAAD8BAD8AAIAAAAAAADwvwJYMwNgS3gjQALGwlhcWsQJwAAAAAAYAAAA/AQA/AACAAAAAAAA8L8CLcdA2lhrIUACuuQ/cSml8L8AAAAAHAAAAPwIAPwAAgAAAAAAAPC/AjoH7PuIFh1AAjYC8yqAmOO/AAAAABgAAAD8CAD8AAIAAAAAAADwvwLNI153AQ8bQAKuheWtqoPpPwAAAAAgAAAA/AgA/AACAAAAAAAA8L8CKMjYwpBVFkACyUox1OMm8D8AAAAAGAgAAPwEAPwAAgAAAAAAAPC/AsGxyghG7h5AAlriMlqKG/8/AAAAABwAAAD8CAD8AAIAAAAAAADwvwImjZC4veUcQALllQC9yNkKQAAAAAAYAAAA/AgA/AACAAAAAAAA8L8CjY3+JIFiIEAC1FJQn1EDEkAAAAAAIAAAAPwIAPwAAgAAAAAAAPC/Al87QX85vyJAAtewAAAOKhFAAAAAACAAAAD8BAD8AAIAAAAAAADwvwKA9sL5ebweQAIw5UNnU6kXQAAAAAAYAAAA/AQA/AACAAAAAAAA8L8C5awsDofqIEACtmuB4VlUG0AAAAAAGAAAAPwEAPwAAgAAAAAAAPC/AuZ7xFa8ayJAAjhNbKkP6fo/AAAAABgAAAD8BAD8AAIAAAAAAADwvwL4vudMgfcjQALDA8yrVcwEQAAAAAAYAAAA/AQA/AACAAAAAAAA8L8ClUrg9AU9I0ACHEyZsqG34T8AAAAAHAAAAPwIAPwAAgAAAAAAAPC/AgWKOUPSzRBAAkgsCxl6XQrAAAAAABgAAAD8CAD8AAIAAAAAAADwvwJxcJrcyd8FQAIMKdimA9oHwAAAAAAYAAAA/AgA/AACAAAAAAAA8L8CKorQWtjI9D8C02GiEhIA6D8AAAAAGAAAAPwIAPwAAgAAAAAAAPC/AoFJlqboseC+AjnqbzQBAPg/AAAAABgAAAD8CAD8AAIAAAAAAADwvwIEtMWz4Mj0vwISywIo9f/nPwAAAAABIwAAAPwEAPwAAgAAAAAAAPC/AhMLjNDJtALAAsJo1VuPmfU/AAAAABgAAAD8CAD8AAIAAAAAAADwvwIDxg5x2sj0vwLWkvvXCgDovwAAAAAYAAAA/AgA/AACAAAAAAAA8L8CIIqKpuix0D4C8gBxNAEA+L8AAAAAAR8ABAQAAAAAAAAECAQABAQAAAAIDAQABAQAAAAQDAQQAAAAAAAQFAQABAAAAAAUGAQABAAAAAAYHAQUAAAAAAAYIAQABAAAAAAgJAQABAAAAAAkEAQABAAAAAAkKAQAAAAAAAAoLAgAAAAAAAAoMAQAAAAAAAAwNAQQAAAAAAA0OAQAAAAAAAA4PAgAAAAAAAA4ARAEAAAAAAAAARABEQQAAAAAAAAwARIEAAAAAAAAARIBEwQAAAAAAAABEgEUBAAAAAAAAAwBFQgABAQAAAABFQEWBAAEBAAAAAEWBAgABAQAAAAAARcIAAQEAAAAARcBGAQABAQAAAABGAEZCAAEBAAAAAEZARoEAAAAAAAAARkBGwQABAQAAAABGwEcCAAEBAAAAAEcAAQABAQAAAAAAAAA</t>
        </r>
      </text>
    </comment>
    <comment ref="D167" authorId="0">
      <text>
        <r>
          <rPr>
            <sz val="9"/>
            <color indexed="81"/>
            <rFont val="Tahoma"/>
            <family val="2"/>
          </rPr>
          <t>Insight iXlW00004C0000167R0841462918S00000166P01648LAocjBAQBF1NjaVRlZ2ljLmRhdGEuTW9sZWN1bGUBbQF/ARJTY2lUZWdpYy5Nb2xlY3VsZQAAAQFkAv5qAQAAAAIBAgEXGAAAAPwIAPwAAgAAAAAAAPC/Au5aiZ3eyPQ/AnvHq2L8/+e/AAAAABgAAAD8CAD8AAIAAAAAAADwvwIqitBa2Mj0PwLTYaISEgDoPwAAAAAYAAAA/AgA/AACAAAAAAAA8L8CgUmWpuix4L4COepvNAEA+D8AAAAAGAAAAPwIAPwAAgAAAAAAAPC/AgS0xbPgyPS/AhLLAij1/+c/AAAAABgAAAD8CAD8AAIAAAAAAADwvwIDxg5x2sj0vwLWkvvXCgDovwAAAAABIwAAAPwEAPwAAgAAAAAAAPC/AnS7Gi7EtALAAqpGm+CimfW/AAAAABgAAAD8CAD8AAIAAAAAAADwvwIgioqm6LHQPgLyAHE0AQD4vwAAAAABEQAAAPwEAPwAAgAAAAAAAPC/Ah+WJ4AIDd4+Aun00TOamQXAAAAAABwAAAD8CAD8AAIAAAAAAADwvwL6y6L4VMwFQAKFmKiRpWrzPwAAAAAYAAAA/AgA/AACAAAAAAAA8L8CCl8tTATaDEACEgVuHtIa7j4AAAAAGAAAAPwIAPwAAgAAAAAAAPC/At5+QglazAVAAvW98NKOavO/AAAAACAAAAD8BAD8AAIAAAAAAADwvwJQpRPYDIYJQAIDMonvuxkFwAAAAAAYCAAA/AQA/AACAAAAAAAA8L8CbpOUx66iEkACmNc9ngqVB8AAAAAAGAwAAPwEAPwAAgAAAAAAAPC/AnYVj8U5ghRAAglbfm7HfRHAAAAAACAAAAD8BAD8AAIAAAAAAADwvwKycCuOB08RQAKeD3AIrREVwAAAAAAYDAAA/AQA/AACAAAAAAAA8L8CtxxzlLNhGkACkz5RizG4EsAAAAAAGAgAAPwEAPwAAgAAAAAAAPC/AtTStzm7YR5AAj2wMva0fgzAAAAAACAAAAD8BAD8AAIAAAAAAADwvwK1k0d+QYohQAIphHz1xXUOwAAAAAAYCAAA/AQA/AACAAAAAAAA8L8CFrPpdkmCHEACMzk4tjEYAcAAAAAAGAAAAPwEAPwAAgAAAAAAAPC/AnmsFAafQiBAAq7nXybsUvC/AAAAACAAAAD8BAD8AAIAAAAAAADwvwLL3pfe1JsiQAJjRXTv6Ef0vwAAAAAgAAAA/AQA/AACAAAAAAAA8L8CPnKz3s+iFkACdeZK47ZG/b8AAAAAIAAAAPwEAPwAAgAAAAAAAPC/AponZy9C4RtAAu9LKB2ZRxfAAAAAAAEZAAQIAAQEAAAABAgEAAQEAAAACAwIAAQEAAAADBAEAAQEAAAAEBQEAAAAAAAAEBgIAAQEAAAAGAAEAAQEAAAAGBwEAAAAAAAABCAEAAQEAAAAICQEAAQEAAAAJCgIAAQEAAAAKAAEAAQEAAAAKCwEAAAAAAAAMCwEFAAAAAAAMDQEAAQAAAAANDgEEAAAAAAANDwEAAQAAAAAPAEQBAAEAAAAAAEQAREEFAAAAAAAARABEgQABAAAAAABEgETBBQAAAAAAAETARQEAAAAAAAAARIBFQQABAAAAAABFTAEAAQAAAAAPAEWBBQAAAAAAAAAAAA=</t>
        </r>
      </text>
    </comment>
    <comment ref="D168" authorId="0">
      <text>
        <r>
          <rPr>
            <sz val="9"/>
            <color indexed="81"/>
            <rFont val="Tahoma"/>
            <family val="2"/>
          </rPr>
          <t>Insight iXlW00004C0000168R0841462918S00000167P02056LAocjBAQBF1NjaVRlZ2ljLmRhdGEuTW9sZWN1bGUBbQF/ARJTY2lUZWdpYy5Nb2xlY3VsZQAAAQFkAv5qAQAAAAIAAgEdGAAAAPwEAPwAAgAAAAAAAPC/AtwR8kIerSVAAr3JUmHokCBAAAAAABgAAAD8BAD8AAIAAAAAAADwvwK67D3SHa0lQAIO4dnFPEsiQAAAAAAYAAAA/AgA/AACAAAAAAAA8L8CbBzXWAwuJEACFqfLJGYoI0AAAAAAGAAAAPwIAPwAAgAAAAAAAPC/Ai//Z3r7riJAAtwILro7SyJAAAAAABgAAAD8BAD8AAIAAAAAAADwvwJRJBzr+64iQAJSm3HU55AgQAAAAAAcAAAA/AgA/AACAAAAAAAA8L8CsmY/Og0uJEACKnweXnxnH0AAAAAAGAAAAPwIAPwAAgAAAAAAAPC/AoxINI/2LiRAAipA6/1W8htAAAAAACAAAAD8BAD8AAIAAAAAAADwvwLW21Fdjq4lQAIXHGz23DgaQAAAAAAYAAAA/AQA/AACAAAAAAAA8L8CnUuK3HevJUACWmvcPLnDFkAAAAAAGAAAAPwEAPwAAgAAAAAAAPC/Ai3UN4cs4iZAAnh0K268YhVAAAAAABgAAAD8BAD8AAIAAAAAAADwvwKIFnHTUn0kQAKQkiwPy2AVQAAAAAAYAAAA/AQA/AACAAAAAAAA8L8CGJ8efgewJUACAAAAAAAAFEAAAAAAIAAAAPwIAPwAAgAAAAAAAPC/AhqYMZTR/CJAAmBnO9BojxpAAAAAABgAAAD8CAD8AAIAAAAAAADwvwKlcgzaCy4kQALpHbUmuuIkQAAAAAAYAAAA/AgA/AACAAAAAAAA8L8CtB2PUvquIkAC8OOmheO/JUAAAAAAIAAAAPwEAPwAAgAAAAAAAPC/Aki1G8biryJAApQG10N2eidAAAAAABgAAAD8BAD8AAIAAAAAAADwvwJanSsOl+IjQAJwsBA49SooQAAAAAAYAAAA/AgA/AACAAAAAAAA8L8CdgAgdOkvIUACtkUJG7niJEAAAAAAIAAAAPwEAPwAAgAAAAAAAPC/Ah7PYVNaYB9AAo/x0zU4vyVAAAAAABgAAAD8CAD8AAIAAAAAAADwvwIsR11MbmIcQAIEFFsWY+EkQAAAAAAYAAAA/AgA/AACAAAAAAAA8L8CN2T487liGUACmnxdZzS9JUAAAAAAGAAAAPwIAPwAAgAAAAAAAPC/AjqhJSMhZhZAAqGw/gy33iRAAAAAACQAAAD8BAD8AAIAAAAAAADwvwIAAAAAAAAUQAJLcYxslY4lQAAAAAAYAAAA/AgA/AACAAAAAAAA8L8CPQ7GcDFpFkACcP9m3mMkI0AAAAAAASMAAAD8BAD8AAIAAAAAAADwvwJ7LJDEgwUUQAIzNFEeZnIiQAAAAAAYAAAA/AgA/AACAAAAAAAA8L8CPj45j9poGUACpQfU0Y1IIkAAAAAAGAAAAPwIAPwAAgAAAAAAAPC/Al0mwNBzZRxAAsS3q9cKJyNAAAAAABgAAAD8CAD8AAIAAAAAAADwvwKZJdTk6S8hQAIs2Ew1ZSgjQAAAAAABaQAAAPwEAPwAAgAAAAAAAPC/Asv9f/DqLyFAAsIMAgx7Zx9AAAAAAAEfAAQEAAQAAAAABAgEAAQAAAAACAwICAQEAAAADBAEAAQAAAAAEBQEAAQAAAAAFAAEAAQAAAAAFBgEAAAAAAAAGBwEAAAAAAAAHCAEAAAAAAAAICQEAAAAAAAAICgEAAAAAAAAICwEAAAAAAAAGDAIAAAAAAAACDQEAAQEAAAANDgIDAQEAAAAODwEAAAAAAAAPAEQBAAAAAAAADgBEQQABAQAAAABEQESBAAAAAAAAAESARMEAAAAAAAAARMBFAgMBAQAAAABFAEVBAAEBAAAAAEVARYEAAAAAAAAARUBFwgMBAQAAAABFwEYBAAAAAAAAAEXARkEAAQEAAAAARkBGggIBAQAAAABGgETBAAEBAAAAAERARsICAQEAAAAARsMBAAEBAAAABABHAQAAAAAAAAAAAAA</t>
        </r>
      </text>
    </comment>
    <comment ref="D169" authorId="0">
      <text>
        <r>
          <rPr>
            <sz val="9"/>
            <color indexed="81"/>
            <rFont val="Tahoma"/>
            <family val="2"/>
          </rPr>
          <t>Insight iXlW00004C0000169R0841462918S00000168P01784LAocjBAQBF1NjaVRlZ2ljLmRhdGEuTW9sZWN1bGUBbQF/ARJTY2lUZWdpYy5Nb2xlY3VsZQAAAQFkAv5qAQAAAAIBAgEZGAAAAPwIAPwAAgAAAAAAAPC/AoZqSf+fBQlAAhR8jknPUPk/AAAAABwAAAD8CAD8AAIAAAAAAADwvwLxCGFTqQARQAJz8ASsN8TiPwAAAAAYAAAA/AgA/AACAAAAAAAA8L8CV8aSOOabD0ACF16QDiU17L8AAAAAGAAAAPwIAPwAAgAAAAAAAPC/AuB8L7ntzxNAAgikRS/69v+/AAAAABgAAAD8BAD8AAIAAAAAAADwvwJwibv6MpYYQAJ8W0NX8vz9vwAAAAAcAAAA/AgA/AACAAAAAAAA8L8C6lyMA9LNEEACNMSX1npdCsAAAAAAGAAAAPwIAPwAAgAAAAAAAPC/Ah2bgOsyygRAAlq2OuyCAfi/AAAAABgAAAD8CAD8AAIAAAAAAADwvwLuWomd3sj0PwJ7x6ti/P/nvwAAAAAYAAAA/AgA/AACAAAAAAAA8L8CKorQWtjI9D8C02GiEhIA6D8AAAAAGAAAAPwIAPwAAgAAAAAAAPC/AoFJlqboseC+AjnqbzQBAPg/AAAAABgAAAD8CAD8AAIAAAAAAADwvwIEtMWz4Mj0vwISywIo9f/nPwAAAAABIwAAAPwEAPwAAgAAAAAAAPC/AhMLjNDJtALAAsJo1VuPmfU/AAAAABgAAAD8CAD8AAIAAAAAAADwvwIDxg5x2sj0vwLWkvvXCgDovwAAAAAYAAAA/AgA/AACAAAAAAAA8L8CIIqKpuix0D4C8gBxNAEA+L8AAAAAIAAAAPwIAPwAAgAAAAAAAPC/As2zxoHJ3wVAAn6y4bkD2gfAAAAAACAAAAD8BAD8AAIAAAAAAADwvwLixqvQ/msLQAIaOokwEWwIQAAAAAAYCAAA/AQA/AACAAAAAAAA8L8Chh8zKUxwAkACBJ4ndbUxEEAAAAAAGAAAAPwIAPwAAgAAAAAAAPC/AuJ7lfqq1gRAAgycCDuKExZAAAAAABgAAAD8CAD8AAIAAAAAAADwvwKCAwt+VL73PwJ2HgH/WhAaQAAAAAAYAAAA/AgA/AACAAAAAAAA8L8CYKgDdaeW/D8CaOhLIrvwH0AAAAAAGAAAAPwIAPwAAgAAAAAAAPC/AnTgf+UPrwlAAlzvtOUw6iBAAAAAABgAAAD8CAD8AAIAAAAAAADwvwJnKOHcUVMRQAI2lsyBqNcdQAAAAAAYAAAA/AgA/AACAAAAAAAA8L8CUpbBJD4dEEACZCCVKEj3F0AAAAAAGAAAAPwEAPwAAgAAAAAAAPC/Aho5bvcVqvI/Ah6nhXWRWQ1AAAAAACAAAAD8CAD8AAIAAAAAAADwvwIaz5qjvdT/PwJCUvtfHD3zPwAAAAABGwAEBAAAAAAAAAQIBAAAAAAAAAgMBAAEBAAAAAwQBAAAAAAAAAwUCAAEBAAAAAgYCAAEBAAAABgcBAAAAAAAABwgCAAEBAAAACAkBAAEBAAAACQoCAAEBAAAACgsBAAAAAAAACgwBAAEBAAAADA0CAAEBAAAADQcBAAEBAAAABg4BAAEBAAAADgUBAAEBAAAAAA8BAAAAAAAADwBEAQAAAAAAAABEAERBAAAAAAAAAERARIIAAQEAAAAARIBEwQABAQAAAABEwEUCAAEBAAAAAEUARUEAAQEAAAAARUBFggABAQAAAABFgERBAAEBAAAAAEQARcEFAAAAAAAAAEYCAAAAAAAAAAAAAA=</t>
        </r>
      </text>
    </comment>
    <comment ref="D170" authorId="0">
      <text>
        <r>
          <rPr>
            <sz val="9"/>
            <color indexed="81"/>
            <rFont val="Tahoma"/>
            <family val="2"/>
          </rPr>
          <t>Insight iXlW00004C0000170R0841462918S00000169P02204LAocjBAQBF1NjaVRlZ2ljLmRhdGEuTW9sZWN1bGUBbQF/ARJTY2lUZWdpYy5Nb2xlY3VsZQAAAQFkAv5qAQAAAAIBAgEfGAAAAPwIAPwAAgAAAAAAAPC/AjZyav6Mp/8/AoKOm03p7fQ/AAAAABgAAAD8CAD8AAIAAAAAAADwvwJgNYXA113xPwJQWN5smVS6PwAAAAAcAAAA/AQA/AACAAAAAAAA8L8C1DzKxW/t+j8CRJpCHnxh9L8AAAAAHAAAAPwIAPwAAgAAAAAAAPC/ApgmgMbZH+0/AnFqQQgtWwTAAAAAABgAAAD8CAD8AAIAAAAAAADwvwLc4Ovt32z+PwKToCv4dlwNwAAAAAAYAAAA/AQA/AACAAAAAAAA8L8CoEUdKmAv+T8C9JAG5VOHFMAAAAAAJAAAAPwEAPwAAgAAAAAAAPC/AoDV0ndbdds/AkVQjir89hXAAAAAACQAAAD8BAD8AAIAAAAAAADwvwLYMLhzeKgDQAK3pbhjNccXwAAAAAAkAAAA/AQA/AACAAAAAAAA8L8CmIIa/DL/9D8CDRggWok2GcAAAAAAGAwAAPwEAPwAAgAAAAAAAPC/AvqpC4xZOgpAAndvPbW+mQjAAAAAABgAAAD8BAD8AAIAAAAAAADwvwLoPmDOjz4RQAKfDHVdwX0NwAAAAAAYDAAA/AQA/AACAAAAAAAA8L8C/vraua4aCUACdqRgo3xO+b8AAAAAGAAAAPwIAPwAAgAAAAAAAPC/AqQy32rqBhFAAhpNrsmgueK/AAAAACAAAAD8CAD8AAIAAAAAAADwvwIiO48BcA0QQAIArCOzCeDiPwAAAAAcAAAA/AgA/AACAAAAAAAA8L8Cg5J7HE66FkAC1OHRWcXj8L8AAAAAGAAAAPwIAPwAAgAAAAAAAPC/ArrXe8HpexhAAuDbR5EA0APAAAAAACAAAAD8CAD8AAIAAAAAAADwvwL63DrbMKEVQAK9vozO2YcLwAAAAAAgAAAA/AQA/AACAAAAAAAA8L8CR4OXcOh7HkACCHKqMvPXA8AAAAAAGAAAAPwEAPwAAgAAAAAAAPC/AkZ0szArLSBAAjfYINaK4fC/AAAAABgMAAD8BAD8AAIAAAAAAADwvwLET1R5B4IbQAIkcuj1psrFvwAAAAAYAAAA/AgA/AACAAAAAAAA8L8C4e/o1t18G0ACukL8JbRJ9T8AAAAAGAAAAPwIAPwAAgAAAAAAAPC/AvpZZyTQjBZAAkxkTLslYwFAAAAAABgAAAD8CAD8AAIAAAAAAADwvwIsoaA6pgEXQAIAB9lPP1oNQAAAAAAYAAAA/AgA/AACAAAAAAAA8L8CwIYZlW1qHEACJHg2eLdFEUAAAAAAGAAAAPwIAPwAAgAAAAAAAPC/Ai9uMbIvryBAAlgA6YGFxQtAAAAAABgAAAD8CAD8AAIAAAAAAADwvwI/+0AsxXQgQAK29XKJ15z/PwAAAAAYAAAA/AgA/AACAAAAAAAA8L8CQNLm+OTo2b8CWF7nwJqC0T8AAAAAGAAAAPwIAPwAAgAAAAAAAPC/Alz0MVeYCPC/AmrXmnubZPo/AAAAABgAAAD8CAD8AAIAAAAAAADwvwIAK7twdu67vwI39rexmtYGQAAAAAABIwAAAPwEAPwAAgAAAAAAAPC/AugSvp8DyOK/AkIclUf8pA9AAAAAABgAAAD8CAD8AAIAAAAAAADwvwKYa1IRKhn2PwIrEcY37ngFQAAAAAABIgAECAAEBAAAAAQIBAAAAAAAAAgMBAAEAAAAAAwQCAQEAAAAABAUBAAAAAAAABQYBAAAAAAAABQcBAAAAAAAABQgBAAAAAAAABAkBAAEAAAAACQoBBAAAAAAACQsBAAEAAAAACwIBAAEAAAAACwwBBQAAAAAADA0CAAAAAAAADA4BAAAAAAAADg8BAAEAAAAADwBEAgAAAAAAAA8AREEAAQAAAAAAREBEgQABAAAAAABEgETBAAEAAAAAAETOAQABAAAAAABEwEUBBQAAAAAAAEUARUIAAQEAAAAARUBFgQABAQAAAABFgEXCAAEBAAAAAEXARgEAAQEAAAAARgBGQgABAQAAAABGQEUBAAEBAAAAAQBGgQABAQAAAABGgEbCAAEBAAAAAEbARwEAAQEAAAAARwBHQQAAAAAAAABHAEeCAAEBAAAAAEeAAQABAQAAAAAAAAA</t>
        </r>
      </text>
    </comment>
    <comment ref="D171" authorId="0">
      <text>
        <r>
          <rPr>
            <sz val="9"/>
            <color indexed="81"/>
            <rFont val="Tahoma"/>
            <family val="2"/>
          </rPr>
          <t>Insight iXlW00004C0000171R0841462918S00000170P00960LAocjBAQBF1NjaVRlZ2ljLmRhdGEuTW9sZWN1bGUBbQF/ARJTY2lUZWdpYy5Nb2xlY3VsZQAAAQFkAv5qAQAAAAIAAjQBIwAAAPwEAPwAAgAAAAAAAPC/AlINlVrItAJAAsKpS2uUmfW/AAAAABgAAAD8CAD8AAIAAAAAAADwvwLuWomd3sj0PwJ7x6ti/P/nvwAAAAAYAAAA/AgA/AACAAAAAAAA8L8CKorQWtjI9D8C02GiEhIA6D8AAAAAHAAAAPwIAPwAAgAAAAAAAPC/AoFJlqboseC+AjnqbzQBAPg/AAAAABgAAAD8CAD8AAIAAAAAAADwvwIEtMWz4Mj0vwISywIo9f/nPwAAAAAYAAAA/AgA/AACAAAAAAAA8L8CA8YOcdrI9L8C1pL71woA6L8AAAAAGAAAAPwIAPwAAgAAAAAAAPC/AiCKiqbosdA+AvIAcTQBAPi/AAAAABgAAAD8CAD8AAIAAAAAAADwvwLWmyE5LsoEwAJ0KFwxkwH4vwAAAAAYAAAA/AgA/AACAAAAAAAA8L8CM2gw4UMxD8ACCD/Iv4YU6L8AAAAAGAAAAPwIAPwAAgAAAAAAAPC/Au5n03ufyRTAAhleHWO7Evi/AAAAABgAAAD8CAD8AAIAAAAAAADwvwLmcT6xLccUwAKEgpmyXAkIwAAAAAAYAAAA/AgA/AACAAAAAAAA8L8C+eVetnwnD8ACuuN45iAFDsAAAAAAGAAAAPwIAPwAAgAAAAAAAPC/ArOlDZSAxQTAAlpDGbPmAAjAAAAAADgABAQAAAAAAAAECAgABAQAAAAIDAQABAQAAAAMEAgABAQAAAAQFAQABAQAAAAUGAgABAQAAAAYBAQABAQAAAAUHAQAAAAAAAAcIAgABAQAAAAgJAQABAQAAAAkKAgABAQAAAAoLAQABAQAAAAsMAgABAQAAAAwHAQABAQAAAAAAAAA</t>
        </r>
      </text>
    </comment>
    <comment ref="D172" authorId="0">
      <text>
        <r>
          <rPr>
            <sz val="9"/>
            <color indexed="81"/>
            <rFont val="Tahoma"/>
            <family val="2"/>
          </rPr>
          <t>Insight iXlW00004C0000172R0841462918S00000171P01868LAocjBAQBF1NjaVRlZ2ljLmRhdGEuTW9sZWN1bGUBbQF/ARJTY2lUZWdpYy5Nb2xlY3VsZQAAAQFkAv5qAQAAAAIAAgEaGAAAAPwIAPwAAgAAAAAAAPC/Au5aiZ3eyPQ/AnvHq2L8/+e/AAAAABgAAAD8CAD8AAIAAAAAAADwvwIqitBa2Mj0PwLTYaISEgDoPwAAAAAYAAAA/AgA/AACAAAAAAAA8L8Cbm6BcijHBEACxJqTtbgM+D8AAAAAIAAAAPwIAPwAAgAAAAAAAPC/AvBePVqlGQ1AArUOCVQg9ew/AAAAACAAAAD8BAD8AAIAAAAAAADwvwKBpjUQw8IEQAIopj/LCwgIQAAAAAAYAAAA/AQA/AACAAAAAAAA8L8COMuUz3klD0ACyRJ85GEODkAAAAAAGAAAAPwEAPwAAgAAAAAAAPC/AhBTjf/1IQ9AAtTbrWz90xNAAAAAABgAAAD8CAD8AAIAAAAAAADwvwIgioqm6LHQPgLyAHE0AQD4vwAAAAAYAAAA/AgA/AACAAAAAAAA8L8CA8YOcdrI9L8C1pL71woA6L8AAAAAGAAAAPwIAPwAAgAAAAAAAPC/AoMEnvbayATAAkT3wj0KAPi/AAAAABgAAAD8CAD8AAIAAAAAAADwvwKEjULV18gEwAIcE+EeBQAIwAAAAAAYAAAA/AgA/AACAAAAAAAA8L8CYyv8DNHI9L8C4K4aAwMADsAAAAAAASMAAAD8BAD8AAIAAAAAAADwvwL9NDS2zcj0vwKoEVpOzswTwAAAAAAYAAAA/AQA/AACAAAAAAAA8L8Cg5kkHTQZDcACwTurwOjM7L8AAAAAHAAAAPwIAPwAAgAAAAAAAPC/AgS0xbPgyPS/AhLLAij1/+c/AAAAABgAAAD8CAD8AAIAAAAAAADwvwKBSZam6LHgvgI56m80AQD4PwAAAAAgAAAA/AgA/AACAAAAAAAA8L8C2pE0gAgN7r4CEPrQM5qZBUAAAAAAGAAAAPwIAPwAAgAAAAAAAPC/AgAA0wsmyOI+AkggjYEBAAjAAAAAABgAAAD8CAD8AAIAAAAAAADwvwJRtpsB6Mj0PwIwaKoY//8NwAAAAAAYAAAA/AgA/AACAAAAAAAA8L8CnsGN9uDIBEAC4mhyI/3/B8AAAAAAGAAAAPwIAPwAAgAAAAAAAPC/AgmKN6hTLQ9AAv+Y+mL8/w3AAAAAABgAAAD8CAD8AAIAAAAAAADwvwIAI2fJ38gUQAK5Twef+P8HwAAAAAAYAAAA/AgA/AACAAAAAAAA8L8ChJrn9d3IFEACBLwPPvH/978AAAAAGAAAAPwIAPwAAgAAAAAAAPC/AjcKOVpMLQ9AAsS7Kbrs/+e/AAAAABgAAAD8CAD8AAIAAAAAAADwvwLKBuBl38gEQAIGBuVG+v/3vwAAAAAgAAAA/AgA/AACAAAAAAAA8L8CSiWp+OvI9D8CseYhWczME8AAAAAAAR0ABAgEBAAAAAAECAQAAAAAAAAIDAgAAAAAAAAIEAQAAAAAAAAQFAQAAAAAAAAUGAQAAAAAAAAAHAQABAAAAAAcIAgABAQAAAAgJAQABAQAAAAkKAgABAQAAAAoLAQABAQAAAAsMAQAAAAAAAAkNAQAAAAAAAAgOAQABAAAAAA4PAQABAAAAAA8BAQABAAAAAA8ARAIAAAAAAAAHAERBAAEBAAAAAERLAgABAQAAAABEQESBAAEAAAAAAESARMEAAQAAAAAARMBFAgABAQAAAABFAEVBAAEBAAAAAEVARYIAAQEAAAAARYBFwQABAQAAAABEwEYBAAEBAAAAAEYAAQABAAAAAABGAEXCAAEBAAAAAESARkIAAAAAAAAAAAAAA==</t>
        </r>
      </text>
    </comment>
    <comment ref="D173" authorId="0">
      <text>
        <r>
          <rPr>
            <sz val="9"/>
            <color indexed="81"/>
            <rFont val="Tahoma"/>
            <family val="2"/>
          </rPr>
          <t>Insight iXlW00004C0000173R0841462918S00000172P01572LAocjBAQBF1NjaVRlZ2ljLmRhdGEuTW9sZWN1bGUBbQF/ARJTY2lUZWdpYy5Nb2xlY3VsZQAAAQFkAv5qAQAAAAIAAgEWGAAAAPwIAPwAAgAAAAAAAPC/Atxfp0qY+RlAAqEtTzoPwyFAAAAAABgAAAD8CAD8AAIAAAAAAADwvwJfG3Nnl/kZQALmptTZnXwjQAAAAAAYAAAA/AgA/AACAAAAAAAA8L8CmZ6FF8v8FkACU2OWVGRZJEAAAAAAASMAAAD8BAD8AAIAAAAAAADwvwKM0eoXyvwWQAIheXvAorolQAAAAAAYAAAA/AgA/AACAAAAAAAA8L8CAAAAAAAAFEACkZUGzJx8I0AAAAAAHAAAAPwIAPwAAgAAAAAAAPC/An1ENOMAABRAAhrHgboOwyFAAAAAABgAAAD8CAD8AAIAAAAAAADwvwKUJ+7dzPwWQAJGtb/4R+YgQAAAAAAYAAAA/AgA/AACAAAAAAAA8L8C00mIT838FkACfryolXNZHkAAAAAAIAAAAPwEAPwAAgAAAAAAAPC/Arxu/m/3mBRAAipA9qk0+BxAAAAAABgAAAD8CAD8AAIAAAAAAADwvwJ5tahmmfkZQALVmCQS5p8cQAAAAAAYAAAA/AgA/AACAAAAAAAA8L8C+6FyPGv7GUACvTGEkkwsGUAAAAAAIAAAAPwIAPwAAgAAAAAAAPC/Al3MDAIzmBdAAoYKvRL9yRdAAAAAABwAAAD8CAD8AAIAAAAAAADwvwIwc2+wQ/kcQAI97wTyl3MXQAAAAAABaQAAAPwEAPwAAgAAAAAAAPC/AmH5bNsV+xxAAgAAAAAAABRAAAAAABwAAAD8CAD8AAIAAAAAAADwvwLB7WHTZPYcQAKLiUOVdFkeQAAAAAAYAAAA/AgA/AACAAAAAAAA8L8CElQufmT2HEACPZMmXEjmIEAAAAAAHAAAAPwIAPwAAgAAAAAAAPC/AueTkOCR8x9AAmvOpNkrwyFAAAAAAAEQAAAA/AQA/AACAAAAAAAA8L8ChNyAY5B4IUACU4+ikQTnIEAAAAAAIAAAAPwIAPwAAgAAAAAAAPC/AmdxwC7WQiBAAjWv7fspPSBAAAAAACAAAAD8CAD8AAIAAAAAAADwvwJsJbEp0q4iQALoQhg2Ij4gQAAAAAABaQAAAPwEAPwAAgAAAAAAAPC/AoXZCiGc9iJAAjamhk5nxCFAAAAAAAFpAAAA/AQA/AACAAAAAAAA8L8CCtclvjnyH0ACNuJhIr58I0AAAAAAARcABAgIBAQAAAAECAQABAQAAAAIDAQAAAAAAAAIEAgIBAQAAAAQFAQABAQAAAAAGAQABAQAAAAYFAgIBAQAAAAYHAQABAQAAAAcIAQAAAAAAAAcJAgMBAQAAAAkKAQAAAAAAAAoLAgAAAAAAAAoMAQAAAAAAAAwNAQAAAAAAAAkOAQABAQAAAA4PAgIBAQAAAA8AAQABAQAAAA8ARAEAAAAAAAAARABEQQAAAAAAAABEQESCAAAAAAAAAERARMIAAAAAAAAAREBFAQAAAAAAAABFQEQBAAAAAAAAAAAAAA=</t>
        </r>
      </text>
    </comment>
    <comment ref="D174" authorId="0">
      <text>
        <r>
          <rPr>
            <sz val="9"/>
            <color indexed="81"/>
            <rFont val="Tahoma"/>
            <family val="2"/>
          </rPr>
          <t>Insight iXlW00004C0000174R0841462918S00000173P01352LAocjBAQBF1NjaVRlZ2ljLmRhdGEuTW9sZWN1bGUBbQF/ARJTY2lUZWdpYy5Nb2xlY3VsZQAAAQFkAv5qAQAAAAIAAgETAWkAAAD8BAD8AAIAAAAAAADwvwL3pTJO7HolQALE2p/pMMkcQAAAAAAYAAAA/AQA/AACAAAAAAAA8L8CRqf1DkXrI0AC4PwYawP6GkAAAAAAGAAAAPwEAPwAAgAAAAAAAPC/Ao+LjaEm7CNAArI2211AXhdAAAAAACQAAAD8BAD8AAIAAAAAAADwvwKif/22x6wiQAJIhGIYTusVQAAAAAAkAAAA/AQA/AACAAAAAAAA8L8C5h6FCAjtI0ACEtSyeJx7FEAAAAAAJAAAAPwEAPwAAgAAAAAAAPC/AiC2KhBnLCVAAlvatdJa7hVAAAAAACAAAAD8BAD8AAIAAAAAAADwvwLDjlGlkOojQAIZdmyKp9wdQAAAAAAYAAAA/AQA/AACAAAAAAAA8L8CTMQgPbxaIkAC/Z6KKSPGHEAAAAAAGAAAAPwIAPwAAgAAAAAAAPC/AvT/WO8UyyBAAhnBA6v19hpAAAAAABwAAAD8CAD8AAIAAAAAAADwvwLyGY5181QeQAK0T0MbL3IcQAAAAAAYAAAA/AgA/AACAAAAAAAA8L8CvhbAXqXtG0ACnANBBcrBGUAAAAAAGAAAAPwEAPwAAgAAAAAAAPC/AsSIHh5SWBhAAgNfS4PAIBpAAAAAABgAAAD8BAD8AAIAAAAAAADwvwIdjPU9t94WQAI4guNy3WsdQAAAAAAYAAAA/AQA/AACAAAAAAAA8L8CAAAAAAAAFEACYOvDCuy3HUAAAAAAGAAAAPwEAPwAAgAAAAAAAPC/Ak5djljAjxhAAjA5T6JBwh9AAAAAABgAAAD8BAD8AAIAAAAAAADwvwIBB0A8HrEVQAIb3QttEAcgQAAAAAAYAAAA/AgA/AACAAAAAAAA8L8CQJatGTW+HUACplyGlN+jFkAAAAAAASMAAAD8BAD8AAIAAAAAAADwvwJoJ3IsPJQcQAIBAAAAAAAUQAAAAAAcAAAA/AgA/AACAAAAAAAA8L8CWlv+b1CiIEACFAj+kCBnF0AAAAAAARMABAQAAAAAAAAECAQAAAAAAAAIDAQAAAAAAAAIEAQAAAAAAAAIFAQAAAAAAAAEGAQAAAAAAAAEHAQAAAAAAAAcIAQAAAAAAAAgJAgMBAQAAAAkKAQABAQAAAAoLAQAAAAAAAAsMAQAAAAAAAAwNAQAAAAAAAAwOAQAAAAAAAAwPAQAAAAAAAAoARAIDAQEAAAAARABEQQAAAAAAAABEAESBAAEBAAAAAESIAQABAQAAAAAAAAA</t>
        </r>
      </text>
    </comment>
    <comment ref="D175" authorId="0">
      <text>
        <r>
          <rPr>
            <sz val="9"/>
            <color indexed="81"/>
            <rFont val="Tahoma"/>
            <family val="2"/>
          </rPr>
          <t>Insight iXlW00004C0000175R0841462918S00000174P02412LAocjBAQBF1NjaVRlZ2ljLmRhdGEuTW9sZWN1bGUBbQF/ARJTY2lUZWdpYy5Nb2xlY3VsZQAAAQFkAv5qAQAAAAIAAgEiGAAAAPwIAPwAAgAAAAAAAPC/ArgvfVVkvQ1AAiLm9xvZCgDAAAAAAAEjAAAA/AQA/AACAAAAAAAA8L8Crq5kdMWdE0ACHifwUCJ5AcAAAAAAGAAAAPwIAPwAAgAAAAAAAPC/AtumfGYOWwlAAhXtdobEfOO/AAAAABgAAAD8CAD8AAIAAAAAAADwvwK+O5Oquvb6PwL4LCqu953YvwAAAAAcAAAA/AgA/AACAAAAAAAA8L8CBAIrwoef9T8CyJPlN34+8T8AAAAAARAAAAD8BAD8AAIAAAAAAADwvwLku/j++DUEQAIKVziYKB4AQAAAAAAgAAAA/AgA/AACAAAAAAAA8L8C9PySW+bGAkAC5gOZxjCcCUAAAAAAIAAAAPwIAPwAAgAAAAAAAPC/AsHCDt03jPY/ArShw5iknwNAAAAAABgAAAD8CAD8AAIAAAAAAADwvwLw9uFS6GMPQAJxnzhyGHr3PwAAAAAYAAAA/AgA/AACAAAAAAAA8L8C45lC+NuXEEACwMS6k+YtkL8AAAAAGAAAAPwIAPwAAgAAAAAAAPC/ArgS9eYKLhZAAvwUO9FfA+K/AAAAABgAAAD8CAD8AAIAAAAAAADwvwJSGUK/Ud4aQALcjSH/fuDXPwAAAAAgAAAA/AQA/AACAAAAAAAA8L8C2L/eXjk7IEACfPhjq5fyxb8AAAAAGAAAAPwEAPwAAgAAAAAAAPC/AlSVLlQCkyJAAlfTwLzbiOg/AAAAACQAAAD8BAD8AAIAAAAAAADwvwI/0LLMis8kQAIk0WbASDTVPwAAAAAkAAAA/AQA/AACAAAAAAAA8L8ChGlHRP01IkACWiF1Vvg+/z8AAAAAJAAAAPwEAPwAAgAAAAAAAPC/AmlV+ghkciRAAipw1oTERvg/AAAAABgAAAD8CAD8AAIAAAAAAADwvwKnA2AhavgZQALqdWs36bL9PwAAAAAYAAAA/AgA/AACAAAAAAAA8L8CqIkblDtiFEACVBFMtPI5A0AAAAAAGAAAAPwEAPwAAgAAAAAAAPC/AgZESnItPeO+AmCKFUY+qPs/AAAAABgAAAD8CAD8AAIAAAAAAADwvwJoCPjAk5/1vwI8gj0tbz7xPwAAAAAYAAAA/AgA/AACAAAAAAAA8L8CtETnSj6eA8ACQ1gaGkbJAEAAAAAAGAAAAPwIAPwAAgAAAAAAAPC/AoCy6YnBFQ/AAsySJNGGf/o/AAAAABgAAAD8CAD8AAIAAAAAAADwvwLSaf3xqOAQwAKsRHZOe8zIPwAAAAAYAAAA/AQA/AACAAAAAAAA8L8C+huwPjmdFsACuvCkZ5bTz78AAAAAJAAAAPwEAPwAAgAAAAAAAPC/AkN033KIIhrAAozTb/faJOI/AAAAACQAAAD8BAD8AAIAAAAAAADwvwK652kPRa4XwAKlyWqHxLL2vwAAAAAkAAAA/AQA/AACAAAAAAAA8L8C02SUuUEzG8AC9fA/dvxK478AAAAAHAAAAPwIAPwAAgAAAAAAAPC/AvaJq0Nf9QjAAqd3xOfJcuq/AAAAABgAAAD8CAD8AAIAAAAAAADwvwL9R5iGuPb6vwIOYIwxHZ7YvwAAAAAcAAAA/AQA/AACAAAAAAAA8L8CPUlIVff/578ChUehixbr+L8AAAAAGAAAAPwIAPwAAgAAAAAAAPC/AvD8tqoIAOg/AohTJ18S6/i/AAAAABgAAAD8CAD8AAIAAAAAAADwvwKxkGCirsj0PwKe6Y+GxqIHwAAAAAAYAAAA/AgA/AACAAAAAAAA8L8CZYFPiQdCBkAC2DrGCKJsCcAAAAAAASUABAQAAAAAAAAACAgABAQAAAAIDAQABAQAAAAMEAQABAAAAAAQFAQAAAAAAAAUGAgAAAAAAAAUHAgAAAAAAAAUIAQAAAAAAAAgJAgABAQAAAAkKAQABAQAAAAoLAgABAQAAAAsMAQAAAAAAAAwNAQAAAAAAAA0OAQAAAAAAAA0PAQAAAAAAAA0ARAEAAAAAAAALAERBAAEBAAAAAERARIIAAQEAAAAARIgBAAEBAAAABABEwQABAAAAAABEwEUBAAEAAAAAAEUARUIAAQEAAAAARUBFgQABAQAAAABFgEXCAAEBAAAAAEXARgEAAAAAAAAARgBGQQAAAAAAAABGAEaBAAAAAAAAAEYARsEAAAAAAAAARcBHAQABAQAAAABFAEdBAAEBAAAAAEdARwIAAQEAAAAAR0BHgQABAAAAAAMAR8IAAQEAAAAAR8BHgQABAAAAAABHwEgBAAEBAAAAAEgASEIAAQEAAAAASEABAAEBAAAAAAAAAA=</t>
        </r>
      </text>
    </comment>
    <comment ref="D176" authorId="0">
      <text>
        <r>
          <rPr>
            <sz val="9"/>
            <color indexed="81"/>
            <rFont val="Tahoma"/>
            <family val="2"/>
          </rPr>
          <t>Insight iXlW00004C0000176R0841462918S00000175P02128LAocjBAQBF1NjaVRlZ2ljLmRhdGEuTW9sZWN1bGUBbQF/ARJTY2lUZWdpYy5Nb2xlY3VsZQAAAQFkAv5qAQAAAAIAAgEeGAAAAPwIAPwAAgAAAAAAAPC/Au5aiZ3eyPQ/AnvHq2L8/+e/AAAAACAAAAD8BAD8AAIAAAAAAADwvwKOdo0agc0EQAIjICbDvPb3vwAAAAAYAAAA/AQA/AACAAAAAAAA8L8CRuEdEhgcDUAC+yrz8iOu7L8AAAAAGAAAAPwIAPwAAgAAAAAAAPC/AiqK0FrYyPQ/AtNhohISAOg/AAAAABgAAAD8CAD8AAIAAAAAAADwvwKBSZam6LHgvgI56m80AQD4PwAAAAAYAAAA/AQA/AACAAAAAAAA8L8CAAAts4nK8r4CeDp/NwQACEAAAAAAGAAAAPwEAPwAAgAAAAAAAPC/AozxbpT1yPS/AlB6e37+/w1AAAAAABwAAAD8CAD8AAIAAAAAAADwvwJ6Zo7s5cgEwAJdA7Jf+f8HQAAAAAAYAAAA/AgA/AACAAAAAAAA8L8C8I8TbqcrD8AC8sI7QUgGDkAAAAAAIAAAAPwIAPwAAgAAAAAAAPC/ArD2VF/XJQ/AAuciKgzwzxNAAAAAACAAAAD8BAD8AAIAAAAAAADwvwKmaLxb1MoUwAKk6ZhnlQwIQAAAAAAYAAAA/AQA/AACAAAAAAAA8L8Cjek39zL8GcAC6rPUWuASDkAAAAAAGAAAAPwEAPwAAgAAAAAAAPC/Avq+UOoDJh7AAm1KHivKSwlAAAAAABgAAAD8BAD8AAIAAAAAAADwvwJywSYu0SIewAISNfSehXIRQAAAAAAYAAAA/AQA/AACAAAAAAAA8L8C65zY70r5GcACZJv2GDzWE0AAAAAAGAAAAPwEAPwAAgAAAAAAAPC/AozhELXgyATAAk5LZr/y//c/AAAAABgAAAD8BAD8AAIAAAAAAADwvwJl8vD3pIwEwALctK0b5jjTPwAAAAAYAAAA/AQA/AACAAAAAAAA8L8CmHx6b33kDsACmgPTmh4sAkAAAAAAGAAAAPwIAPwAAgAAAAAAAPC/AvKhmuKzyRTAAt7VVZesYvk/AAAAACAAAAD8CAD8AAIAAAAAAADwvwLXuKItUwYVwAIgzp5j1tXYPwAAAAAcAAAA/AgA/AACAAAAAAAA8L8C++it72HVGcACuqeHW9AyA0AAAAAAGAAAAPwIAPwAAgAAAAAAAPC/AqFMixrXLB/AAiAevxgQcPs/AAAAABwAAAD8CAD8AAIAAAAAAADwvwL4tNLyaDoiwAJt21+mLDIDQAAAAAAYAAAA/AgA/AACAAAAAAAA8L8Csu6e/+JWJMACnliWG1VX9T8AAAAAGAAAAPwIAPwAAgAAAAAAAPC/Ao5ZFlb79iLAAgCo7FqBMEI/AAAAAAEQAAAA/AQA/AACAAAAAAAA8L8Cz/H+3QMBIMACSLx51kUBzz8AAAAAGAAAAPwIAPwAAgAAAAAAAPC/AgS0xbPgyPS/AhLLAij1/+c/AAAAABgAAAD8CAD8AAIAAAAAAADwvwIDxg5x2sj0vwLWkvvXCgDovwAAAAAYAAAA/AgA/AACAAAAAAAA8L8CIIqKpuix0D4C8gBxNAEA+L8AAAAAASMAAAD8BAD8AAIAAAAAAADwvwIflieACA3ePgLp9NEzmpkFwAAAAAABIAAEBAAAAAAAAAQIBAAAAAAAAAAMCAAEBAAAAAwQBAAEBAAAABAUBAAEAAAAABQYBAAEAAAAABgcBAAEAAAAABwgBAAAAAAAACAkCAAAAAAAACAoBAAAAAAAACgsBAAAAAAAACwwBAAAAAAAACw0BAAAAAAAACw4BAAAAAAAABw8BAAEAAAAADwBEAQAAAAAAAA8AREEAAAAAAAAAREBEgQAAAAAAAABEgETCAAAAAAAAAESARQEAAAAAAAAARQBFQQAAAAAAAABFQEWCAAEBAAAAAEWARcEAAQEAAAAARcBGAgABAQAAAABGAEZBAAEBAAAAAEZARUEAAQEAAAAEAEaCAAEBAAAAAEaPAQABAAAAAABGgEbBAAEBAAAAAEbARwIAAQEAAAAARwABAAEBAAAAAEcAR0EAAAAAAAAAAAAAA==</t>
        </r>
      </text>
    </comment>
    <comment ref="D177" authorId="0">
      <text>
        <r>
          <rPr>
            <sz val="9"/>
            <color indexed="81"/>
            <rFont val="Tahoma"/>
            <family val="2"/>
          </rPr>
          <t>Insight iXlW00004C0000177R0841462918S00000176P01708LAocjBAQBF1NjaVRlZ2ljLmRhdGEuTW9sZWN1bGUBbQF/ARJTY2lUZWdpYy5Nb2xlY3VsZQAAAQFkAv5qAQAAAAIAAgEYAWkAAAD8BAD8AAIAAAAAAADwvwIAxp1cTJolQAIkTDj+AAAUQAAAAAAYAAAA/AQA/AACAAAAAAAA8L8CYjKh60uaJUACMo3EgOdvF0AAAAAAIAAAAPwEAPwAAgAAAAAAAPC/AnZP6sMZyyZAAl86B5jdzxhAAAAAABgAAAD8CAD8AAIAAAAAAADwvwIOg+oBSh0kQAJAXxj+2CcZQAAAAAAYAAAA/AgA/AACAAAAAAAA8L8CtR6Ps0igIkACAtAUaOVvF0AAAAAAHAAAAPwEAPwAAgAAAAAAAPC/Au7cuLtGIyFAAscQJjrXJxlAAAAAABgAAAD8CAD8AAIAAAAAAADwvwJPSbxKRiMhQALJ4DqivJccQAAAAAAYAAAA/AgA/AACAAAAAAAA8L8Cqa0XmUegIkACB3A+OLBPHkAAAAAAGAAAAPwIAPwAAgAAAAAAAPC/AojKrnRJHSRAAvmd6rq+lxxAAAAAACAAAAD8CAD8AAIAAAAAAADwvwKd5/dMF04lQAImSy3StPcdQAAAAAAYAAAA/AgA/AACAAAAAAAA8L8CcBSiOV+fIkACgsrkUQngIEAAAAAAIAAAAPwIAPwAAgAAAAAAAPC/AvL6LHTezyNAAr2WKDGMkCFAAAAAACAAAAD8BAD8AAIAAAAAAADwvwKqrPiU1yEhQALfkRQLlrshQAAAAAAYAAAA/AQA/AACAAAAAAAA8L8CFlwkC+8gIUAClY8AbcZzI0AAAAAAGAAAAPwEAPwAAgAAAAAAAPC/Ao7TH03B3x9AAvCTRnpRIyRAAAAAABgAAAD8BAD8AAIAAAAAAADwvwL9pIjKNksfQAKQgRy2NnEXQAAAAAAYAAAA/AgA/AACAAAAAAAA8L8CAFb7lmhRHEACyp+iQ3wqGUAAAAAAHAAAAPwIAPwAAgAAAAAAAPC/AmyyXo3WVRlAAuO2X3A1dRdAAAAAABgAAAD8CAD8AAIAAAAAAADwvwLmORjEWV0WQAIN7MKJyS8ZQAAAAAAYAAAA/AgA/AACAAAAAAAA8L8CldWE32NgFkACNAHinq2fHEAAAAAAASMAAAD8BAD8AAIAAAAAAADwvwIAAAAAAAAUQAK0T1mAvQEeQAAAAAAYAAAA/AgA/AACAAAAAAAA8L8Csg534OpbGUAC6E9b7/1UHkAAAAAAGAAAAPwIAPwAAgAAAAAAAPC/Au/1ev5nVBxAAlyu9EZqmhxAAAAAAAFpAAAA/AQA/AACAAAAAAAA8L8CU7KLJEmgIkACAAAAAAAAFEAAAAAAARkABAQAAAAAAAAECAQAAAAAAAAEDAQAAAAAAAAMEAgMBAAAAAAQFAQABAAAAAAUGAQABAAAAAAYHAgIBAAAAAAcIAQABAAAAAAgDAQABAAAAAAgJAgAAAAAAAAcKAQAAAAAAAAoLAgAAAAAAAAoMAQAAAAAAAAwNAQAAAAAAAA0OAQAAAAAAAAUPAQAAAAAAAA8ARAEAAAAAAAAARABEQgMBAQAAAABEQESBAAEBAAAAAESARMIDAQEAAAAARMBFAQAAAAAAAABEwEVBAAEBAAAAAEVARYICAQEAAAAARYBEAQABAQAAAAQARcEAAAAAAAAAAAAAA==</t>
        </r>
      </text>
    </comment>
    <comment ref="D178" authorId="0">
      <text>
        <r>
          <rPr>
            <sz val="9"/>
            <color indexed="81"/>
            <rFont val="Tahoma"/>
            <family val="2"/>
          </rPr>
          <t>Insight iXlW00004C0000178R0841462918S00000177P01016LAocjBAQBF1NjaVRlZ2ljLmRhdGEuTW9sZWN1bGUBbQF/ARJTY2lUZWdpYy5Nb2xlY3VsZQAAAQFkAv5qAQAAAAIAAjggAAAA/AQA/AACAAAAAAAA8L8CivasTRqJH0AC8EYf1QfOFkAAAAAAGAAAAPwIAPwAAgAAAAAAAPC/AgmbRfDrfxxAArNr3RObjBhAAAAAABgAAAD8CAD8AAIAAAAAAADwvwIjdhII638cQAL1rcihdQwcQAAAAAAYAAAA/AgA/AACAAAAAAAA8L8CjATJPhZ4GUAC52leNWHMHUAAAAAAIAAAAPwEAPwAAgAAAAAAAPC/Au/1kh09dhlAAsGMCvpcpiBAAAAAABgAAAD8BAD8AAIAAAAAAADwvwKC4lMbWG0WQAKc/hi75IUhQAAAAAAkAAAA/AQA/AACAAAAAAAA8L8C1jXra91rFkACl7EJkzvsIkAAAAAAJAAAAPwEAPwAAgAAAAAAAPC/Al/4xOtOARRAAvgw0Y8u0iBAAAAAACQAAAD8BAD8AAIAAAAAAADwvwIAAAAAAAAUQAL/Q/zReDgiQAAAAAAYAAAA/AgA/AACAAAAAAAA8L8CsuXFtEJwFkACUzZPenMMHEAAAAAAGAAAAPwIAPwAAgAAAAAAAPC/AjRv/7lDcBZAAjHiow6ajBhAAAAAABgAAAD8CAD8AAIAAAAAAADwvwJYTi8PGHgZQAIvL+7prcwWQAAAAAABIwAAAPwEAPwAAgAAAAAAAPC/AmdFT6AYeBlAAgAAAAAAABRAAAAAAAFpAAAA/AQA/AACAAAAAAAA8L8CsU5j4VtIIUACNZs/6k6PGEAAAAAAOAAEBAAAAAAAAAQICAwEBAAAAAgMBAAEBAAAAAwQBAAAAAAAABAUBAAAAAAAABQYBAAAAAAAABQcBAAAAAAAABQgBAAAAAAAAAwkCAgEBAAAACQoBAAEBAAAACgsCAgEBAAAACwEBAAEBAAAACwwBAAAAAAAAAA0BAAAAAAAAAAAAAA=</t>
        </r>
      </text>
    </comment>
    <comment ref="D179" authorId="0">
      <text>
        <r>
          <rPr>
            <sz val="9"/>
            <color indexed="81"/>
            <rFont val="Tahoma"/>
            <family val="2"/>
          </rPr>
          <t>Insight iXlW00004C0000179R0841462918S00000178P02192LAocjBAQBF1NjaVRlZ2ljLmRhdGEuTW9sZWN1bGUBbQF/ARJTY2lUZWdpYy5Nb2xlY3VsZQAAAQFkAv5qAQAAAAIBAgEfGAAAAPwIAPwAAgAAAAAAAPC/AvTI2n2JJQ9AAhQpkqRRDg7AAAAAABwAAAD8CAD8AAIAAAAAAADwvwJVUNOZz8IEQAL0LG/2AAgIwAAAAAAYAAAA/AgA/AACAAAAAAAA8L8C1BKHuC7HBEACcalfB6MM+L8AAAAAGAAAAPwIAPwAAgAAAAAAAPC/Au5aiZ3eyPQ/AnvHq2L8/+e/AAAAABwAAAD8CAD8AAIAAAAAAADwvwIqitBa2Mj0PwLTYaISEgDoPwAAAAAYAAAA/AgA/AACAAAAAAAA8L8CgUmWpuix4L4COepvNAEA+D8AAAAAGAAAAPwIAPwAAgAAAAAAAPC/AgS0xbPgyPS/AhLLAij1/+c/AAAAACAAAAD8BAD8AAIAAAAAAADwvwLcDFsvg80EwAJSBHCttfb3PwAAAAAYAAAA/AQA/AACAAAAAAAA8L8COIpeVRkcDcACK/h9IBCu7D8AAAAAHAAAAPwIAPwAAgAAAAAAAPC/AgPGDnHayPS/AtaS+9cKAOi/AAAAABgAAAD8CAD8AAIAAAAAAADwvwIgioqm6LHQPgLyAHE0AQD4vwAAAAAgAAAA/AgA/AACAAAAAAAA8L8CuNscIakZDUACwMWXmeP07L8AAAAAGAAAAPwIAPwAAgAAAAAAAPC/AiiEABEaxRRAAsYx1JFuDgjAAAAAABgAAAD8CAD8AAIAAAAAAADwvwLEIO7WS/cZQAIqTfbUgA4OwAAAAAAYCAAA/AQA/AACAAAAAAAA8L8CHls30TEqH0ACQogpVWcNCMAAAAAAGAAAAPwEAPwAAgAAAAAAAPC/ApE0q9uoJx9AAuBiliSe5/y/AAAAABwAAAD8CAD8AAIAAAAAAADwvwKbFXBzAAcfQALy2+CUfPERwAAAAAAYAAAA/AgA/AACAAAAAAAA8L8CTxe/sQUdIkACgOqFHQ3wFMAAAAAAHAAAAPwIAPwAAgAAAAAAAPC/ApwmHEyvHSJAAm45gbvZvBnAAAAAABgAAAD8BAD8AAIAAAAAAADwvwJNddwot7UkQAIMJ80tnu4RwAAAAAAYAAAA/AQA/AACAAAAAAAA8L8C6+1EnQ7CJkACQd/hSUfcDsAAAAAAGAAAAPwEAPwAAgAAAAAAAPC/AhtPCZjypyRAAnLeC/0buxbAAAAAAAEQAAAA/AQA/AACAAAAAAAA8L8C4L6vauO0JEAColdc0DzdB8AAAAAAIAAAAPwIAPwAAgAAAAAAAPC/AokH8yTrwSZAAjvvPpus2QzAAAAAACAAAAD8CAD8AAIAAAAAAADwvwKtYucnzKUkQAKGLr8Kwoj8vwAAAAAYAAAA/AQA/AACAAAAAAAA8L8C6mdQNV4bIkACLK0e8BngAcAAAAAAGAAAAPwIAPwAAgAAAAAAAPC/ArpywqRB9xlAAtB8cmpABxXAAAAAACQAAAD8BAD8AAIAAAAAAADwvwJldLqraR8eQALMf17CrW0XwAAAAAAYAAAA/AgA/AACAAAAAAAA8L8CAyKorAXFFEACqGgR4zcHGMAAAAAAGAAAAPwIAPwAAgAAAAAAAPC/AgCJU8KmJQ9AArZ01KgvBxXAAAAAAAEjAAAA/AQA/AACAAAAAAAA8L8CoCR1vVDVBkAC4YRw1pdtF8AAAAAAASEABAQAAAAAAAAECAQAAAAAAAAIDAQAAAAAAAAMEAgABAQAAAAQFAQABAQAAAAUGAgABAQAAAAYHAQAAAAAAAAcIAQAAAAAAAAYJAQABAQAAAAkKAgABAQAAAAoDAQABAQAAAAILAgAAAAAAAAAMAgABAQAAAAwNAQABAQAAAA0OAQAAAAAAAA4PAQQAAAAAAA4ARAEAAQAAAAAARABEQQABAAAAAABEQESCAAAAAAAAAERARMEAAQAAAAAARMBFAQAAAAAAAABEwEVBAAAAAAAAAETARYEAAQAAAAAARYBFwgAAAAAAAABFgEYCAAAAAAAAAEWARkEAAQAAAAAARk4BAAEAAAAADQBGggABAQAAAABGgEbBAAAAAAAAAEaARwEAAQEAAAAARwBHQgABAQAAAABHQAEAAQEAAAAAR0BHgQAAAAAAAAAAAAA</t>
        </r>
      </text>
    </comment>
    <comment ref="D180" authorId="0">
      <text>
        <r>
          <rPr>
            <sz val="9"/>
            <color indexed="81"/>
            <rFont val="Tahoma"/>
            <family val="2"/>
          </rPr>
          <t>Insight iXlW00004C0000180R0841462918S00000179P01512LAocjBAQBF1NjaVRlZ2ljLmRhdGEuTW9sZWN1bGUBbQF/ARJTY2lUZWdpYy5Nb2xlY3VsZQAAAQFkAv5qAQAAAAIAAgEVHAAAAPwIAPwAAgAAAAAAAPC/AqEM6kPxpCJAArukXXSbqh9AAAAAABgAAAD8CAD8AAIAAAAAAADwvwLQDMfT8KQiQAJbVcamY38hQAAAAAAcAAAA/AgA/AACAAAAAAAA8L8C45K29O05JEACTr4mpQ4DIkAAAAAAHAAAAPwIAPwAAgAAAAAAAPC/ArfyomVgNCVAApYTr1hZqiBAAAAAABgAAAD8CAD8AAIAAAAAAADwvwKWcu+q7jkkQAIY0ig4R6MeQAAAAAABaQAAAPwEAPwAAgAAAAAAAPC/Ah9Y18OhvSRAAu8nsV1keBtAAAAAABgAAAD8CAD8AAIAAAAAAADwvwLFPVa08DMhQAIt19TYbVQiQAAAAAAYAAAA/AgA/AACAAAAAAAA8L8C/FwiQuKFH0ACxZV3qmJ/IUAAAAAAGAAAAPwIAPwAAgAAAAAAAPC/Ap5caCLjhR9AAiblDniaqh9AAAAAACAAAAD8BAD8AAIAAAAAAADwvwKxCzGRW6QcQAJ6HzIfw/4dQAAAAAAYAAAA/AQA/AACAAAAAAAA8L8Cc0huHpOlHEACgEv2kCCqGkAAAAAAGAAAAPwIAPwAAgAAAAAAAPC/AuB2sRUNxBlAAqWFPKhJ/hhAAAAAABgAAAD8CAD8AAIAAAAAAADwvwLYH5UV/OEWQAKmzNoNVqgaQAAAAAAYAAAA/AgA/AACAAAAAAAA8L8CAAAAAAAAFEACAwyFizr+GEAAAAAAGAAAAPwIAPwAAgAAAAAAAPC/AiR9HsoGABRAAp7FpK4PqhVAAAAAABgAAAD8CAD8AAIAAAAAAADwvwIU2trFCeIWQAL///////8TQAAAAAAYAAAA/AgA/AACAAAAAAAA8L8CyDmKLwbEGUAC3QAq9hqqFUAAAAAAASMAAAD8BAD8AAIAAAAAAADwvwJORdwwbBIcQAL2l5LiPFUUQAAAAAAcAAAA/AgA/AACAAAAAAAA8L8CZj2clPEzIUACsuHOo4UAHkAAAAAAAWkAAAD8BAD8AAIAAAAAAADwvwLx/jfn4aMcQAKL1474bFQiQAAAAAABaQAAAPwEAPwAAgAAAAAAAPC/AvrdLjbwMyFAAlO6TWOD/iNAAAAAAAEXAAQEAAQEAAAABAgICAQEAAAACAwEAAQEAAAADBAICAQEAAAAEAAEAAQEAAAAEBQEAAAAAAAABBgEAAQEAAAAGBwICAQEAAAAHCAEAAQEAAAAICQEAAAAAAAAJCgEAAAAAAAAKCwEAAAAAAAALDAIDAQEAAAAMDQEAAQEAAAANDgICAQEAAAAODwEAAQEAAAAPAEQCAgEBAAAAAEQLAQABAQAAAABEAERBAAAAAAAACABEggIBAQAAAABEgAEAAQEAAAAHAETBAAAAAAAAAEUGAQAAAAAAAAAAAAA</t>
        </r>
      </text>
    </comment>
    <comment ref="D181" authorId="0">
      <text>
        <r>
          <rPr>
            <sz val="9"/>
            <color indexed="81"/>
            <rFont val="Tahoma"/>
            <family val="2"/>
          </rPr>
          <t>Insight iXlW00004C0000181R0841462918S00000180P01516LAocjBAQBF1NjaVRlZ2ljLmRhdGEuTW9sZWN1bGUBbQF/ARJTY2lUZWdpYy5Nb2xlY3VsZQAAAQFkAv5qAQAAAAIBAgEVGAAAAPwIAPwAAgAAAAAAAPC/ArhSgrB+TiFAArCK8X1kIhlAAAAAABgAAAD8CAD8AAIAAAAAAADwvwJmKIQ/fk4hQAKcEWUNVo4cQAAAAAABIwAAAPwEAPwAAgAAAAAAAPC/ApKsGjztfSJAAiuU+PC27B1AAAAAABgAAAD8CAD8AAIAAAAAAADwvwLruQTmZaYfQAJdtmUtTUQeQAAAAAAcAAAA/AQA/AACAAAAAAAA8L8CicVJr2SmH0ACf+hF31bYIEAAAAAAGAAAAPwEAPwAAgAAAAAAAPC/AqpPxLLx4BxAAkxAiZ3V0iFAAAAAABgMAAD8BAD8AAIAAAAAAADwvwKLwN86Te4dQAKESdsxlXMjQAAAAAAgAAAA/AQA/AACAAAAAAAA8L8CDeM6q4JRHEACHoU0HreOJEAAAAAAGAgAAPwEAPwAAgAAAAAAAPC/AkBkrLserSBAAv79dkpHdCNAAAAAACAAAAD8BAD8AAIAAAAAAADwvwKgN91ynXohQAKqu7fFEJAkQAAAAAAYCAAA/AQA/AACAAAAAAAA8L8C+f25QR81IUAC1jPb1fXTIUAAAAAAGAAAAPwEAPwAAgAAAAAAAPC/AvvJ8BnggSJAAtddLoQ9ZiFAAAAAABwAAAD8CAD8AAIAAAAAAADwvwJsF7yD0K8cQAKVyK30U44cQAAAAAAYAAAA/AgA/AACAAAAAAAA8L8CcJcGgDxvGUAC8bBNJAGdHUAAAAAAAWkAAAD8BAD8AAIAAAAAAADwvwKs6yLjTF8YQAKA1rC8S24gQAAAAAAYAAAA/AgA/AACAAAAAAAA8L8CnxomkWBsF0ACKYb52VnYGkAAAAAAAWkAAAD8BAD8AAIAAAAAAADwvwIAAAAAAAAUQAIK8n9OWNgaQAAAAAAcAAAA/AgA/AACAAAAAAAA8L8CNIB87T5vGUACFXpeN7QTGEAAAAAAGAAAAPwIAPwAAgAAAAAAAPC/AhBsuGXRrxxAAnertX9jIhlAAAAAABgAAAD8CAD8AAIAAAAAAADwvwIzY/2pZ6YfQALOUXfSa2wXQAAAAAABaQAAAPwEAPwAAgAAAAAAAPC/Aq+ielNoph9AAgAAAAAAABRAAAAAAAEXAAQEAAQEAAAABAgEAAAAAAAABAwIDAQEAAAADBAEAAAAAAAAEBQEAAQAAAAAFBgEAAQAAAAAGBwEFAAAAAAAGCAEAAQAAAAAICQEEAAAAAAAICgEAAQAAAAAKBAEAAQAAAAAKCwEFAAAAAAADDAEAAQEAAAAMDQEAAQEAAAANDgEAAAAAAAANDwIDAQEAAAAPAEQBAAAAAAAADwBEQQABAQAAAAwARIEAAQEAAAAARIBEQgIBAQAAAABEgETBAAEBAAAAAETAAgIBAQAAAABEwEUBAAAAAAAAAAAAAA=</t>
        </r>
      </text>
    </comment>
    <comment ref="D182" authorId="0">
      <text>
        <r>
          <rPr>
            <sz val="9"/>
            <color indexed="81"/>
            <rFont val="Tahoma"/>
            <family val="2"/>
          </rPr>
          <t>Insight iXlW00004C0000182R0841462918S00000181P00832LAocjBAQBF1NjaVRlZ2ljLmRhdGEuTW9sZWN1bGUBbQF/ARJTY2lUZWdpYy5Nb2xlY3VsZQAAAQFkAv5qAQAAAAIAAiwYAAAA/AgA/AACAAAAAAAA8L8C1AvnxRzQGUAC03+a1uhcGEAAAAAAHAAAAPwIAPwAAgAAAAAAAPC/AtSeZ+wb0BlAAgx4WdMSuBtAAAAAABgAAAD8CAD8AAIAAAAAAADwvwJ6NKxgDegWQAKZ/oFHpmUdQAAAAAAYAAAA/AgA/AACAAAAAAAA8L8Cd5q7Mm+aF0AC30o94M5WIEAAAAAAAWkAAAD8BAD8AAIAAAAAAADwvwKLFKaPMlsVQALgsrFiLpYhQAAAAAAYAAAA/AgA/AACAAAAAAAA8L8C28I5EuPwGkAC13wzt7aDIEAAAAAAHAAAAPwIAPwAAgAAAAAAAPC/AjLdqBpYThxAAsHrUkSM9h1AAAAAABwAAAD8CAD8AAIAAAAAAADwvwIAAAAAAAAUQAIt1crOELgbQAAAAAAYAAAA/AgA/AACAAAAAAAA8L8C/2x/2QAAFEACNCXr4edcGEAAAAAAGAAAAPwIAPwAAgAAAAAAAPC/AnkOqxMP6BZAAifoAgFUrxZAAAAAAAEjAAAA/AQA/AACAAAAAAAA8L8CmbKamw/oFkACAAAAAAAAFEAAAAAAMAAEBAAEBAAAAAQIBAAEBAAAAAgMCAwEBAAAAAwQBAAAAAAAAAwUBAAEBAAAABQYCAgEBAAAABgEBAAEBAAAAAgcBAAEBAAAABwgCAgEBAAAACAkBAAEBAAAACQACAgEBAAAACQoBAAAAAAAAAAAAAA=</t>
        </r>
      </text>
    </comment>
    <comment ref="D183" authorId="0">
      <text>
        <r>
          <rPr>
            <sz val="9"/>
            <color indexed="81"/>
            <rFont val="Tahoma"/>
            <family val="2"/>
          </rPr>
          <t>Insight iXlW00004C0000183R0841462918S00000182P02072LAocjBAQBF1NjaVRlZ2ljLmRhdGEuTW9sZWN1bGUBbQF/ARJTY2lUZWdpYy5Nb2xlY3VsZQAAAQFkAv5qAQAAAAIAAgEdGAAAAPwIAPwAAgAAAAAAAPC/Au5aiZ3eyPQ/AnvHq2L8/+e/AAAAABgAAAD8BAD8AAIAAAAAAADwvwLYEoe4LscEQAJoqV8Howz4vwAAAAAcAAAA/AQA/AACAAAAAAAA8L8CX1DTmc/CBEAC8Cxv9gAICMAAAAAAGAAAAPwIAPwAAgAAAAAAAPC/AgLJ2n2JJQ9AAgopkqRRDg7AAAAAABgAAAD8CAD8AAIAAAAAAADwvwLUrYNKqCUPQAI3MutJMQcVwAAAAAABIwAAAPwEAPwAAgAAAAAAAPC/Aopy10JT1QZAAgtizFKabRfAAAAAABgAAAD8CAD8AAIAAAAAAADwvwLoYzZLB8UUQALVEsoJOAcYwAAAAAAYAAAA/AgA/AACAAAAAAAA8L8CrN3eaEL3GUACVZHKFj8HFcAAAAAAGAAAAPwIAPwAAgAAAAAAAPC/An4ZfdDGKx9AAmmNH5b2BBjAAAAAACAAAAD8BAD8AAIAAAAAAADwvwLU4ydb0i4iQAJxRHa1rAIVwAAAAAAYAAAA/AQA/AACAAAAAAAA8L8CDy5ATYhDJEAC0CA+zOdmF8AAAAAAIAAAAPwIAPwAAgAAAAAAAPC/Aq5zqeXjLR9AAi9ny+vC0RzAAAAAABgAAAD8CAD8AAIAAAAAAADwvwJabyLmSvcZQAKWJaEtfg4OwAAAAAAcAAAA/AgA/AACAAAAAAAA8L8CdmG+RRjFFEAC4OQ6324OCMAAAAAAGAAAAPwIAPwAAgAAAAAAAPC/AiqK0FrYyPQ/AtNhohISAOg/AAAAABgAAAD8CAD8AAIAAAAAAADwvwKBSZam6LHgvgI56m80AQD4PwAAAAAYAAAA/AQA/AACAAAAAAAA8L8C5LI7mwHv078CxEgrgmC7B0AAAAAAGAAAAPwEAPwAAgAAAAAAAPC/Aq5bSGkZ2vy/AtBw5712/AhAAAAAABgAAAD8CAD8AAIAAAAAAADwvwLPMw+yOnUAwAIw/75hcpESQAAAAAAgAAAA/AgA/AACAAAAAAAA8L8CBkFRWog4878C5oMNIK/uFUAAAAAAHAAAAPwIAPwAAgAAAAAAAPC/AqYP2WvLQQzAAuQYyftXqRNAAAAAABgAAAD8CAD8AAIAAAAAAADwvwJPnkeszP0QwAJqHjpF8sYMQAAAAAAgAAAA/AgA/AACAAAAAAAA8L8C8qCH3RXAFcAC7chlTySGC0AAAAAAHAAAAPwIAPwAAgAAAAAAAPC/AvDiBh30uAnAAknQaY6dEgRAAAAAABgAAAD8BAD8AAIAAAAAAADwvwIaMpzHw6ILwAJY3YRKpFT1PwAAAAAYAAAA/AQA/AACAAAAAAAA8L8C8u65ZYZOA8AC8cM8QBYM/D8AAAAAGAAAAPwIAPwAAgAAAAAAAPC/AgS0xbPgyPS/AhLLAij1/+c/AAAAABgAAAD8CAD8AAIAAAAAAADwvwIDxg5x2sj0vwLWkvvXCgDovwAAAAAYAAAA/AgA/AACAAAAAAAA8L8CIIqKpuix0D4C8gBxNAEA+L8AAAAAASAABAQAAAAAAAAECAQAAAAAAAAIDAQAAAAAAAAMEAgABAQAAAAQFAQAAAAAAAAQGAQABAQAAAAYHAgABAQAAAAcIAQAAAAAAAAgJAQAAAAAAAAkKAQAAAAAAAAgLAgAAAAAAAAcMAQABAQAAAAwNAgABAQAAAA0DAQABAQAAAAAOAgABAQAAAA4PAQABAQAAAA8ARAEAAQAAAAAARABEQQABAAAAAABEQESBAAEAAAAAAESARMIAAAAAAAAARIBFAQABAAAAAABFAEVBAAEAAAAAAEVARYIAAAAAAAAARUBFwQABAAAAAABFwERBAAEAAAAAAEXARgEAAAAAAAAAREBGQQABAAAAAA8ARoIAAQEAAAAARoBGQQABAAAAAABGgEbBAAEBAAAAAEbARwIAAQEAAAAARwABAAEBAAAAAAAAAA=</t>
        </r>
      </text>
    </comment>
    <comment ref="D184" authorId="0">
      <text>
        <r>
          <rPr>
            <sz val="9"/>
            <color indexed="81"/>
            <rFont val="Tahoma"/>
            <family val="2"/>
          </rPr>
          <t>Insight iXlW00004C0000184R0841462918S00000183P01796LAocjBAQBF1NjaVRlZ2ljLmRhdGEuTW9sZWN1bGUBbQF/ARJTY2lUZWdpYy5Nb2xlY3VsZQAAAQFkAv5qAQAAAAIAAgEZGAAAAPwIAPwAAgAAAAAAAPC/AulcjAPSzRBAAjTEl9Z6XQrAAAAAABwAAAD8CAD8AAIAAAAAAADwvwIC8mWK7c8TQAIMLiEf8/b/vwAAAAAcAAAA/AgA/AACAAAAAAAA8L8CWMaSOOabD0ACHF6QDiU17L8AAAAAGAAAAPwIAPwAAgAAAAAAAPC/Ah2bgOsyygRAAlq2OuyCAfi/AAAAABwAAAD8BAD8AAIAAAAAAADwvwLuWomd3sj0PwJ7x6ti/P/nvwAAAAAYAAAA/AQA/AACAAAAAAAA8L8CKorQWtjI9D8C02GiEhIA6D8AAAAAGAAAAPwEAPwAAgAAAAAAAPC/AoFJlqboseC+AjnqbzQBAPg/AAAAABwAAAD8CAD8AAIAAAAAAADwvwIEtMWz4Mj0vwISywIo9f/nPwAAAAAYAAAA/AgA/AACAAAAAAAA8L8C3AxbL4PNBMACUgRwrbX29z8AAAAAIAAAAPwIAPwAAgAAAAAAAPC/At4NAXDN0QTAAn7M7HrzlAVAAAAAABgAAAD8CAD8AAIAAAAAAADwvwLj9VTlNDEPwAIci5ax1trnPwAAAAAYAAAA/AgA/AACAAAAAAAA8L8CiHQYS7gmD8ACHkRK164l6L8AAAAAGAAAAPwIAPwAAgAAAAAAAPC/Ahg3GnjpwhTAAv5qabw3Jfi/AAAAABgAAAD8CAD8AAIAAAAAAADwvwItpgtXxvcZwAI8iLpQRW/ovwAAAAAYAAAA/AgA/AACAAAAAAAA8L8CN2NCaRb9GcACRBgW3qeQ5z8AAAAAGAAAAPwIAPwAAgAAAAAAAPC/AtE/EJ2JzRTAAvDQSNu32vc/AAAAAAEjAAAA/AQA/AACAAAAAAAA8L8Cmkm3mtPRFMACNvAhsvGGBUAAAAAAGAAAAPwEAPwAAgAAAAAAAPC/AiCKiqbosdA+AvIAcTQBAPi/AAAAABgAAAD8BAD8AAIAAAAAAADwvwIDxg5x2sj0vwLWkvvXCgDovwAAAAABEAAAAPwEAPwAAgAAAAAAAPC/AsyzxoHJ3wVAAn6y4bkD2gfAAAAAABgAAAD8CAD8AAIAAAAAAADwvwKd92vhpzwTQAJCxZCSoqsSwAAAAAAcAAAA/AgA/AACAAAAAAAA8L8CRJr7it3wGEAC1mCG8rpKFMAAAAAAHAAAAPwIAPwAAgAAAAAAAPC/AvkenOYAFxlAAv0yEbhBShrAAAAAABwAAAD8CAD8AAIAAAAAAADwvwKaLjG9am4TQAJ2BiiVCEkcwAAAAAAcAAAA/AgA/AACAAAAAAAA8L8CqjCTFgCSD0ACwkk+fy+FF8AAAAAAARwABAgABAQAAAAECAQABAQAAAAIDAgABAQAAAAMEAQAAAAAAAAQFAQABAAAAAAUGAQABAAAAAAYHAQABAAAAAAcIAQAAAAAAAAgJAgAAAAAAAAgKAQAAAAAAAAoLAgABAQAAAAsMAQABAQAAAAwNAgABAQAAAA0OAQABAQAAAA4PAgABAQAAAA8KAQABAQAAAA8ARAEAAAAAAAAEAERBAAEAAAAAAERARIEAAQAAAAAARIcBAAEAAAAAAwBEwQABAQAAAABEwAEAAQEAAAAAAEUBAAAAAAAAAEUARUIAAQEAAAAARUBFgQABAQAAAABFgEXBAAEBAAAAAEXARgIAAQEAAAAARgBFAQABAQAAAAAAAAA</t>
        </r>
      </text>
    </comment>
    <comment ref="D185" authorId="0">
      <text>
        <r>
          <rPr>
            <sz val="9"/>
            <color indexed="81"/>
            <rFont val="Tahoma"/>
            <family val="2"/>
          </rPr>
          <t>Insight iXlW00004C0000185R0841462918S00000184P02532LAocjBAQBF1NjaVRlZ2ljLmRhdGEuTW9sZWN1bGUBbQF/ARJTY2lUZWdpYy5Nb2xlY3VsZQAAAQFkAv5qAQAAAAIBAgEkGAAAAPwIAPwAAgAAAAAAAPC/Ajh4F9XqpfQ/AqCktHD1AhXAAAAAABgAAAD8CAD8AAIAAAAAAADwvwIAAyWW5/aBvwIukIyyiwIYwAAAAAAYAAAA/AgA/AACAAAAAAAA8L8CANGnhsfrgr8CCVKrrYsCHsAAAAAAGAAAAPwIAPwAAgAAAAAAAPC/Ajr0L/wOovQ/AnQDgAB7gSDAAAAAAAERAAAA/AQA/AACAAAAAAAA8L8C4/UXhIWg9D8C5HLuZOHnIsAAAAAAGAAAAPwIAPwAAgAAAAAAAPC/AoRCua7wtQRAAoX4XKZgAx7AAAAAABgAAAD8CAD8AAIAAAAAAADwvwKgveak57YEQALJmFOrYAMYwAAAAAAYAAAA/AQA/AACAAAAAAAA8L8CIwLTwn+09D8Ck7WEMzcEDsAAAAAAGAgAAPwEAPwAAgAAAAAAAPC/Al1Q05nPwgRAAu4sb/YACAjAAAAAACAAAAD8BAD8AAIAAAAAAADwvwJcLK9nTsYEQALqx3b/z9z8vwAAAAAYAAAA/AgA/AACAAAAAAAA8L8CCHW78Pe+9D8CJa3OywcDAsAAAAAAGAAAAPwIAPwAAgAAAAAAAPC/AgBsIX9xiW2/AgTmdTvT/gfAAAAAABgAAAD8CAD8AAIAAAAAAADwvwL3VYU9wdL0vwIOZv+ynPoBwAAAAAAYAAAA/AgA/AACAAAAAAAA8L8C3Wr6uQbJ9L8CoOOJvXbq578AAAAAGAAAAPwIAPwAAgAAAAAAAPC/AqbjyeuuyPQ/AhZJD+giDOi/AAAAABgAAAD8CAD8AAIAAAAAAADwvwIAEFJBPcFSPwIAMBlSA8BCPwAAAAABIwAAAPwEAPwAAgAAAAAAAPC/AilZ11Aa7mg/Au/qeKCJNfM/AAAAABgIAAD8BAD8AAIAAAAAAADwvwKnTOrQACcPQAKEX7rtyQsOwAAAAAAYAAAA/AQA/AACAAAAAAAA8L8Co3AOA4IjD0ACPhQ3crHSE8AAAAAAHAAAAPwIAPwAAgAAAAAAAPC/AvgNqkTIxxRAAt7WpLCTDwjAAAAAABgAAAD8CAD8AAIAAAAAAADwvwIejDXg4PkZQAJ0CfCnXBMOwAAAAAAgAAAA/AgA/AACAAAAAAAA8L8CIJ5HeSH4GUACNulRz3rWE8AAAAAAGAAAAPwEAPwAAgAAAAAAAPC/AsRzarwoLh9AAs2A2momFwjAAAAAACAAAAD8BAD8AAIAAAAAAADwvwL1+PqrIDAiQAJisyVi7xoOwAAAAAAYAAAA/AgA/AACAAAAAAAA8L8CxmwVmkTKJEACwCoQJbkeCMAAAAAAHAAAAPwIAPwAAgAAAAAAAPC/Ag2JLs6GYydAAkmRF+3OHQ7AAAAAABgAAAD8CAD8AAIAAAAAAADwvwKJ4yYYhfwpQALb6YN1BB0IwAAAAAAYAAAA/AgA/AACAAAAAAAA8L8CI23m0Er8KUACzk+4/Ag6+L8AAAAAGAAAAPwEAPwAAgAAAAAAAPC/Arxa6M2mlSxAAvS03saKbei/AAAAACQAAAD8BAD8AAIAAAAAAADwvwLH8VTrBaouQAL2SygKacz1vwAAAAAkAAAA/AQA/AACAAAAAAAA8L8CKGQ5X0aVLEACkLfkTLbx2z8AAAAAJAAAAPwEAPwAAgAAAAAAAPC/AnafiRiAqS5AAhDmEbAYz8S/AAAAABgAAAD8CAD8AAIAAAAAAADwvwJMwqc/EmMnQAKUHlspN3fovwAAAAAYAAAA/AgA/AACAAAAAAAA8L8CKQXfshPKJEACKnip5iw9+L8AAAAAGAAAAPwEAPwAAgAAAAAAAPC/AsNhWCPoLx9AAqpvTega+/y/AAAAABgAAAD8BAD8AAIAAAAAAADwvwKNDXSojashQAIO0/llCk0DwAAAAAABJgAECAAEBAAAAAQIBAAEBAAAAAgMCAAEBAAAAAwQBAAAAAAAAAwUBAAEBAAAABQYCAAEBAAAABgABAAEBAAAAAAcBAAAAAAAABwgBAAAAAAAACAkBBQAAAAAACAoBAAAAAAAACgsCAAEBAAAACwwBAAEBAAAADA0CAAEBAAAACg4BAAEBAAAADg8CAAEBAAAADw0BAAEBAAAADwBEAQAAAAAAAAgAREEAAAAAAAAAREBEgQUAAAAAAABEQETBAAAAAAAAAETARQEAAAAAAAAARQBFQgAAAAAAAABFAEWBAAAAAAAAAEWARcEAAAAAAAAARcBGAQAAAAAAAABGAEZCAAEBAAAAAEZARoEAAQEAAAAARoBGwgABAQAAAABGwEcBAAAAAAAAAEcAR0EAAAAAAAAARwBHgQAAAAAAAABHAEfBAAAAAAAAAEbASAEAAQEAAAAASABIQgABAQAAAABIQEYBAAEBAAAAAEWASIEAAAAAAAAARYBIwQAAAAAAAAAAAAA</t>
        </r>
      </text>
    </comment>
    <comment ref="D186" authorId="0">
      <text>
        <r>
          <rPr>
            <sz val="9"/>
            <color indexed="81"/>
            <rFont val="Tahoma"/>
            <family val="2"/>
          </rPr>
          <t>Insight iXlW00004C0000186R0841462918S00000185P02140LAocjBAQBF1NjaVRlZ2ljLmRhdGEuTW9sZWN1bGUBbQF/ARJTY2lUZWdpYy5Nb2xlY3VsZQAAAQFkAv5qAQAAAAIAAgEeHAAAAPwIAPwAAgAAAAAAAPC/ArtsQU5j/hhAApJ8AIqvABHAAAAAABgAAAD8CAD8AAIAAAAAAADwvwIa2vasYP4VQAKq6V+55jIWwAAAAAAYAAAA/AgA/AACAAAAAAAA8L8CHCNV+vEfEEACMGKzv4nzFMAAAAAAGAAAAPwIAPwAAgAAAAAAAPC/AvTI2n2JJQ9AAhQpkqRRDg7AAAAAABgAAAD8CAD8AAIAAAAAAADwvwJVUNOZz8IEQAL0LG/2AAgIwAAAAAAgAAAA/AgA/AACAAAAAAAA8L8C4A57Yqrg+D8CPBC5kxnRDMAAAAAAHAAAAPwIAPwAAgAAAAAAAPC/AtQSh7guxwRAAnGpXwejDPi/AAAAABwAAAD8BAD8AAIAAAAAAADwvwLuWomd3sj0PwJ7x6ti/P/nvwAAAAAYAAAA/AQA/AACAAAAAAAA8L8CKorQWtjI9D8C02GiEhIA6D8AAAAAGAAAAPwEAPwAAgAAAAAAAPC/AoFJlqboseC+AjnqbzQBAPg/AAAAABgAAAD8BAD8AAIAAAAAAADwvwIEtMWz4Mj0vwISywIo9f/nPwAAAAAYAAAA/AQA/AACAAAAAAAA8L8CA8YOcdrI9L8C1pL71woA6L8AAAAAGAAAAPwEAPwAAgAAAAAAAPC/AiCKiqbosdA+AvIAcTQBAPi/AAAAABgAAAD8BAD8AAIAAAAAAADwvwJSKCyByhMJQAJwVnEmUiQYwAAAAAAYAAAA/AgA/AACAAAAAAAA8L8CWUISpG1vGEACasjV7c+uG8AAAAAAGAAAAPwIAPwAAgAAAAAAAPC/AqAFmFbDUR5AAhy9DYwPwBzAAAAAABgAAAD8CAD8AAIAAAAAAADwvwLe5g5BkisgQALj4WiuJjMhwAAAAAAYAAAA/AgA/AACAAAAAAAA8L8CKsI7AVp1HEAC9oWva758I8AAAAAAASMAAAD8BAD8AAIAAAAAAADwvwJd9dq7QRMeQAJtMf95Pb8lwAAAAAAYAAAA/AgA/AACAAAAAAAA8L8C2vsL8S2OFkACJvVfezfzIsAAAAAAGAAAAPwIAPwAAgAAAAAAAPC/At/HA8rLiBRAAknR+r8YICDAAAAAABwAAAD8CAD8AAIAAAAAAADwvwLsRt+em/oUQAIu2w0XbBYJwAAAAAAYAAAA/AgA/AACAAAAAAAA8L8CcZHe0rz2HkACED95nw5gEMAAAAAAGAAAAPwIAPwAAgAAAAAAAPC/AgkKeQQUfCBAAsBFYYcNbQXAAAAAABgAAAD8CAD8AAIAAAAAAADwvwL2Aj2gqm8jQAKfk5Vz/kYDwAAAAAAYAAAA/AgA/AACAAAAAAAA8L8Ctzzba41gJUACdi/3vmVtDMAAAAAAAREAAAD8BAD8AAIAAAAAAADwvwL4JufeBb0nQAKcJuPcWLUKwAAAAAAYAAAA/AgA/AACAAAAAAAA8L8Cumy/SUNqIUACqnZdFffvFMAAAAAAAREAAAD8BAD8AAIAAAAAAADwvwLoWQ9YIZsgQAJ8nLg11HQZwAAAAAAYAAAA/AgA/AACAAAAAAAA8L8CujeZzdldJEACvUaqhO7cE8AAAAAAASEABAQABAQAAAAECAgABAQAAAAIDAQABAQAAAAMEAQAAAAAAAAQFAgAAAAAAAAQGAQAAAAAAAAYHAQAAAAAAAAcIAQABAAAAAAgJAQABAAAAAAkKAQABAAAAAAoLAQABAAAAAAsMAQABAAAAAAwHAQABAAAAAAINAQAAAAAAAAEOAQAAAAAAAA4PAgABAQAAAA8ARAEAAQEAAAAARABEQgABAQAAAABEQESBAAAAAAAAAERARMEAAQEAAAAARMBFAgABAQAAAABFDgEAAQEAAAAAAEVBAAEBAAAAAEVDAgABAQAAAAAARYEAAAAAAAAARYBFwgABAQAAAABFwEYBAAEBAAAAAEYARkIAAQEAAAAARkBGgQAAAAAAAABFgEbBAAEBAAAAAEbARwEAAAAAAAAARsBHQgABAQAAAABHQEZBAAEBAAAAAAAAAA=</t>
        </r>
      </text>
    </comment>
    <comment ref="D187" authorId="0">
      <text>
        <r>
          <rPr>
            <sz val="9"/>
            <color indexed="81"/>
            <rFont val="Tahoma"/>
            <family val="2"/>
          </rPr>
          <t>Insight iXlW00004C0000187R0841462918S00000186P01028LAocjBAQBF1NjaVRlZ2ljLmRhdGEuTW9sZWN1bGUBbQF/ARJTY2lUZWdpYy5Nb2xlY3VsZQAAAQFkAv5qAQAAAAIAAjgBaQAAAPwEAPwAAgAAAAAAAPC/AgAAAAAAABRAAuhJGALQDhtAAAAAABgAAAD8CAD8AAIAAAAAAADwvwLncTx+l0oXQAKx5doQ8yAbQAAAAAAcAAAA/AgA/AACAAAAAAAA8L8CNNGwW2OgGUACtO5JT0HLGEAAAAAAGAAAAPwIAPwAAgAAAAAAAPC/AkgWxgm7kRxAAmSWm9JNSxpAAAAAABwAAAD8CAD8AAIAAAAAAADwvwLbqMcejA0cQAKnJdXvNY4dQAAAAAAcAAAA/AgA/AACAAAAAAAA8L8CmBmOAaTKGEAC9XiP9mQSHkAAAAAAGAAAAPwIAPwAAgAAAAAAAPC/AnqjV2W3gB9AAn0WmuphzBhAAAAAABgAAAD8CAD8AAIAAAAAAADwvwL/JcP/xqwfQAKwp1GDDIAVQAAAAAAYAAAA/AgA/AACAAAAAAAA8L8CijXsVg9PIUACAAAAAAAAFEAAAAAAGAAAAPwIAPwAAgAAAAAAAPC/AuIj41KzsSJAAknQDYUAzRVAAAAAABgAAAD8CAD8AAIAAAAAAADwvwKfYq2Fq5siQAIWP1bsVRkZQAAAAAAYAAAA/AgA/AACAAAAAAAA8L8CFcCirv8iIUACyiswBsWYGkAAAAAAASMAAAD8BAD8AAIAAAAAAADwvwJsyIBItgwhQALIW9gEPOIdQAAAAAABaQAAAPwEAPwAAgAAAAAAAPC/AsMeKtrRHBlAAiTJ9EyaihVAAAAAADwABAQAAAAAAAAECAQABAQAAAAIDAQABAQAAAAMEAgIBAQAAAAQFAQABAQAAAAUBAgMBAQAAAAMGAQAAAAAAAAYHAgMBAQAAAAcIAQABAQAAAAgJAgIBAQAAAAkKAQABAQAAAAoLAgIBAQAAAAsGAQABAQAAAAsMAQAAAAAAAAINAQAAAAAAAAAAAAA</t>
        </r>
      </text>
    </comment>
    <comment ref="D188" authorId="0">
      <text>
        <r>
          <rPr>
            <sz val="9"/>
            <color indexed="81"/>
            <rFont val="Tahoma"/>
            <family val="2"/>
          </rPr>
          <t>Insight iXlW00004C0000188R0841462918S00000187P02124LAocjBAQBF1NjaVRlZ2ljLmRhdGEuTW9sZWN1bGUBbQF/ARJTY2lUZWdpYy5Nb2xlY3VsZQAAAQFkAv5qAQAAAAIAAgEeGAAAAPwIAPwAAgAAAAAAAPC/Au5aiZ3eyPQ/AnvHq2L8/+e/AAAAABgAAAD8CAD8AAIAAAAAAADwvwIqitBa2Mj0PwLTYaISEgDoPwAAAAAYAAAA/AgA/AACAAAAAAAA8L8CgUmWpuix4L4COepvNAEA+D8AAAAAGAAAAPwIAPwAAgAAAAAAAPC/AgS0xbPgyPS/AhLLAij1/+c/AAAAABgAAAD8CAD8AAIAAAAAAADwvwIDxg5x2sj0vwLWkvvXCgDovwAAAAAYAAAA/AgA/AACAAAAAAAA8L8CIIqKpuix0D4C8gBxNAEA+L8AAAAAASMAAAD8BAD8AAIAAAAAAADwvwITC4zQybQCwALCaNVbj5n1PwAAAAAcAAAA/AgA/AACAAAAAAAA8L8C9M9KY9nIBEACvUxsDAwA+D8AAAAAGAAAAPwIAPwAAgAAAAAAAPC/AshHD7JILQ9AAmwq8ocgAOg/AAAAABgAAAD8CAD8AAIAAAAAAADwvwLKvmrTSy0PQAJ+Mwx43//nvwAAAAAYAAAA/AgA/AACAAAAAAAA8L8CbA4Cpt/IBEACcJ50XPb/978AAAAAGAAAAPwIAPwAAgAAAAAAAPC/AlfLSjQsyxRAAmwdOjrW9vc/AAAAABgAAAD8CAD8AAIAAAAAAADwvwKT+iqhBv0ZQALDOJx5LdvnPwAAAAAYAAAA/AgA/AACAAAAAAAA8L8CEMMXVYwxH0ACSkJ731Tk9z8AAAAAGAAAAPwIAPwAAgAAAAAAAPC/AsHfmF/pMSJAAiuQezv3yOc/AAAAABgAAAD8CAD8AAIAAAAAAADwvwIq3RetBsskQAKcBg7zYuT3PwAAAAAYAAAA/AgA/AACAAAAAAAA8L8CMQcOaQrLJEACc7d9eTHyB0AAAAAAGAAAAPwIAPwAAgAAAAAAAPC/As2ThdfwMSJAAveSPQM/8g1AAAAAACAAAAD8BAD8AAIAAAAAAADwvwKDPgI+YDAiQALqmZyn+fkUQAAAAAAYAAAA/AQA/AACAAAAAAAA8L8COZ0+d7osH0ACslfeOof4F0AAAAAAGAAAAPwEAPwAAgAAAAAAAPC/Aqx1FqaYKR9AAsh48Yhe+R1AAAAAABgAAAD8BAD8AAIAAAAAAADwvwLflVChkvUZQAJImxkO9nsgQAAAAAAYAAAA/AQA/AACAAAAAAAA8L8CRs84q3XOFUACuIBYILGPHkAAAAAAGAAAAPwEAPwAAgAAAAAAAPC/AgXgBRh+9xlAAvN8rrEfKxxAAAAAABgAAAD8BAD8AAIAAAAAAADwvwJSbijQcPIZQALSKyO1YXwjQAAAAAAYAAAA/AgA/AACAAAAAAAA8L8ChY5iy2q+FEACtwrEfqj7JEAAAAAAIAAAAPwIAPwAAgAAAAAAAPC/AuzHStVNlxBAAsuv1gCLxyNAAAAAACAAAAD8BAD8AAIAAAAAAADwvwL4Zjr6SLsUQAJBm80lFPwnQAAAAAAYAAAA/AQA/AACAAAAAAAA8L8CrBHgakCSEEAC5xP5DoguKUAAAAAAGAAAAPwIAPwAAgAAAAAAAPC/AvAUf46mMR9AAp65QCdN8gdAAAAAAAEgAAQIAAQEAAAABAgEAAQEAAAACAwIAAQEAAAADBAEAAQEAAAAEBQIAAQEAAAAFAAEAAQEAAAADBgEAAAAAAAABBwEAAQEAAAAHCAIAAQEAAAAICQEAAQEAAAAJCgIAAQEAAAAKAAEAAQEAAAAICwEAAAAAAAALDAIDAAAAAAAMDQEAAAAAAAANDgIAAQEAAAAODwEAAQEAAAAPAEQCAAEBAAAAAEQAREEAAQEAAAAAREBEgQAAAAAAAABEgETBAAAAAAAAAETARQEAAAAAAAAARQBFQQAAAAAAAABFQEWBAAAAAAAAAEVARcEAAAAAAAAARUBGAQAAAAAAAABGAEZBAAAAAAAAAEZARoIAAAAAAAAARkBGwQAAAAAAAABGwEcBAAAAAAAAAERAR0IAAQEAAAAAR00BAAEBAAAAAAAAAA=</t>
        </r>
      </text>
    </comment>
    <comment ref="D189" authorId="0">
      <text>
        <r>
          <rPr>
            <sz val="9"/>
            <color indexed="81"/>
            <rFont val="Tahoma"/>
            <family val="2"/>
          </rPr>
          <t>Insight iXlW00004C0000189R0841462918S00000188P01920LAocjBAQBF1NjaVRlZ2ljLmRhdGEuTW9sZWN1bGUBbQF/ARJTY2lUZWdpYy5Nb2xlY3VsZQAAAQFkAv5qAQAAAAIBAgEbGAAAAPwIAPwAAgAAAAAAAPC/AneZLGVpgBBAAuKX6iWxmv0/AAAAAAEjAAAA/AQA/AACAAAAAAAA8L8CMqBedZFZEkACveUA2HKpB0AAAAAAGAAAAPwIAPwAAgAAAAAAAPC/Ajz2J6KanxNAAnZz5EKjN+I/AAAAABwAAAD8CAD8AAIAAAAAAADwvwL+GKFvGm4PQAKzr8uSrTPivwAAAAAYAAAA/AgA/AACAAAAAAAA8L8CwhpWAlyBBEAC4F7ZazeulD8AAAAAGAgAAPwEAPwAAgAAAAAAAPC/Au5aiZ3eyPQ/AnvHq2L8/+e/AAAAACAAAAD8BAD8AAIAAAAAAADwvwIy6OLFclX0PwIOAoJq1jH/vwAAAAAYAAAA/AQA/AACAAAAAAAA8L8CKorQWtjI9D8C02GiEhIA6D8AAAAAGAAAAPwEAPwAAgAAAAAAAPC/AoFJlqboseC+AjnqbzQBAPg/AAAAABgMAAD8BAD8AAIAAAAAAADwvwIEtMWz4Mj0vwISywIo9f/nPwAAAAAYAAAA/AgA/AACAAAAAAAA8L8CLQw+zzDHBMACoO6k85sM+D8AAAAAHAAAAPwIAPwAAgAAAAAAAPC/AmktgrvTwgTAAlYMUG39BwhAAAAAABgAAAD8BAD8AAIAAAAAAADwvwKMzvOljiUPwALEWRVXTA4OQAAAAAAYAAAA/AQA/AACAAAAAAAA8L8CyO83kjEhD8ACZXdJ5f0HFUAAAAAAGAAAAPwEAPwAAgAAAAAAAPC/AnbIVD72wRTAAh0eLFolCxhAAAAAABwAAAD8CAD8AAIAAAAAAADwvwIU2Xa0x78UwAKf6OoT/QseQAAAAAAYAAAA/AQA/AACAAAAAAAA8L8CEVSFTh3ED8ACUWGtMxG8IEAAAAAAGAAAAPwIAPwAAgAAAAAAAPC/Ava+9HhYlxnAAtVAKK1gwCBAAAAAACAAAAD8CAD8AAIAAAAAAADwvwJQQSP7DycewAIZVnIxEwEgQAAAAAAYAAAA/AQA/AACAAAAAAAA8L8CL+6IK6G3F8ACTJ6sD/aZI0AAAAAAGAAAAPwEAPwAAgAAAAAAAPC/ArhqI4mjtxHAAu/DyhNMlyNAAAAAACAAAAD8CAD8AAIAAAAAAADwvwJ+cmJnqhkNwAKSXi/Iz/TsPwAAAAAYAAAA/AQA/AACAAAAAAAA8L8CA8YOcdrI9L8C1pL71woA6L8AAAAAGAAAAPwEAPwAAgAAAAAAAPC/AoQxMjMtlwLAAiDoG6kjFcC/AAAAABgAAAD8BAD8AAIAAAAAAADwvwLfLWwcZlX0vwIleR1y3TH/vwAAAAAYAAAA/AQA/AACAAAAAAAA8L8CIIqKpuix0D4C8gBxNAEA+L8AAAAAARAAAAD8BAD8AAIAAAAAAADwvwJCS+n43lMFQAKHICGWwA/4PwAAAAABHQAEBAAAAAAAAAAICAAEBAAAAAgMBAAEBAAAAAwQCAAEBAAAABAUBAAAAAAAABQYBBAAAAAAABQcBAAEAAAAABwgBAAEAAAAACAkBAAEAAAAACQoBBAAAAAAACgsBAAAAAAAACwwBAAAAAAAADA0BAAAAAAAADQ4BAAAAAAAADg8BAAAAAAAADwBEAQABAAAAAA8AREEAAQAAAAAAREBEggAAAAAAAABEQETBAAEAAAAAAETARQEAAQAAAAAARQBEAQABAAAAAAoARUIAAAAAAAAJAEWBAAEAAAAAAEWARcEAAAAAAAAARYBGAQAAAAAAAAUARkEAAQAAAAAARkBFgQABAAAAAAQARoEAAQEAAAAARoABAAEBAAAAAAAAAA=</t>
        </r>
      </text>
    </comment>
    <comment ref="D190" authorId="0">
      <text>
        <r>
          <rPr>
            <sz val="9"/>
            <color indexed="81"/>
            <rFont val="Tahoma"/>
            <family val="2"/>
          </rPr>
          <t>Insight iXlW00004C0000190R0841462918S00000189P02152LAocjBAQBF1NjaVRlZ2ljLmRhdGEuTW9sZWN1bGUBbQF/ARJTY2lUZWdpYy5Nb2xlY3VsZQAAAQFkAv5qAQAAAAIAAgEeGAAAAPwIAPwAAgAAAAAAAPC/Au5aiZ3eyPQ/AnvHq2L8/+e/AAAAABgAAAD8CAD8AAIAAAAAAADwvwIqitBa2Mj0PwLTYaISEgDoPwAAAAAYAAAA/AgA/AACAAAAAAAA8L8CgUmWpuix4L4COepvNAEA+D8AAAAAIAAAAPwIAPwAAgAAAAAAAPC/AtqRNIAIDe6+AhD60DOamQVAAAAAABgAAAD8CAD8AAIAAAAAAADwvwIEtMWz4Mj0vwISywIo9f/nPwAAAAAYAAAA/AgA/AACAAAAAAAA8L8CA8YOcdrI9L8C1pL71woA6L8AAAAAHAAAAPwEAPwAAgAAAAAAAPC/AiCKiqbosdA+AvIAcTQBAPi/AAAAABgAAAD8BAD8AAIAAAAAAADwvwKNsCwO2jhpvwL71+zetAEIwAAAAAAYAAAA/AgA/AACAAAAAAAA8L8CHE8XXsLc9L8CrO4E+cP+DcAAAAAAGAAAAPwIAPwAAgAAAAAAAPC/AnFyNKdc8vS/AtIiYAto/xTAAAAAAAEjAAAA/AQA/AACAAAAAAAA8L8CqDTBjhJp0b8CKH4hToNpF8AAAAAAGAAAAPwIAPwAAgAAAAAAAPC/AsOevbDn4gTAAlK72KTN+hfAAAAAABgAAAD8CAD8AAIAAAAAAADwvwJQdcO3AkIPwAJ/FMfkNfYUwAAAAAAgAAAA/AQA/AACAAAAAAAA8L8C2ku7OZlWFcAC179bDdDLFsAAAAAAGAAAAPwEAPwAAgAAAAAAAPC/Asn4MToi2RjAAq98BzMM7hHAAAAAACAAAAD8BAD8AAIAAAAAAADwvwLWS+YyAU4VwAL++uqDDS0KwAAAAAAYAAAA/AgA/AACAAAAAAAA8L8CUIM7bGU3D8ACJu1Ue3DsDcAAAAAAGAAAAPwIAPwAAgAAAAAAAPC/AqrmnBitzQTAAvowznij9QfAAAAAABgAAAD8CAD8AAIAAAAAAADwvwLcDFsvg80EwAJSBHCttfb3PwAAAAAgAAAA/AgA/AACAAAAAAAA8L8C3g0BcM3RBMACfszsevOUBUAAAAAAIAAAAPwEAPwAAgAAAAAAAPC/AuP1VOU0MQ/AAhyLlrHW2uc/AAAAABgAAAD8BAD8AAIAAAAAAADwvwIWMA+2Ic0UwAKegKqeHuT3PwAAAAAYAAAA/AQA/AACAAAAAAAA8L8Cw+4QyWz0GMACv/DyAuKI7D8AAAAAGAAAAPwIAPwAAgAAAAAAAPC/AvTPSmPZyARAAr1MbAwMAPg/AAAAABgAAAD8CAD8AAIAAAAAAADwvwLIRw+ySC0PQAJsKvKHIADoPwAAAAAYAAAA/AgA/AACAAAAAAAA8L8Cyr5q00stD0ACfjMMeN//578AAAAAGAAAAPwIAPwAAgAAAAAAAPC/AmwOAqbfyARAAnCedFz2//e/AAAAACAAAAD8BAD8AAIAAAAAAADwvwLhMfe/mEoVQAIOcaRpsGrzPwAAAAAYAAAA/AQA/AACAAAAAAAA8L8Canu8aXDRGEACbbHF52Tl+T4AAAAAIAAAAPwEAPwAAgAAAAAAAPC/AlYLR0ibShVAAm/l9PqDavO/AAAAAAEiAAQIAAQEAAAABAgEAAQAAAAACAwIAAAAAAAACBAEAAQAAAAAEBQIBAQAAAAAFBgEAAQAAAAAGAAEAAQAAAAAGBwEAAAAAAAAHCAEAAAAAAAAICQIAAQEAAAAJCgEAAAAAAAAJCwEAAQEAAAALDAIAAQEAAAAMDQEAAQAAAAANDgEAAQAAAAAODwEAAQAAAAAMAEQBAAEBAAAAAEQPAQABAAAAAABEAERCAAEBAAAAAERIAQABAQAAAAQARIEAAAAAAAAARIBEwgAAAAAAAABEgEUBAAAAAAAAAEUARUEAAAAAAAAARUBFgQAAAAAAAAEARcEAAQEAAAAARcBGAgABAQAAAABGAEZBAAEBAAAAAEZARoIAAQEAAAAARoABAAEBAAAAAEYARsEAAQAAAAAARsBHAQABAAAAAABHAEdBAAEAAAAAAEdARkEAAQAAAAAAAAAAA==</t>
        </r>
      </text>
    </comment>
    <comment ref="D191" authorId="0">
      <text>
        <r>
          <rPr>
            <sz val="9"/>
            <color indexed="81"/>
            <rFont val="Tahoma"/>
            <family val="2"/>
          </rPr>
          <t>Insight iXlW00004C0000191R0841462918S00000190P01772LAocjBAQBF1NjaVRlZ2ljLmRhdGEuTW9sZWN1bGUBbQF/ARJTY2lUZWdpYy5Nb2xlY3VsZQAAAQFkAv5qAQAAAAIAAgEZHAAAAPwIAPwAAgAAAAAAAPC/Au5aiZ3eyPQ/AnvHq2L8/+e/AAAAABgAAAD8CAD8AAIAAAAAAADwvwIqitBa2Mj0PwLTYaISEgDoPwAAAAAYAAAA/AgA/AACAAAAAAAA8L8CfkI+2nrNBEACcsHyd9L29z8AAAAAIAAAAPwEAPwAAgAAAAAAAPC/ArC4ErowMQ9AAv5e2QYt2+c/AAAAABgAAAD8BAD8AAIAAAAAAADwvwLG7pmbBsITQAJH+GR9cn71PwAAAAAgAAAA/AgA/AACAAAAAAAA8L8C0pSndr7RBEACjKwj4wGVBUAAAAAAGAAAAPwIAPwAAgAAAAAAAPC/AoFJlqboseC+AjnqbzQBAPg/AAAAABgAAAD8CAD8AAIAAAAAAADwvwIEtMWz4Mj0vwISywIo9f/nPwAAAAAcAAAA/AgA/AACAAAAAAAA8L8CA8YOcdrI9L8C1pL71woA6L8AAAAAGAAAAPwIAPwAAgAAAAAAAPC/AiCKiqbosdA+AvIAcTQBAPi/AAAAABgAAAD8CAD8AAIAAAAAAADwvwLeU22T+bLgPgLEAzSNiQEIwAAAAAABEAAAAPwEAPwAAgAAAAAAAPC/AhBs7ds6cPM/Au5H1TaQ3g7AAAAAABgAAAD8CAD8AAIAAAAAAADwvwJ6nuEiyR3oPwLdklbb2iQVwAAAAAAYAAAA/AgA/AACAAAAAAAA8L8Cax1a6DLi578CSwocekonFcAAAAAAGAAAAPwIAPwAAgAAAAAAAPC/AmG8D4f4ZPO/AlBCSEty5g7AAAAAAAEjAAAA/AQA/AACAAAAAAAA8L8CfQFCznnQAsACS3CRStjkC8AAAAAAIAAAAPwEAPwAAgAAAAAAAPC/AtwMWy+DzQTAAlIEcK219vc/AAAAABgAAAD8BAD8AAIAAAAAAADwvwI4il5VGRwNwAIr+H0gEK7sPwAAAAAgAAAA/AQA/AACAAAAAAAA8L8Cg1xKVfNqab8CCmqf27QBCEAAAAAAGAAAAPwIAPwAAgAAAAAAAPC/AmBdXarh3PS/AvYn0oe+/g1AAAAAACAAAAD8CAD8AAIAAAAAAADwvwK5s2WrorwCwALSIyGdOi4JQAAAAAAYAAAA/AQA/AACAAAAAAAA8L8C+YiGQ5Hp9L8ChxWxjDYAFUAAAAAAGAAAAPwEAPwAAgAAAAAAAPC/AgP0LcvhxgLAAn/QSWIXZRdAAAAAABgAAAD8BAD8AAIAAAAAAADwvwIdbnRdX/H0vwKNn/XzAs0ZQAAAAAAYAAAA/AQA/AACAAAAAAAA8L8CiPthXLY00b8Cl5cJgnhoF0AAAAAAARoABAgABAQAAAAECAQAAAAAAAAIDAQAAAAAAAAMEAQAAAAAAAAIFAgAAAAAAAAEGAQABAQAAAAYHAgABAQAAAAcIAQABAQAAAAgJAgABAQAAAAkAAQABAQAAAAkKAQAAAAAAAAoLAQABAQAAAAsMAQABAQAAAAwNAgABAQAAAA0OAQABAQAAAA4KAgABAQAAAA4PAQAAAAAAAAcARAEAAAAAAAAARABEQQAAAAAAAAYARIEAAAAAAAAARIBEwQAAAAAAAABEwEUCAAAAAAAAAETARUEAAAAAAAAARUBFgQAAAAAAAABFQEXBAAAAAAAAAEVARgEAAAAAAAAAAAAAA==</t>
        </r>
      </text>
    </comment>
    <comment ref="D192" authorId="0">
      <text>
        <r>
          <rPr>
            <sz val="9"/>
            <color indexed="81"/>
            <rFont val="Tahoma"/>
            <family val="2"/>
          </rPr>
          <t>Insight iXlW00004C0000192R0841462918S00000191P02260LAocjBAQBF1NjaVRlZ2ljLmRhdGEuTW9sZWN1bGUBbQF/ARJTY2lUZWdpYy5Nb2xlY3VsZQAAAQFkAv5qAQAAAAIAAgEgGAAAAPwIAPwAAgAAAAAAAPC/Au5aiZ3eyPQ/AnvHq2L8/+e/AAAAABgAAAD8CAD8AAIAAAAAAADwvwIqitBa2Mj0PwLTYaISEgDoPwAAAAAYAAAA/AgA/AACAAAAAAAA8L8CgUmWpuix4L4COepvNAEA+D8AAAAAGAAAAPwIAPwAAgAAAAAAAPC/AgAALbOJyvK+Ang6fzcEAAhAAAAAABwAAAD8BAD8AAIAAAAAAADwvwJtO7OmY8X0PwIov3XcXQYOQAAAAAAYAAAA/AQA/AACAAAAAAAA8L8CHjH8s5S89D8C3sATpgYEFUAAAAAAGAAAAPwEAPwAAgAAAAAAAPC/AnVk4AwAwQRAAtZkG5oyBxhAAAAAABgAAAD8BAD8AAIAAAAAAADwvwJN34STmLwEQAIgRvRRCggeQAAAAAAYAAAA/AQA/AACAAAAAAAA8L8C9pWL20+u9D8CqqrwJHCEIEAAAAAAJAAAAPwEAPwAAgAAAAAAAPC/AmC6vLC1rPQ/AnBrM4nW6iJAAAAAACQAAAD8BAD8AAIAAAAAAADwvwI0JQUdlzbQPwLnQSRDd6IeQAAAAAAcAAAA/AgA/AACAAAAAAAA8L8CMytnRk4fD0ACDfX9IpuFIEAAAAAAGAAAAPwIAPwAAgAAAAAAAPC/AgumC83mGg9AArFl6v4GhiNAAAAAACAAAAD8CAD8AAIAAAAAAADwvwI0ZQ0QacgGQAI4fqSzS7gkQAAAAAAgAAAA/AQA/AACAAAAAAAA8L8C+Pj2P86+FEACrjfu+JwHJUAAAAAAGAAAAPwEAPwAAgAAAAAAAPC/AmM2SYOavBRAAlKo2tQICChAAAAAABgAAAD8BAD8AAIAAAAAAADwvwKYim7WgOMYQALc+wVvVTwpQAAAAAAYAAAA/AQA/AACAAAAAAAA8L8CU+0kIkK6FEACEFHr8W5uKkAAAAAAGAAAAPwEAPwAAgAAAAAAAPC/AvcVyqRbkxBAAtnAlIlNOilAAAAAABwAAAD8CAD8AAIAAAAAAADwvwKM8W6U9cj0vwJQent+/v8NQAAAAAAYAAAA/AgA/AACAAAAAAAA8L8CemaO7OXIBMACXQOyX/n/B0AAAAAAGAAAAPwIAPwAAgAAAAAAAPC/Av/wHBqrLg/AAtWK4wa5AA5AAAAAABgAAAD8CAD8AAIAAAAAAADwvwKkwybExDMPwALsDsu/bAAVQAAAAAAYAAAA/AgA/AACAAAAAAAA8L8CdVx9wlLNFMACVKyvCk3+F0AAAAAAASMAAAD8BAD8AAIAAAAAAADwvwIuPg6lSM8UwAImEP5wGcscQAAAAAAYAAAA/AgA/AACAAAAAAAA8L8CkrvRx0/+GcACH5rOIi78FEAAAAAAGAAAAPwIAPwAAgAAAAAAAPC/AsjUK/Lc+xnAAoEsbEVd+A1AAAAAABgAAAD8CAD8AAIAAAAAAADwvwICn/IWbcgUwAI8HIzgmvwHQAAAAAAcAAAA/AgA/AACAAAAAAAA8L8CjOEQteDIBMACTktmv/L/9z8AAAAAGAAAAPwIAPwAAgAAAAAAAPC/AgS0xbPgyPS/AhLLAij1/+c/AAAAABgAAAD8CAD8AAIAAAAAAADwvwIDxg5x2sj0vwLWkvvXCgDovwAAAAAcAAAA/AgA/AACAAAAAAAA8L8CIIqKpuix0D4C8gBxNAEA+L8AAAAAASIABAgABAQAAAAECAQABAQAAAAIDAgABAQAAAAMEAQAAAAAAAAQFAQAAAAAAAAUGAQAAAAAAAAYHAQAAAAAAAAcIAQAAAAAAAAgJAQAAAAAAAAgKAQAAAAAAAAcLAQAAAAAAAAsMAQAAAAAAAAwNAgAAAAAAAAwOAQAAAAAAAA4PAQAAAAAAAA8ARAEAAAAAAAAPAERBAAAAAAAADwBEgQAAAAAAAAMARMEAAQEAAAAARMBFAgABAQAAAABFAEVBAAAAAAAAAEVARYIAAQEAAAAARYBFwQABAQAAAABFwEYBAAAAAAAAAEXARkIAAQEAAAAARkBGgQABAQAAAABGgEbCAAEBAAAAAEbARUEAAQEAAAAARQBHAQABAQAAAAIAR0EAAQEAAAAAR0BHAgABAQAAAABHQEeBAAEBAAAAAEeAR8IAAQEAAAAAR8ABAAEBAAAAAAAAAA=</t>
        </r>
      </text>
    </comment>
    <comment ref="D193" authorId="0">
      <text>
        <r>
          <rPr>
            <sz val="9"/>
            <color indexed="81"/>
            <rFont val="Tahoma"/>
            <family val="2"/>
          </rPr>
          <t>Insight iXlW00004C0000193R0841462918S00000192P02340LAocjBAQBF1NjaVRlZ2ljLmRhdGEuTW9sZWN1bGUBbQF/ARJTY2lUZWdpYy5Nb2xlY3VsZQAAAQFkAv5qAQAAAAIBAgEhGAAAAPwIAPwAAgAAAAAAAPC/Au5aiZ3eyPQ/AnvHq2L8/+e/AAAAABgAAAD8CAD8AAIAAAAAAADwvwIqitBa2Mj0PwLTYaISEgDoPwAAAAAYAAAA/AQA/AACAAAAAAAA8L8CiOOJLE7KBEACJJDLksEB+D8AAAAAJAAAAPwEAPwAAgAAAAAAAPC/AsSTtJRvGw1AAp+FtN3D1ew/AAAAACQAAAD8BAD8AAIAAAAAAADwvwIi9F7MgskEQALlIJVaepoFQAAAAAAkAAAA/AQA/AACAAAAAAAA8L8CknGtnQ4aDUACvHp0ErTOAEAAAAAAHAAAAPwIAPwAAgAAAAAAAPC/AoFJlqboseC+AjnqbzQBAPg/AAAAABgAAAD8CAD8AAIAAAAAAADwvwIEtMWz4Mj0vwISywIo9f/nPwAAAAAcAAAA/AQA/AACAAAAAAAA8L8C3AxbL4PNBMACUgRwrbX29z8AAAAAGAAAAPwIAPwAAgAAAAAAAPC/AuP1VOU0MQ/AAhyLlrHW2uc/AAAAABgAAAD8CAD8AAIAAAAAAADwvwLQwnNoi80UwAJuacVvuNr3PwAAAAAYAAAA/AgA/AACAAAAAAAA8L8CQNXiWBf9GcACqhkmOp2Q5z8AAAAAGAAAAPwIAPwAAgAAAAAAAPC/AsbOGdGfMh/AAkbY7Itit/c/AAAAAAEQAAAA/AQA/AACAAAAAAAA8L8C6HwV0nnHH8ACqv3Y3w2zB0AAAAAAGAAAAPwIAPwAAgAAAAAAAPC/AtBcpZfA0yLAArgN0lCSIgpAAAAAABgMAAD8BAD8AAIAAAAAAADwvwK/J0u1Sw8kwALMJxmBrYcSQAAAAAAgAAAA/AQA/AACAAAAAAAA8L8C6krYeqpyJsACzqTsbI8BE0AAAAAAGAAAAPwEAPwAAgAAAAAAAPC/ApQEvu/sqyHAAsuqRZXLDRJAAAAAABgAAAD8CAD8AAIAAAAAAADwvwJwQrOQK08iwAJ8m/RdIGgXQAAAAAAYAAAA/AgA/AACAAAAAAAA8L8CzmO8JNylHsAC6KV5gULQFkAAAAAAHAAAAPwIAPwAAgAAAAAAAPC/ApKp9gIbJhvAAmdZuJoGsBtAAAAAABgAAAD8CAD8AAIAAAAAAADwvwKROw360p4dwAKIKbbl05MgQAAAAAABIwAAAPwEAPwAAgAAAAAAAPC/ApUe1iE40hrAAjyq2gPvhiJAAAAAABgAAAD8CAD8AAIAAAAAAADwvwLHUTgppsshwAKShLS3wt8gQAAAAAAYAAAA/AgA/AACAAAAAAAA8L8CgVWaJoeLI8ACjELx8cHfHEAAAAAAHAAAAPwIAPwAAgAAAAAAAPC/AlDsAGhjUCTAAnMmNvfVbP8/AAAAABgAAAD8CAD8AAIAAAAAAADwvwKag1PknksiwAJbAYXHilfrPwAAAAAYAAAA/AgA/AACAAAAAAAA8L8Cep/EkcX3GcACoKqR6E9v6L8AAAAAGAAAAPwIAPwAAgAAAAAAAPC/AsKcrtnnwhTAAqz10xs3Jfi/AAAAABgAAAD8BAD8AAIAAAAAAADwvwKTRm/Ypr4UwALrwGViMawFwAAAAAAYAAAA/AgA/AACAAAAAAAA8L8Cct7GxbYmD8ACKPg0yaEl6L8AAAAAHAAAAPwIAPwAAgAAAAAAAPC/AgPGDnHayPS/AtaS+9cKAOi/AAAAABgAAAD8CAD8AAIAAAAAAADwvwIgioqm6LHQPgLyAHE0AQD4vwAAAAABJAAECAAEBAAAAAQIBAAAAAAAAAgMBAAAAAAAAAgQBAAAAAAAAAgUBAAAAAAAAAQYBAAEBAAAABgcCAAEBAAAABwgBAAAAAAAACAkBAAAAAAAACQoCAAEBAAAACgsBAAEBAAAACwwBAAAAAAAADA0BAAEBAAAADQ4BAAEBAAAADg8BAAAAAAAADwBEAQUAAAAAAA8AREEAAAAAAAAPAESBAAAAAAAAAESARMIAAQEAAAAARMBFAQABAQAAAABFAEVCAAEBAAAAAEVARYEAAAAAAAAARUBFwQABAQAAAABFwEYCAAEBAAAAAEYARIEAAQEAAAAOAEZCAAEBAAAAAEZARoEAAQEAAAAARowCAAEBAAAACwBGwgABAQAAAABGwEcBAAEBAAAAAEcAR0EAAAAAAAAARwBHggABAQAAAABHiQEAAQEAAAAHAEfBAAEBAAAAAEfASAIAAQEAAAAASAABAAEBAAAAAAAAAA=</t>
        </r>
      </text>
    </comment>
    <comment ref="D194" authorId="0">
      <text>
        <r>
          <rPr>
            <sz val="9"/>
            <color indexed="81"/>
            <rFont val="Tahoma"/>
            <family val="2"/>
          </rPr>
          <t>Insight iXlW00004C0000194R0841462918S00000193P00884LAocjBAQBF1NjaVRlZ2ljLmRhdGEuTW9sZWN1bGUBbQF/ARJTY2lUZWdpYy5Nb2xlY3VsZQAAAQFkAv5qAQAAAAIAAjAYAAAA/AQA/AACAAAAAAAA8L8C7lqJnd7I9D8Ce8erYvz/578AAAAAHAAAAPwIAPwAAgAAAAAAAPC/AiqK0FrYyPQ/AtNhohISAOg/AAAAAAEQAAAA/AQA/AACAAAAAAAA8L8CiOOJLE7KBEACJJDLksEB+D8AAAAAGAAAAPwEAPwAAgAAAAAAAPC/AsD7v2cuMQ9AAlwySYT0Bug/AAAAABgAAAD8BAD8AAIAAAAAAADwvwKwryxGwsATQAICYKqKGp31PwAAAAAYAAAA/AQA/AACAAAAAAAA8L8CJuvqx/kxD0AC4GHogOO+3L8AAAAAIAAAAPwIAPwAAgAAAAAAAPC/ApJxrZ0OGg1AArx6dBK0zgBAAAAAACAAAAD8CAD8AAIAAAAAAADwvwIi9F7MgskEQALlIJVaepoFQAAAAAAYAAAA/AQA/AACAAAAAAAA8L8CgUmWpuix4L4COepvNAEA+D8AAAAAGAAAAPwEAPwAAgAAAAAAAPC/AgS0xbPgyPS/AhLLAij1/+c/AAAAABwAAAD8BAD8AAIAAAAAAADwvwIDxg5x2sj0vwLWkvvXCgDovwAAAAAYAAAA/AQA/AACAAAAAAAA8L8CIIqKpuix0D4C8gBxNAEA+L8AAAAAMAAEBAAEAAAAAAQIBAAAAAAAAAgMBAAAAAAAAAwQBAAAAAAAAAwUBAAAAAAAAAgYCAAAAAAAAAgcCAAAAAAAAAQgBAAEAAAAACAkBAAEAAAAACQoBAAEAAAAACgsBAAEAAAAACwABAAEAAAAAAAAAAA=</t>
        </r>
      </text>
    </comment>
    <comment ref="D195" authorId="0">
      <text>
        <r>
          <rPr>
            <sz val="9"/>
            <color indexed="81"/>
            <rFont val="Tahoma"/>
            <family val="2"/>
          </rPr>
          <t>Insight iXlW00004C0000195R0841462918S00000194P01172LAocjBAQBF1NjaVRlZ2ljLmRhdGEuTW9sZWN1bGUBbQF/ARJTY2lUZWdpYy5Nb2xlY3VsZQAAAQFkAv5qAQAAAAIAAgEQHAAAAPwEAPwAAgAAAAAAAPC/Au5aiZ3eyPQ/AnvHq2L8/+e/AAAAABgAAAD8BAD8AAIAAAAAAADwvwIqitBa2Mj0PwLTYaISEgDoPwAAAAAYAAAA/AgA/AACAAAAAAAA8L8CgUmWpuix4L4COepvNAEA+D8AAAAAHAAAAPwIAPwAAgAAAAAAAPC/AuSyO5sB79O/AsRIK4JguwdAAAAAABwAAAD8CAD8AAIAAAAAAADwvwKuW0hpGdr8vwLQcOe9dvwIQAAAAAAYAAAA/AgA/AACAAAAAAAA8L8C8u65ZYZOA8AC8cM8QBYM/D8AAAAAGAAAAPwEAPwAAgAAAAAAAPC/AnkGY1EXCQ/AAoBmHG9qG/c/AAAAABgAAAD8CAD8AAIAAAAAAADwvwKw8NXfe4cTwAL38R8PcXwEQAAAAAAYAAAA/AgA/AACAAAAAAAA8L8CbAtgpQFnGcACT8h/rb0HAkAAAAAAGAAAAPwIAPwAAgAAAAAAAPC/ApDoS3UMZx3AAmYztCNm+QpAAAAAABgAAAD8CAD8AAIAAAAAAADwvwI3d8m7nocbwAITClQF9i8TQAAAAAAYAAAA/AgA/AACAAAAAAAA8L8CfiU4AiaoFcAC6vQ3UGVqFEAAAAAAGAAAAPwIAPwAAgAAAAAAAPC/AkC6NGsaqBHAAr4KaI4j4w9AAAAAABwAAAD8CAD8AAIAAAAAAADwvwIEtMWz4Mj0vwISywIo9f/nPwAAAAAYAAAA/AQA/AACAAAAAAAA8L8CA8YOcdrI9L8C1pL71woA6L8AAAAAGAAAAPwEAPwAAgAAAAAAAPC/AiCKiqbosdA+AvIAcTQBAPi/AAAAAAESAAQEAAQAAAAABAgEAAQAAAAACAwIAAQEAAAADBAEAAQEAAAAEBQIAAQEAAAAFBgEAAAAAAAAGBwEAAAAAAAAHCAIAAQEAAAAICQEAAQEAAAAJCgIAAQEAAAAKCwEAAQEAAAALDAIAAQEAAAAMBwEAAQEAAAACDQEAAQEAAAANBQEAAQEAAAANDgEAAQAAAAAODwEAAQAAAAAPAAEAAQAAAAAAAAAAA==</t>
        </r>
      </text>
    </comment>
    <comment ref="D196" authorId="0">
      <text>
        <r>
          <rPr>
            <sz val="9"/>
            <color indexed="81"/>
            <rFont val="Tahoma"/>
            <family val="2"/>
          </rPr>
          <t>Insight iXlW00004C0000196R0841462918S00000195P01104LAocjBAQBF1NjaVRlZ2ljLmRhdGEuTW9sZWN1bGUBbQF/ARJTY2lUZWdpYy5Nb2xlY3VsZQAAAQFkAv5qAQAAAAIAAjwYAAAA/AgA/AACAAAAAAAA8L8C7lqJnd7I9D8Ce8erYvz/578AAAAAIAAAAPwIAPwAAgAAAAAAAPC/AlINlVrItAJAAsKpS2uUmfW/AAAAABwAAAD8CAD8AAIAAAAAAADwvwIqitBa2Mj0PwLTYaISEgDoPwAAAAAYAAAA/AQA/AACAAAAAAAA8L8CgUmWpuix4L4COepvNAEA+D8AAAAAGAAAAPwIAPwAAgAAAAAAAPC/AgCAZxzIwfG+Am2uDn0BAAhAAAAAABgAAAD8CAD8AAIAAAAAAADwvwJe6z+Zxsj0PwJOnBbNBAAOQAAAAAAYAAAA/AgA/AACAAAAAAAA8L8CB7huT7/I9D8C9X6u2QIAFUAAAAAAGAAAAPwIAPwAAgAAAAAAAPC/AgCAECsksgC/AiIofOQAABhAAAAAABgAAAD8CAD8AAIAAAAAAADwvwI4hie/+cj0vwLOgWY8//8UQAAAAAAYAAAA/AQA/AACAAAAAAAA8L8CBRFnptPIBEACHOtXtwgACEAAAAAAGAAAAPwIAPwAAgAAAAAAAPC/AuI2jHzzyPS/Ah1szXj+/w1AAAAAABgAAAD8BAD8AAIAAAAAAADwvwIEtMWz4Mj0vwISywIo9f/nPwAAAAAcAAAA/AQA/AACAAAAAAAA8L8CA8YOcdrI9L8C1pL71woA6L8AAAAAGAAAAPwEAPwAAgAAAAAAAPC/AiCKiqbosdA+AvIAcTQBAPi/AAAAABgAAAD8BAD8AAIAAAAAAADwvwIa28jd2MgEQAKzGrJuEQD4PwAAAAABEQAECAAAAAAAAAAIBAAEAAAAAAgMBAAEAAAAAAwQBAAEAAAAABAUCAAEBAAAABQYBAAEBAAAABgcCAAEBAAAABwgBAAEBAAAABQkBAAEAAAAABAoBAAEBAAAACggCAAEBAAAAAwsBAAEAAAAACwwBAAEAAAAADA0BAAEAAAAADQABAAEAAAAAAg4BAAEAAAAADgkBAAEAAAAAAAAAAA=</t>
        </r>
      </text>
    </comment>
    <comment ref="D197" authorId="0">
      <text>
        <r>
          <rPr>
            <sz val="9"/>
            <color indexed="81"/>
            <rFont val="Tahoma"/>
            <family val="2"/>
          </rPr>
          <t>Insight iXlW00004C0000197R0841462918S00000196P01092LAocjBAQBF1NjaVRlZ2ljLmRhdGEuTW9sZWN1bGUBbQF/ARJTY2lUZWdpYy5Nb2xlY3VsZQAAAQFkAv5qAQAAAAIAAjwYAAAA/AgA/AACAAAAAAAA8L8CSHNHxVzMBUACgskguI1q878AAAAAGAAAAPwEAPwAAgAAAAAAAPC/AmnWXaz/fwlAAsJgCBWvGwXAAAAAACQAAAD8BAD8AAIAAAAAAADwvwL7zZ6rWRQDQAJ2GPFLwz4MwAAAAAAkAAAA/AQA/AACAAAAAAAA8L8CO68vnfpxEUACSCWbHlkaB8AAAAAAJAAAAPwEAPwAAgAAAAAAAPC/AiB0dckZeAxAAghF0gbJPA7AAAAAABwAAAD8CAD8AAIAAAAAAADwvwLuWomd3sj0PwJ7x6ti/P/nvwAAAAAYAAAA/AgA/AACAAAAAAAA8L8CKorQWtjI9D8C02GiEhIA6D8AAAAAGAAAAPwEAPwAAgAAAAAAAPC/AoFJlqboseC+AjnqbzQBAPg/AAAAABwAAAD8BAD8AAIAAAAAAADwvwIEtMWz4Mj0vwISywIo9f/nPwAAAAAYAAAA/AQA/AACAAAAAAAA8L8CA8YOcdrI9L8C1pL71woA6L8AAAAAHAAAAPwIAPwAAgAAAAAAAPC/Ar+laFRUzAVAAs0zdqymavM/AAAAABwAAAD8CAD8AAIAAAAAAADwvwLwWBJYBdoMQAKJglEXIZzyPgAAAAAYAAAA/AQA/AACAAAAAAAA8L8CIIqKpuix0D4C8gBxNAEA+L8AAAAAGAAAAPwEAPwAAgAAAAAAAPC/AkVmpSmJ2fA/AmQhuw03mgDAAAAAABgAAAD8BAD8AAIAAAAAAADwvwINnKO8NdnwvwJm1p7Ce5oAwAAAAAABEAAEBAAAAAAAAAQIBAAAAAAAAAQMBAAAAAAAAAQQBAAAAAAAAAAUBAAEBAAAABQYBAAEBAAAABgcBAAEAAAAABwgBAAEAAAAACAkBAAEAAAAABgoCAAEBAAAACgsBAAEBAAAACwACAAEBAAAABQwBAAEAAAAADAkBAAEAAAAADA0BAAAAAAAADA4BAAAAAAAAAAAAAA=</t>
        </r>
      </text>
    </comment>
    <comment ref="D198" authorId="0">
      <text>
        <r>
          <rPr>
            <sz val="9"/>
            <color indexed="81"/>
            <rFont val="Tahoma"/>
            <family val="2"/>
          </rPr>
          <t>Insight iXlW00004C0000198R0841462918S00000197P00896LAocjBAQBF1NjaVRlZ2ljLmRhdGEuTW9sZWN1bGUBbQF/ARJTY2lUZWdpYy5Nb2xlY3VsZQAAAQFkAv5qAQAAAAIBAjAYAAAA/AQA/AACAAAAAAAA8L8C7lqJnd7I9D8Ce8erYvz/578AAAAAIAAAAPwEAPwAAgAAAAAAAPC/AiqK0FrYyPQ/AtNhohISAOg/AAAAABgIAAD8BAD8AAIAAAAAAADwvwKBSZam6LHgvgI56m80AQD4PwAAAAAYAAAA/AgA/AACAAAAAAAA8L8CYPlzk/my8L4C+ewyjYkBCEAAAAAAGAAAAPwIAPwAAgAAAAAAAPC/Ap8WdjkVxPS/AnqziRn8BQ5AAAAAABgAAAD8CAD8AAIAAAAAAADwvwLUEY+UWrr0vwLY7o+O/QIVQAAAAAAYAAAA/AgA/AACAAAAAAAA8L8CM/0FXoVccz8CLg8hX+IAGEAAAAAAGAAAAPwIAPwAAgAAAAAAAPC/AozVHRFb1/Q/AhpJzfrH/hRAAAAAABgAAAD8CAD8AAIAAAAAAADwvwIgbbCYpM30PwLmBCzxkP0NQAAAAAAYAAAA/AQA/AACAAAAAAAA8L8CBLTFs+DI9L8CEssCKPX/5z8AAAAAHAAAAPwEAPwAAgAAAAAAAPC/AgPGDnHayPS/AtaS+9cKAOi/AAAAABgAAAD8BAD8AAIAAAAAAADwvwIgioqm6LHQPgLyAHE0AQD4vwAAAAA0AAQEAAQAAAAABAgEAAQAAAAACAwEFAAAAAAADBAIAAQEAAAAEBQEAAQEAAAAFBgIAAQEAAAAGBwEAAQEAAAAHCAIAAQEAAAAIAwEAAQEAAAACCQEAAQAAAAAJCgEAAQAAAAAKCwEAAQAAAAALAAEAAQAAAAAAAAAAA==</t>
        </r>
      </text>
    </comment>
    <comment ref="D199" authorId="0">
      <text>
        <r>
          <rPr>
            <sz val="9"/>
            <color indexed="81"/>
            <rFont val="Tahoma"/>
            <family val="2"/>
          </rPr>
          <t>Insight iXlW00004C0000199R0841462918S00000198P01160LAocjBAQBF1NjaVRlZ2ljLmRhdGEuTW9sZWN1bGUBbQF/ARJTY2lUZWdpYy5Nb2xlY3VsZQAAAQFkAv5qAQAAAAIAAgEQGAAAAPwIAPwAAgAAAAAAAPC/AukiL2XL7tM/Ai/coI1euwfAAAAAABgAAAD8CAD8AAIAAAAAAADwvwKitVaxIwzmvwL+ercAwlMQwAAAAAAgAAAA/AgA/AACAAAAAAAA8L8CAFsX5XLP/b8C4HFrP02sDsAAAAAAHAAAAPwIAPwAAgAAAAAAAPC/Ap4pDFpNmcy/AvgtZ9XKCBbAAAAAABgAAAD8BAD8AAIAAAAAAADwvwLRr17N+pvzvwJirtRw0YAawAAAAAAYAAAA/AQA/AACAAAAAAAA8L8Cs4jNlJVO678C87G97wARH8AAAAAAGAAAAPwEAPwAAgAAAAAAAPC/AhaJ6HziNwDAAlq52EYlEx7AAAAAABgAAAD8BAD8AAIAAAAAAADwvwIAWOXsrTIDwAJT7NIPNoMZwAAAAAAcAAAA/AgA/AACAAAAAAAA8L8CAEsOsxDa/D8C0++CPHn8CMAAAAAAHAAAAPwIAPwAAgAAAAAAAPC/AjhyW/KDTgNAAmfWwu8cDPy/AAAAABgAAAD8CAD8AAIAAAAAAADwvwLuWomd3sj0PwJ7x6ti/P/nvwAAAAAYAAAA/AQA/AACAAAAAAAA8L8CKorQWtjI9D8C02GiEhIA6D8AAAAAHAAAAPwEAPwAAgAAAAAAAPC/AoFJlqboseC+AjnqbzQBAPg/AAAAABwAAAD8CAD8AAIAAAAAAADwvwIgioqm6LHQPgLyAHE0AQD4vwAAAAAYAAAA/AQA/AACAAAAAAAA8L8CA8YOcdrI9L8C1pL71woA6L8AAAAAGAAAAPwEAPwAAgAAAAAAAPC/AgS0xbPgyPS/AhLLAij1/+c/AAAAAAERAAQEAAAAAAAABAgIAAAAAAAABAwEAAAAAAAADBAEAAAAAAAAEBQEAAAAAAAAEBgEAAAAAAAAEBwEAAAAAAAAACAIAAQEAAAAICQEAAQEAAAAJCgIAAQEAAAAKCwEAAQAAAAALDAEAAQAAAAAKDQEAAQEAAAANAAEAAQEAAAANDgEAAQAAAAAODwEAAQAAAAAPDAEAAQAAAAAAAAAAA==</t>
        </r>
      </text>
    </comment>
    <comment ref="D200" authorId="0">
      <text>
        <r>
          <rPr>
            <sz val="9"/>
            <color indexed="81"/>
            <rFont val="Tahoma"/>
            <family val="2"/>
          </rPr>
          <t>Insight iXlW00004C0000200R0841462918S00000199P01104LAocjBAQBF1NjaVRlZ2ljLmRhdGEuTW9sZWN1bGUBbQF/ARJTY2lUZWdpYy5Nb2xlY3VsZQAAAQFkAv5qAQAAAAIAAjwYAAAA/AQ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gA/AACAAAAAAAA8L8CI/HVlrco5z8CbVmM8stxAcAAAAAAGAAAAPwIAPwAAgAAAAAAAPC/AiWREJtEav0/AsBsTL5ZeQnAAAAAABgAAAD8CAD8AAIAAAAAAADwvwKBQ7q4wG/4PwILnh442JkSwAAAAAAYAAAA/AgA/AACAAAAAAAA8L8CECkWE+7HuT8CkQfBWYV0FMAAAAAAGAAAAPwIAPwAAgAAAAAAAPC/AlLbbU9YeOa/AnteUy6iJAXAAAAAABgAAAD8CAD8AAIAAAAAAADwvwKrjc6pdjnwvwKGI9/8wXAQwAAAAAAgAAAA/AQA/AACAAAAAAAA8L8CxSPDOtaaBkACojTmRuDx7r8AAAAAGAAAAPwIAPwAAgAAAAAAAPC/AhglcSuOGQlAAs4xY+RVeQPAAAAAACAAAAD8CAD8AAIAAAAAAADwvwIY2ABLWO8QQAL3LTiE62AHwAAAAAABEQAEBAAEAAAAAAQIBAAEAAAAAAgMBAAEAAAAAAwQBAAEAAAAABAUBAAEAAAAABQABAAEAAAAAAAYBAAEAAAAABgcCAAEBAAAABwgBAAEBAAAACAkCAAEBAAAABgoBAAEBAAAACgsCAAEBAAAACwkBAAEBAAAAAAwBAAEAAAAADA0BAAEAAAAADQcBAAEAAAAADQ4CAAAAAAAAAAAAAA=</t>
        </r>
      </text>
    </comment>
    <comment ref="D201" authorId="0">
      <text>
        <r>
          <rPr>
            <sz val="9"/>
            <color indexed="81"/>
            <rFont val="Tahoma"/>
            <family val="2"/>
          </rPr>
          <t>Insight iXlW00004C0000201R0841462918S00000200P00896LAocjBAQBF1NjaVRlZ2ljLmRhdGEuTW9sZWN1bGUBbQF/ARJTY2lUZWdpYy5Nb2xlY3VsZQAAAQFkAv5qAQAAAAIAAjAYAAAA/AgA/AACAAAAAAAA8L8CSHNHxVzMBUACgskguI1q878AAAAAGAAAAPwEAPwAAgAAAAAAAPC/Ah4FW7ARhglAAi7kJ6y6GQXAAAAAABgAAAD8BAD8AAIAAAAAAADwvwIFpqzzTHURQAIhDcxjsBUHwAAAAAAYAAAA/AQA/AACAAAAAAAA8L8CxjucEnocA0ACszs35Kc+DMAAAAAAHAAAAPwIAPwAAgAAAAAAAPC/Au5aiZ3eyPQ/AnvHq2L8/+e/AAAAABgAAAD8CAD8AAIAAAAAAADwvwIqitBa2Mj0PwLTYaISEgDoPwAAAAAYAAAA/AQA/AACAAAAAAAA8L8CgUmWpuix4L4COepvNAEA+D8AAAAAHAAAAPwEAPwAAgAAAAAAAPC/AgS0xbPgyPS/AhLLAij1/+c/AAAAABgAAAD8BAD8AAIAAAAAAADwvwIDxg5x2sj0vwLWkvvXCgDovwAAAAAcAAAA/AgA/AACAAAAAAAA8L8Cv6VoVFTMBUACzTN2rKZq8z8AAAAAHAAAAPwIAPwAAgAAAAAAAPC/AvBYElgF2gxAAomCURchnPI+AAAAABgAAAD8BAD8AAIAAAAAAADwvwIgioqm6LHQPgLyAHE0AQD4vwAAAAA0AAQEAAAAAAAABAgEAAAAAAAABAwEAAAAAAAAABAEAAQEAAAAEBQEAAQEAAAAFBgEAAQAAAAAGBwEAAQAAAAAHCAEAAQAAAAAFCQIAAQEAAAAJCgEAAQEAAAAKAAIAAQEAAAAECwEAAQAAAAALCAEAAQAAAAAAAAAAA==</t>
        </r>
      </text>
    </comment>
    <comment ref="D202" authorId="0">
      <text>
        <r>
          <rPr>
            <sz val="9"/>
            <color indexed="81"/>
            <rFont val="Tahoma"/>
            <family val="2"/>
          </rPr>
          <t>Insight iXlW00004C0000202R0841462918S00000201P00832LAocjBAQBF1NjaVRlZ2ljLmRhdGEuTW9sZWN1bGUBbQF/ARJTY2lUZWdpYy5Nb2xlY3VsZQAAAQFkAv5qAQAAAAIAAiwYAAAA/AQA/AACAAAAAAAA8L8C7lqJnd7I9D8Ce8erYvz/578AAAAAHAAAAPwEAPwAAgAAAAAAAPC/AiqK0FrYyPQ/AtNhohISAOg/AAAAABgAAAD8CAD8AAIAAAAAAADwvwIs6mGoLMoEQAJSZpSdmAH4PwAAAAAYAAAA/AgA/AACAAAAAAAA8L8ChkIlauWbD0ACs7fPfGc17D8AAAAAGAAAAPwIAPwAAgAAAAAAAPC/AsgDHYLpzxNAAnwevl0h9/8/AAAAABgAAAD8CAD8AAIAAAAAAADwvwKJtY5iy80QQAL+NLKhi10KQAAAAAABEAAAAPwEAPwAAgAAAAAAAPC/At/1+mq93wVAApAiVhAP2gdAAAAAABgAAAD8BAD8AAIAAAAAAADwvwKBSZam6LHgvgI56m80AQD4PwAAAAAYAAAA/AQA/AACAAAAAAAA8L8CBLTFs+DI9L8CEssCKPX/5z8AAAAAHAAAAPwEAPwAAgAAAAAAAPC/AgPGDnHayPS/AtaS+9cKAOi/AAAAABgAAAD8BAD8AAIAAAAAAADwvwIgioqm6LHQPgLyAHE0AQD4vwAAAAAwAAQEAAQAAAAABAgEAAAAAAAACAwIAAQEAAAADBAEAAQEAAAAEBQIAAQEAAAAFBgEAAQEAAAAGAgEAAQEAAAABBwEAAQAAAAAHCAEAAQAAAAAICQEAAQAAAAAJCgEAAQAAAAAKAAEAAQAAAAAAAAAAA==</t>
        </r>
      </text>
    </comment>
    <comment ref="D203" authorId="0">
      <text>
        <r>
          <rPr>
            <sz val="9"/>
            <color indexed="81"/>
            <rFont val="Tahoma"/>
            <family val="2"/>
          </rPr>
          <t>Insight iXlW00004C0000203R0841462918S00000202P01172LAocjBAQBF1NjaVRlZ2ljLmRhdGEuTW9sZWN1bGUBbQF/ARJTY2lUZWdpYy5Nb2xlY3VsZQAAAQFkAv5qAQAAAAIAAgEQHAAAAPwEAPwAAgAAAAAAAPC/Au5aiZ3eyPQ/AnvHq2L8/+e/AAAAABgAAAD8BAD8AAIAAAAAAADwvwIqitBa2Mj0PwLTYaISEgDoPwAAAAAYAAAA/AQA/AACAAAAAAAA8L8CgUmWpuix4L4COepvNAEA+D8AAAAAGAAAAPwEAPwAAgAAAAAAAPC/AjUdjbDgyARAAg5VvSwBAPi/AAAAABgAAAD8BAD8AAIAAAAAAADwvwIgioqm6LHQPgLyAHE0AQD4vwAAAAAYAAAA/AQA/AACAAAAAAAA8L8CA8YOcdrI9L8C1pL71woA6L8AAAAAHAAAAPwEAPwAAgAAAAAAAPC/AgS0xbPgyPS/AhLLAij1/+c/AAAAABgAAAD8CAD8AAIAAAAAAADwvwIAAIaSnvPYPgJv6euWAAAIwAAAAAAYAAAA/AgA/AACAAAAAAAA8L8ClJiFxOLI9D8CmPCISQAADsAAAAAAGAAAAPwIAPwAAgAAAAAAAPC/AhizTtDjyPQ/At4TcZgAABXAAAAAABgAAAD8CAD8AAIAAAAAAADwvwIAAPJKTiXdPgL+GAZyAAAYwAAAAAAYAAAA/AgA/AACAAAAAAAA8L8Cxg5KPtXI9L8CtnG3mAAAFcAAAAAAGAAAAPwIAPwAAgAAAAAAAPC/AviJKVXXyPS/AhDvbjEBAA7AAAAAABgAAAD8BAD8AAIAAAAAAADwvwI+M8Cl38gEQALxnl6WAAAIwAAAAAAYAAAA/AQA/AACAAAAAAAA8L8CTSURONyOBEAC2mnVb3XMEMAAAAAAGAAAAPwEAPwAAgAAAAAAAPC/Apz7m8DF+wxAArZYurCOAQPAAAAAAAESAAQEAAQAAAAABAgEAAQAAAAAAAwEAAQAAAAAABAEAAQAAAAAEBQEAAQAAAAAFBgEAAQAAAAAGAgEAAQAAAAAEBwEAAQAAAAAHCAIAAQEAAAAICQEAAQEAAAAJCgIAAQEAAAAKCwEAAQEAAAALDAIAAQEAAAAMBwEAAQEAAAAIDQEAAQAAAAANAwEAAQAAAAANDgEAAAAAAAANDwEAAAAAAAAAAAAAA==</t>
        </r>
      </text>
    </comment>
    <comment ref="D204" authorId="0">
      <text>
        <r>
          <rPr>
            <sz val="9"/>
            <color indexed="81"/>
            <rFont val="Tahoma"/>
            <family val="2"/>
          </rPr>
          <t>Insight iXlW00004C0000204R0841462918S00000203P00828LAocjBAQBF1NjaVRlZ2ljLmRhdGEuTW9sZWN1bGUBbQF/ARJTY2lUZWdpYy5Nb2xlY3VsZQAAAQFkAv5qAQAAAAIAAiwYAAAA/AgA/AACAAAAAAAA8L8CSHNHxVzMBUACgskguI1q878AAAAAGAAAAPwEAPwAAgAAAAAAAPC/Ah4FW7ARhglAAi7kJ6y6GQXAAAAAABgAAAD8BAD8AAIAAAAAAADwvwIFpqzzTHURQAIhDcxjsBUHwAAAAAAcAAAA/AgA/AACAAAAAAAA8L8C7lqJnd7I9D8Ce8erYvz/578AAAAAGAAAAPwIAPwAAgAAAAAAAPC/AiqK0FrYyPQ/AtNhohISAOg/AAAAABgAAAD8BAD8AAIAAAAAAADwvwKBSZam6LHgvgI56m80AQD4PwAAAAAcAAAA/AQA/AACAAAAAAAA8L8CBLTFs+DI9L8CEssCKPX/5z8AAAAAGAAAAPwEAPwAAgAAAAAAAPC/AgPGDnHayPS/AtaS+9cKAOi/AAAAABgAAAD8CAD8AAIAAAAAAADwvwK/pWhUVMwFQALNM3aspmrzPwAAAAAcAAAA/AgA/AACAAAAAAAA8L8C8FgSWAXaDEACiYJRFyGc8j4AAAAAGAAAAPwEAPwAAgAAAAAAAPC/AiCKiqbosdA+AvIAcTQBAPi/AAAAADAABAQAAAAAAAAECAQAAAAAAAAADAQABAQAAAAMEAQABAQAAAAQFAQABAAAAAAUGAQABAAAAAAYHAQABAAAAAAQIAgABAQAAAAgJAQABAQAAAAkAAgABAQAAAAMKAQABAAAAAAoHAQABAAAAAAAAAAA</t>
        </r>
      </text>
    </comment>
    <comment ref="D205" authorId="0">
      <text>
        <r>
          <rPr>
            <sz val="9"/>
            <color indexed="81"/>
            <rFont val="Tahoma"/>
            <family val="2"/>
          </rPr>
          <t>Insight iXlW00004C0000205R0841462918S00000204P00896LAocjBAQBF1NjaVRlZ2ljLmRhdGEuTW9sZWN1bGUBbQF/ARJTY2lUZWdpYy5Nb2xlY3VsZQAAAQFkAv5qAQAAAAIAAjAYAAAA/AgA/AACAAAAAAAA8L8C7lqJnd7I9D8Ce8erYvz/578AAAAAGAAAAPwIAPwAAgAAAAAAAPC/AkhzR8VczAVAAoLJILiNavO/AAAAABwAAAD8CAD8AAIAAAAAAADwvwLxWBJYBdoMQAKallMXIZzyPgAAAAAcAAAA/AgA/AACAAAAAAAA8L8CKorQWtjI9D8C02GiEhIA6D8AAAAAGAAAAPwIAPwAAgAAAAAAAPC/Ar6laFRUzAVAAtAzdqymavM/AAAAABgAAAD8BAD8AAIAAAAAAADwvwKJRSDH/4UJQAI8r/1HyhkFQAAAAAAYAAAA/AQA/AACAAAAAAAA8L8CscddK0N1EUACfcLB08cVB0AAAAAAGAAAAPwEAPwAAgAAAAAAAPC/ArZsBDViHANAAkjrzieyPgxAAAAAABgAAAD8BAD8AAIAAAAAAADwvwKBSZam6LHgvgI56m80AQD4PwAAAAAYAAAA/AQA/AACAAAAAAAA8L8CBLTFs+DI9L8CEssCKPX/5z8AAAAAHAAAAPwEAPwAAgAAAAAAAPC/AgPGDnHayPS/AtaS+9cKAOi/AAAAABgAAAD8BAD8AAIAAAAAAADwvwIgioqm6LHQPgLyAHE0AQD4vwAAAAA0AAQIAAQEAAAABAgEAAQEAAAAAAwEAAQEAAAADBAEAAQEAAAAEAgIAAQEAAAAEBQEAAAAAAAAFBgEAAAAAAAAFBwEAAAAAAAADCAEAAQAAAAAICQEAAQAAAAAJCgEAAQAAAAAKCwEAAQAAAAALAAEAAQAAAAAAAAAAA==</t>
        </r>
      </text>
    </comment>
    <comment ref="D206" authorId="0">
      <text>
        <r>
          <rPr>
            <sz val="9"/>
            <color indexed="81"/>
            <rFont val="Tahoma"/>
            <family val="2"/>
          </rPr>
          <t>Insight iXlW00004C0000206R0841462918S00000205P01092LAocjBAQBF1NjaVRlZ2ljLmRhdGEuTW9sZWN1bGUBbQF/ARJTY2lUZWdpYy5Nb2xlY3VsZQAAAQFkAv5qAQAAAAIAAjwYAAAA/AQA/AACAAAAAAAA8L8C7lqJnd7I9D8Ce8erYvz/578AAAAAGAAAAPwEAPwAAgAAAAAAAPC/AiqK0FrYyPQ/AtNhohISAOg/AAAAABwAAAD8BAD8AAIAAAAAAADwvwKBSZam6LHgvgI56m80AQD4PwAAAAAYAAAA/AQA/AACAAAAAAAA8L8CBLTFs+DI9L8CEssCKPX/5z8AAAAAGAAAAPwIAPwAAgAAAAAAAPC/AgPGDnHayPS/AtaS+9cKAOi/AAAAABgAAAD8CAD8AAIAAAAAAADwvwLXrqiG3MgEwAIOa8arDwD4vwAAAAAYAAAA/AgA/AACAAAAAAAA8L8C6SkrT9fIBMACPhPi1QcACMAAAAAAGAAAAPwIAPwAAgAAAAAAAPC/Al9irOrNyPS/AqLAiOsDAA7AAAAAABgAAAD8CAD8AAIAAAAAAADwvwIAAPvUf+DkPgL9zmibAAAIwAAAAAAYAAAA/AgA/AACAAAAAAAA8L8CIIqKpuix0D4C8gBxNAEA+L8AAAAAGAAAAPwIAPwAAgAAAAAAAPC/Ao52jRqBzQRAAiMgJsO89ve/AAAAACAAAAD8BAD8AAIAAAAAAADwvwJiY5zWMzEPQAIYfszu69rnvwAAAAAYAAAA/AQA/AACAAAAAAAA8L8CKKNyrCDNFEACrw/9xyzk978AAAAAGAAAAPwEAPwAAgAAAAAAAPC/AoTYOihs9BhAAhgKofwDiey/AAAAACAAAAD8CAD8AAIAAAAAAADwvwJwOyK5ydEEQAJcioIG95QFwAAAAAABEAAEBAAEAAAAAAQIBAAEAAAAAAgMBAAEAAAAAAwQBAAEAAAAABAUCAAEBAAAABQYBAAEBAAAABgcCAAEBAAAABwgBAAEBAAAABAkBAAEBAAAACQABAAEAAAAACQgCAAEBAAAAAAoBAAAAAAAACgsBAAAAAAAACwwBAAAAAAAADA0BAAAAAAAACg4CAAAAAAAAAAAAAA=</t>
        </r>
      </text>
    </comment>
    <comment ref="D207" authorId="0">
      <text>
        <r>
          <rPr>
            <sz val="9"/>
            <color indexed="81"/>
            <rFont val="Tahoma"/>
            <family val="2"/>
          </rPr>
          <t>Insight iXlW00004C0000207R0841462918S00000206P00752LAocjBAQBF1NjaVRlZ2ljLmRhdGEuTW9sZWN1bGUBbQF/ARJTY2lUZWdpYy5Nb2xlY3VsZQAAAQFkAv5qAQAAAAIAAigYAAAA/AQA/AACAAAAAAAA8L8CnkOzb1TKBEACSudO4asB+L8AAAAAGAAAAPwEAPwAAgAAAAAAAPC/Ao9BtBGOyQRAAsSYP4JvmgXAAAAAABgAAAD8BAD8AAIAAAAAAADwvwJSmnRiFxoNQAIt8J/jpM4AwAAAAAAgAAAA/AQA/AACAAAAAAAA8L8C3up8V3MbDUACtP2GH4fV7L8AAAAAGAAAAPwEAPwAAgAAAAAAAPC/Au5aiZ3eyPQ/AnvHq2L8/+e/AAAAABgAAAD8BAD8AAIAAAAAAADwvwIqitBa2Mj0PwLTYaISEgDoPwAAAAAYAAAA/AQA/AACAAAAAAAA8L8CgUmWpuix4L4COepvNAEA+D8AAAAAGAAAAPwEAPwAAgAAAAAAAPC/AgS0xbPgyPS/AhLLAij1/+c/AAAAABwAAAD8BAD8AAIAAAAAAADwvwIDxg5x2sj0vwLWkvvXCgDovwAAAAAYAAAA/AQA/AACAAAAAAAA8L8CIIqKpuix0D4C8gBxNAEA+L8AAAAAKAAEBAAAAAAAAAAIBAAAAAAAAAAMBAAAAAAAAAAQBAAAAAAAABAUBAAEAAAAABQYBAAEAAAAABgcBAAEAAAAABwgBAAEAAAAABAkBAAEAAAAACQgBAAEAAAAAAAAAAA=</t>
        </r>
      </text>
    </comment>
    <comment ref="D208" authorId="0">
      <text>
        <r>
          <rPr>
            <sz val="9"/>
            <color indexed="81"/>
            <rFont val="Tahoma"/>
            <family val="2"/>
          </rPr>
          <t>Insight iXlW00004C0000208R0841462918S00000207P00816LAocjBAQBF1NjaVRlZ2ljLmRhdGEuTW9sZWN1bGUBbQF/ARJTY2lUZWdpYy5Nb2xlY3VsZQAAAQFkAv5qAQAAAAIAAiwYAAAA/AQA/AACAAAAAAAA8L8C7lqJnd7I9D8Ce8erYvz/578AAAAAIAAAAPwEAPwAAgAAAAAAAPC/AiHCquQGlgJAAnDmpSYU7b+/AAAAABgAAAD8BAD8AAIAAAAAAADwvwIqitBa2Mj0PwLTYaISEgDoPwAAAAAYAAAA/AQA/AACAAAAAAAA8L8CgUmWpuix4L4COepvNAEA+D8AAAAAGAAAAPwEAPwAAgAAAAAAAPC/AiCKiqbosdA+AvIAcTQBAPi/AAAAABgAAAD8BAD8AAIAAAAAAADwvwIDxg5x2sj0vwLWkvvXCgDovwAAAAAcAAAA/AQA/AACAAAAAAAA8L8CBLTFs+DI9L8CEssCKPX/5z8AAAAAGAAAAPwEAPwAAgAAAAAAAPC/Aj46eFCSM/Q/Aj+9QM8B1wHAAAAAABwAAAD8BAD8AAIAAAAAAADwvwKASFl+vdyivwL8da9N/dgHwAAAAAAYAAAA/AQA/AACAAAAAAAA8L8Cw6E06jz9or8CzHzscUu5EMAAAAAAGAAAAPwEAPwAAgAAAAAAAPC/AkaD7pXbN/G/ApFlfLdsDAPAAAAAACwABAQAAAAAAAAACAQABAAAAAAIDAQABAAAAAAAEAQABAAAAAAQFAQABAAAAAAUGAQABAAAAAAYDAQABAAAAAAAHAQAAAAAAAAcIAQAAAAAAAAgJAQAAAAAAAAgKAQAAAAAAAAAAAAA</t>
        </r>
      </text>
    </comment>
    <comment ref="D209" authorId="0">
      <text>
        <r>
          <rPr>
            <sz val="9"/>
            <color indexed="81"/>
            <rFont val="Tahoma"/>
            <family val="2"/>
          </rPr>
          <t>Insight iXlW00004C0000209R0841462918S00000208P00700LAocjBAQBF1NjaVRlZ2ljLmRhdGEuTW9sZWN1bGUBbQF/ARJTY2lUZWdpYy5Nb2xlY3VsZQAAAQFkAv5qAQAAAAIAAiQcAAAA/AgA/AACAAAAAAAA8L8CSHNHxVzMBUACgskguI1q878AAAAAHAAAAPwIAPwAAgAAAAAAAPC/Au5aiZ3eyPQ/AnvHq2L8/+e/AAAAABgAAAD8CAD8AAIAAAAAAADwvwIqitBa2Mj0PwLTYaISEgDoPwAAAAAYAAAA/AQA/AACAAAAAAAA8L8CgUmWpuix4L4COepvNAEA+D8AAAAAHAAAAPwEAPwAAgAAAAAAAPC/AgS0xbPgyPS/AhLLAij1/+c/AAAAABgAAAD8BAD8AAIAAAAAAADwvwIDxg5x2sj0vwLWkvvXCgDovwAAAAAcAAAA/AgA/AACAAAAAAAA8L8Cv6VoVFTMBUACzTN2rKZq8z8AAAAAGAAAAPwIAPwAAgAAAAAAAPC/AvBYElgF2gxAAomCURchnPI+AAAAABgAAAD8BAD8AAIAAAAAAADwvwIgioqm6LHQPgLyAHE0AQD4vwAAAAAoAAQEAAQEAAAABAgEAAQEAAAACAwEAAQAAAAADBAEAAQAAAAAEBQEAAQAAAAACBgIAAQEAAAAGBwEAAQEAAAAHAAIAAQEAAAABCAEAAQAAAAAIBQEAAQAAAAAAAAAAA==</t>
        </r>
      </text>
    </comment>
    <comment ref="D210" authorId="0">
      <text>
        <r>
          <rPr>
            <sz val="9"/>
            <color indexed="81"/>
            <rFont val="Tahoma"/>
            <family val="2"/>
          </rPr>
          <t>Insight iXlW00004C0000210R0841462918S00000209P00960LAocjBAQBF1NjaVRlZ2ljLmRhdGEuTW9sZWN1bGUBbQF/ARJTY2lUZWdpYy5Nb2xlY3VsZQAAAQFkAv5qAQAAAAIBAjQcAAAA/AQA/AACAAAAAAAA8L8C7lqJnd7I9D8Ce8erYvz/578AAAAAGAAAAPwEAPwAAgAAAAAAAPC/AiqK0FrYyPQ/AtNhohISAOg/AAAAABgAAAD8BAD8AAIAAAAAAADwvwKBSZam6LHgvgI56m80AQD4PwAAAAAgAAAA/AQA/AACAAAAAAAA8L8CBLTFs+DI9L8CEssCKPX/5z8AAAAAGAAAAPwEAPwAAgAAAAAAAPC/AgPGDnHayPS/AtaS+9cKAOi/AAAAABgMAAD8BAD8AAIAAAAAAADwvwIgioqm6LHQPgLyAHE0AQD4vwAAAAAYAAAA/AQA/AACAAAAAAAA8L8CjbAsDto4ab8C+9fs3rQBCMAAAAAAGAAAAPwIAPwAAgAAAAAAAPC/AhxPF17C3PS/AqzuBPnD/g3AAAAAABgAAAD8CAD8AAIAAAAAAADwvwJxcjSnXPL0vwLSImALaP8UwAAAAAAYAAAA/AgA/AACAAAAAAAA8L8Cw569sOfiBMACUrvYpM36F8AAAAAAGAAAAPwIAPwAAgAAAAAAAPC/AlB1w7cCQg/AAn8Ux+Q19hTAAAAAABgAAAD8CAD8AAIAAAAAAADwvwJQgztsZTcPwAIm7VR7cOwNwAAAAAAYAAAA/AgA/AACAAAAAAAA8L8CquacGK3NBMAC+jDOeKP1B8AAAAAAOAAEBAAEAAAAAAQIBAAEAAAAAAgMBAAEAAAAAAwQBAAEAAAAABAUBAAEAAAAABQABAAEAAAAABQYBBQAAAAAABgcBAAAAAAAABwgCAAEBAAAACAkBAAEBAAAACQoCAAEBAAAACgsBAAEBAAAACwwCAAEBAAAADAcBAAEBAAAAAAAAAA=</t>
        </r>
      </text>
    </comment>
    <comment ref="D211" authorId="0">
      <text>
        <r>
          <rPr>
            <sz val="9"/>
            <color indexed="81"/>
            <rFont val="Tahoma"/>
            <family val="2"/>
          </rPr>
          <t>Insight iXlW00004C0000211R0841462918S00000210P01024LAocjBAQBF1NjaVRlZ2ljLmRhdGEuTW9sZWN1bGUBbQF/ARJTY2lUZWdpYy5Nb2xlY3VsZQAAAQFkAv5qAQAAAAIAAjgcAAAA/AQA/AACAAAAAAAA8L8C7lqJnd7I9D8Ce8erYvz/578AAAAAGAAAAPwEAPwAAgAAAAAAAPC/AiqK0FrYyPQ/AtNhohISAOg/AAAAABgAAAD8BAD8AAIAAAAAAADwvwKBSZam6LHgvgI56m80AQD4PwAAAAAYAAAA/AQA/AACAAAAAAAA8L8CIIqKpuix0D4C8gBxNAEA+L8AAAAAGAAAAPwEAPwAAgAAAAAAAPC/AgPGDnHayPS/AtaS+9cKAOi/AAAAABgAAAD8BAD8AAIAAAAAAADwvwIEtMWz4Mj0vwISywIo9f/nPwAAAAAgAAAA/AQA/AACAAAAAAAA8L8CLQw+zzDHBMACoO6k85sM+D8AAAAAGAAAAPwEAPwAAgAAAAAAAPC/AmktgrvTwgTAAlYMUG39BwhAAAAAABgAAAD8CAD8AAIAAAAAAADwvwKMzvOljiUPwALEWRVXTA4OQAAAAAAYAAAA/AgA/AACAAAAAAAA8L8CIRBOfa8lD8AClBUqoy4HFUAAAAAAGAAAAPwIAPwAAgAAAAAAAPC/ApNGSGcLxRTAAuistYA0BxhAAAAAABgAAAD8CAD8AAIAAAAAAADwvwJoQUYCRvcZwAJQnWGrOgcVQAAAAAAYAAAA/AgA/AACAAAAAAAA8L8ChJUyek33GcACe4bMVnUODkAAAAAAHAAAAPwIAPwAAgAAAAAAAPC/AsCuIVcaxRTAAuWqDM1nDghAAAAAADwABAQABAAAAAAECAQABAAAAAAADAQABAAAAAAMEAQABAAAAAAQFAQABAAAAAAUCAQABAAAAAAUGAQAAAAAAAAYHAQAAAAAAAAcIAQAAAAAAAAgJAgABAQAAAAkKAQABAQAAAAoLAgABAQAAAAsMAQABAQAAAAwNAgABAQAAAA0IAQABAQAAAAAAAAA</t>
        </r>
      </text>
    </comment>
    <comment ref="D212" authorId="0">
      <text>
        <r>
          <rPr>
            <sz val="9"/>
            <color indexed="81"/>
            <rFont val="Tahoma"/>
            <family val="2"/>
          </rPr>
          <t>Insight iXlW00004C0000212R0841462918S00000211P01024LAocjBAQBF1NjaVRlZ2ljLmRhdGEuTW9sZWN1bGUBbQF/ARJTY2lUZWdpYy5Nb2xlY3VsZQAAAQFkAv5qAQAAAAIAAjgcAAAA/AQA/AACAAAAAAAA8L8C7lqJnd7I9D8Ce8erYvz/578AAAAAGAAAAPwEAPwAAgAAAAAAAPC/AiqK0FrYyPQ/AtNhohISAOg/AAAAABgAAAD8BAD8AAIAAAAAAADwvwKBSZam6LHgvgI56m80AQD4PwAAAAAYAAAA/AQA/AACAAAAAAAA8L8CBLTFs+DI9L8CEssCKPX/5z8AAAAAGAAAAPwEAPwAAgAAAAAAAPC/AgPGDnHayPS/AtaS+9cKAOi/AAAAABgAAAD8BAD8AAIAAAAAAADwvwIgioqm6LHQPgLyAHE0AQD4vwAAAAAYAAAA/AQA/AACAAAAAAAA8L8Cc4KWPUBaaT8COPO53LQBCMAAAAAAGAAAAPwEAPwAAgAAAAAAAPC/Ah76mzvX3PQ/Am9SOVjA/g3AAAAAABgAAAD8CAD8AAIAAAAAAADwvwLNb7Wngun0PwIsxXF1NwAVwAAAAAAYAAAA/AgA/AACAAAAAAAA8L8C6MEecjDZBEACnIXcgEcAGMAAAAAAGAAAAPwIAPwAAgAAAAAAAPC/AhJecY5D2QRAAsrp1IBHAB7AAAAAABgAAAD8CAD8AAIAAAAAAADwvwK/wSO9vun0PwJnny4KKIAgwAAAAAAYAAAA/AgA/AACAAAAAAAA8L8CAIdNQgdngD8Cvl0K9VgAHsAAAAAAHAAAAPwIAPwAAgAAAAAAAPC/AoBdt7LUUYA/AjG6E/VYABjAAAAAADwABAQABAAAAAAECAQABAAAAAAIDAQABAAAAAAMEAQABAAAAAAQFAQABAAAAAAUAAQABAAAAAAUGAQAAAAAAAAYHAQAAAAAAAAcIAQAAAAAAAAgJAgABAQAAAAkKAQABAQAAAAoLAgABAQAAAAsMAQABAQAAAAwNAgABAQAAAA0IAQABAQAAAAAAAAA</t>
        </r>
      </text>
    </comment>
    <comment ref="D213" authorId="0">
      <text>
        <r>
          <rPr>
            <sz val="9"/>
            <color indexed="81"/>
            <rFont val="Tahoma"/>
            <family val="2"/>
          </rPr>
          <t>Insight iXlW00004C0000213R0841462918S00000212P00908LAocjBAQBF1NjaVRlZ2ljLmRhdGEuTW9sZWN1bGUBbQF/ARJTY2lUZWdpYy5Nb2xlY3VsZQAAAQFkAv5qAQAAAAIAAjAYAAAA/AQA/AACAAAAAAAA8L8CTb2hvgUA6D8CVtZc6D2E8L8AAAAAGAAAAPwEAPwAAgAAAAAAAPC/ArRfkACYavM/AudRGLRQPNk/AAAAABgAAAD8BAD8AAIAAAAAAADwvwLiiF1B+v/nvwJWytYUQoTwvwAAAAAYAAAA/AQA/AACAAAAAAAA8L8C/ILoeGTW2T4Cx0FYl9WYAsAAAAAAGAAAAPwIAPwAAgAAAAAAAPC/AgDxCBhEQeU+Aj3FU4pemg7AAAAAABgAAAD8CAD8AAIAAAAAAADwvwI1PfJw0uztvwJirGGYieMTwAAAAAAYAAAA/AgA/AACAAAAAAAA8L8CFfB/arnU2b8CPkb/bNx/GcAAAAAAGAAAAPwIAPwAAgAAAAAAAPC/Al9B7/cAO/E/AiquFNqjdhrAAAAAABgAAAD8CAD8AAIAAAAAAADwvwKnMMLm+zQAQAJVlFOLGNEVwAAAAAAYAAAA/AgA/AACAAAAAAAA8L8ChAHP1sDo9z8Cd5MNWMU0EMAAAAAAGAAAAPwEAPwAAgAAAAAAAPC/ArXvB2ScavO/ArzdcK0aPNk/AAAAABwAAAD8BAD8AAIAAAAAAADwvwK2zFsqNWfcvgKiOaYCZ2r0PwAAAAA4AAQEAAQAAAAAAAgEAAQAAAAACAwEAAQAAAAADAAEAAQAAAAADBAEAAAAAAAAEBQIAAQEAAAAFBgEAAQEAAAAGBwIAAQEAAAAHCAEAAQEAAAAICQIAAQEAAAAJBAEAAQEAAAACCgEAAQAAAAAKCwEAAQAAAAALAQEAAQAAAAAAAAAAA==</t>
        </r>
      </text>
    </comment>
    <comment ref="D214" authorId="0">
      <text>
        <r>
          <rPr>
            <sz val="9"/>
            <color indexed="81"/>
            <rFont val="Tahoma"/>
            <family val="2"/>
          </rPr>
          <t>Insight iXlW00004C0000214R0841462918S00000213P00724LAocjBAQBF1NjaVRlZ2ljLmRhdGEuTW9sZWN1bGUBbQF/ARJTY2lUZWdpYy5Nb2xlY3VsZQAAAQFkAv5qAQAAAAIAAiQgAAAA/AQA/AACAAAAAAAA8L8ChXzQs1l1I0ACPSzUmuadF8AAAAAAHAAAAPwEAPwAAgAAAAAAAPC/ArivA+eMCCBAAjQzMzMz8xzAAAAAACAAAAD8BAD8AAIAAAAAAADwvwK4rwPnjIghQAIfFmpN8w4gwAAAAAAYAAAA/AQA/AACAAAAAAAA8L8CZ2ZmZmZGIkACXW3F/rJ7GcAAAAAAGAAAAPwEAPwAAgAAAAAAAPC/Ah8Wak3zLiNAAs3MzMzMDBvAAAAAABgAAAD8BAD8AAIAAAAAAADwvwJ8gy9MpkogQAJdbcX+snsZwAAAAAAYAAAA/AQA/AACAAAAAAAA8L8C6+I2GsAbIUACPSzUmuYdG8AAAAAAGAAAAPwEAPwAAgAAAAAAAPC/ArivA+eMaCJAAj0s1JrmnR3AAAAAABgAAAD8BAD8AAIAAAAAAADwvwK4rwPnjEgjQAKamZmZmVkfwAAAAAAoBBgEAAQAAAAACCAEAAQAAAAADAAEAAQAAAAAEAAEAAQAAAAAFAwEAAQAAAAAGBAEAAQAAAAAHAwEAAQAAAAAIBAEAAQAAAAAHAgEAAQAAAAAFAQEAAQAAAAAAAABAAAAAAAAAAAAAAAAAAAAAAAAAAAA</t>
        </r>
      </text>
    </comment>
    <comment ref="D215" authorId="0">
      <text>
        <r>
          <rPr>
            <sz val="9"/>
            <color indexed="81"/>
            <rFont val="Tahoma"/>
            <family val="2"/>
          </rPr>
          <t>Insight iXlW00004C0000215R0841462918S00000214P00960LAocjBAQBF1NjaVRlZ2ljLmRhdGEuTW9sZWN1bGUBbQF/ARJTY2lUZWdpYy5Nb2xlY3VsZQAAAQFkAv5qAQAAAAIAAjQBEAAAAPwEAPwAAgAAAAAAAPC/AuxG356b+hRAAjDbDRdsFgnAAAAAABgAAAD8CAD8AAIAAAAAAADwvwL8e8F9Y/4YQAKykPZNsQARwAAAAAAYAAAA/AgA/AACAAAAAAAA8L8CFtr2rGD+FUACrOlfueYyFsAAAAAAGAAAAPwIAPwAAgAAAAAAAPC/AhojVfrxHxBAAjBis7+J8xTAAAAAABgAAAD8CAD8AAIAAAAAAADwvwL0yNp9iSUPQAIUKZKkUQ4OwAAAAAAYAAAA/AQA/AACAAAAAAAA8L8CVVDTmc/CBEAC9Cxv9gAICMAAAAAAGAAAAPwEAPwAAgAAAAAAAPC/AtQSh7guxwRAAnGpXwejDPi/AAAAABgAAAD8BAD8AAIAAAAAAADwvwLuWomd3sj0PwJ7x6ti/P/nvwAAAAAYAAAA/AQA/AACAAAAAAAA8L8CKorQWtjI9D8C02GiEhIA6D8AAAAAGAAAAPwEAPwAAgAAAAAAAPC/AoFJlqboseC+AjnqbzQBAPg/AAAAABgAAAD8BAD8AAIAAAAAAADwvwIEtMWz4Mj0vwISywIo9f/nPwAAAAAYAAAA/AQA/AACAAAAAAAA8L8CA8YOcdrI9L8C1pL71woA6L8AAAAAHAAAAPwEAPwAAgAAAAAAAPC/AiCKiqbosdA+AvIAcTQBAPi/AAAAADgABAQABAQAAAAECAgABAQAAAAIDAQABAQAAAAMEAgABAQAAAAQAAQABAQAAAAQFAQAAAAAAAAUGAQAAAAAAAAYHAQAAAAAAAAcIAQABAAAAAAgJAQABAAAAAAkKAQABAAAAAAoLAQABAAAAAAsMAQABAAAAAAwHAQABAAAAAAAAAAA</t>
        </r>
      </text>
    </comment>
    <comment ref="D216" authorId="0">
      <text>
        <r>
          <rPr>
            <sz val="9"/>
            <color indexed="81"/>
            <rFont val="Tahoma"/>
            <family val="2"/>
          </rPr>
          <t>Insight iXlW00004C0000216R0841462918S00000215P00960LAocjBAQBF1NjaVRlZ2ljLmRhdGEuTW9sZWN1bGUBbQF/ARJTY2lUZWdpYy5Nb2xlY3VsZQAAAQFkAv5qAQAAAAIBAjQcAAAA/AQA/AACAAAAAAAA8L8C7lqJnd7I9D8Ce8erYvz/578AAAAAGAAAAPwEAPwAAgAAAAAAAPC/AlINlVrItAJAAsKpS2uUmfW/AAAAABgAAAD8BAD8AAIAAAAAAADwvwIqitBa2Mj0PwLTYaISEgDoPwAAAAAYAAAA/AQA/AACAAAAAAAA8L8CgUmWpuix4L4COepvNAEA+D8AAAAAHAAAAPwEAPwAAgAAAAAAAPC/AgS0xbPgyPS/AhLLAij1/+c/AAAAABgIAAD8BAD8AAIAAAAAAADwvwIDxg5x2sj0vwLWkvvXCgDovwAAAAAYAAAA/AgA/AACAAAAAAAA8L8C1pshOS7KBMACdChcMZMB+L8AAAAAGAAAAPwIAPwAAgAAAAAAAPC/AhjbO4o/zwTAAnr06RTqAAjAAAAAABgAAAD8CAD8AAIAAAAAAADwvwLYMpUhHDYPwAL9GPbmsfwNwAAAAAAYAAAA/AgA/AACAAAAAAAA8L8ClpnNLQ3MFMACLAIRUHv4B8AAAAAAGAAAAPwIAPwAAgAAAAAAAPC/AmTYk4SeyRTAAu+v9Zj48Pe/AAAAABgAAAD8CAD8AAIAAAAAAADwvwLeJDF8YSwPwAInXWKtyvLnvwAAAAAYAAAA/AQA/AACAAAAAAAA8L8CIIqKpuix0D4C8gBxNAEA+L8AAAAAOAAEBAAAAAAAAAAIBAAEAAAAAAgMBAAEAAAAAAwQBAAEAAAAABAUBAAEAAAAABQYBBQAAAAAABgcCAAEBAAAABwgBAAEBAAAACAkCAAEBAAAACQoBAAEBAAAACgsCAAEBAAAACwYBAAEBAAAAAAwBAAEAAAAADAUBAAEAAAAAAAAAAA=</t>
        </r>
      </text>
    </comment>
    <comment ref="D217" authorId="0">
      <text>
        <r>
          <rPr>
            <sz val="9"/>
            <color indexed="81"/>
            <rFont val="Tahoma"/>
            <family val="2"/>
          </rPr>
          <t>Insight iXlW00004C0000217R0841462918S00000216P00764LAocjBAQBF1NjaVRlZ2ljLmRhdGEuTW9sZWN1bGUBbQF/ARJTY2lUZWdpYy5Nb2xlY3VsZQAAAQFkAv5qAQAAAAIAAiggAAAA/AQA/AACAAAAAAAA8L8C7lqJnd7I9D8Ce8erYvz/578AAAAAGAAAAPwEAPwAAgAAAAAAAPC/AiqK0FrYyPQ/AtNhohISAOg/AAAAABgAAAD8BAD8AAIAAAAAAADwvwKcDNNt2sgEQAJ4GbbcFgD4PwAAAAAYAAAA/AQA/AACAAAAAAAA8L8CpDRPINPIBEAC3tNYbgsACEAAAAAAHAAAAPwEAPwAAgAAAAAAAPC/AqzR73bDyPQ/Ak1ohLUFAA5AAAAAABgAAAD8BAD8AAIAAAAAAADwvwKBSZam6LHgvgI56m80AQD4PwAAAAAYAAAA/AQA/AACAAAAAAAA8L8CBLTFs+DI9L8CEssCKPX/5z8AAAAAGAAAAPwEAPwAAgAAAAAAAPC/AgAA37D0zfK+AtZF6pYAAAhAAAAAABgAAAD8BAD8AAIAAAAAAADwvwIgioqm6LHQPgLyAHE0AQD4vwAAAAAYAAAA/AQA/AACAAAAAAAA8L8CA8YOcdrI9L8C1pL71woA6L8AAAAALAAEBAAEAAAAAAQIBAAEAAAAAAgMBAAEAAAAAAwQBAAEAAAAAAQUBAAEAAAAABQYBAAEAAAAABQcBAAEAAAAABwQBAAEAAAAAAAgBAAEAAAAACAkBAAEAAAAACQYBAAEAAAAAAAAAAA=</t>
        </r>
      </text>
    </comment>
    <comment ref="D218" authorId="0">
      <text>
        <r>
          <rPr>
            <sz val="9"/>
            <color indexed="81"/>
            <rFont val="Tahoma"/>
            <family val="2"/>
          </rPr>
          <t>Insight iXlW00004C0000218R0841462918S00000217P00884LAocjBAQBF1NjaVRlZ2ljLmRhdGEuTW9sZWN1bGUBbQF/ARJTY2lUZWdpYy5Nb2xlY3VsZQAAAQFkAv5qAQAAAAIAAjAYAAAA/AQA/AACAAAAAAAA8L8CysjafYklD0ACOimSpFEODsAAAAAAJAAAAPwEAPwAAgAAAAAAAPC/ArLs/q8KIg9AAhr5ok310xPAAAAAACQAAAD8BAD8AAIAAAAAAADwvwLcSDjzAbwTQAICRkgHOUUJwAAAAAAkAAAA/AQA/AACAAAAAAAA8L8Ca9wIzfe5E0ACwL7grj1vEcAAAAAAGAAAAPwEAPwAAgAAAAAAAPC/AjRQ05nPwgRAAgctb/YACAjAAAAAACAAAAD8BAD8AAIAAAAAAADwvwLJEoe4LscEQAKYqV8Howz4vwAAAAAYAAAA/AQA/AACAAAAAAAA8L8C7lqJnd7I9D8Ce8erYvz/578AAAAAGAAAAPwEAPwAAgAAAAAAAPC/AiqK0FrYyPQ/AtNhohISAOg/AAAAABgAAAD8BAD8AAIAAAAAAADwvwKBSZam6LHgvgI56m80AQD4PwAAAAAYAAAA/AQA/AACAAAAAAAA8L8CBLTFs+DI9L8CEssCKPX/5z8AAAAAHAAAAPwEAPwAAgAAAAAAAPC/AgPGDnHayPS/AtaS+9cKAOi/AAAAABgAAAD8BAD8AAIAAAAAAADwvwIgioqm6LHQPgLyAHE0AQD4vwAAAAAwAAQEAAAAAAAAAAgEAAAAAAAAAAwEAAAAAAAAABAEAAAAAAAAEBQEAAAAAAAAFBgEAAAAAAAAGBwEAAQAAAAAHCAEAAQAAAAAICQEAAQAAAAAJCgEAAQAAAAAGCwEAAQAAAAALCgEAAQAAAAAAAAAAA==</t>
        </r>
      </text>
    </comment>
    <comment ref="D219" authorId="0">
      <text>
        <r>
          <rPr>
            <sz val="9"/>
            <color indexed="81"/>
            <rFont val="Tahoma"/>
            <family val="2"/>
          </rPr>
          <t>Insight iXlW00004C0000219R0841462918S00000218P01644LAocjBAQBF1NjaVRlZ2ljLmRhdGEuTW9sZWN1bGUBbQF/ARJTY2lUZWdpYy5Nb2xlY3VsZQAAAQFkAv5qAQAAAAIAAgEXHAAAAPwEAPwAAgAAAAAAAPC/AoX56Dgbk/O/Ar7KZfa0gRrAAAAAABgAAAD8BAD8AAIAAAAAAADwvwKREBAksSrovwL5391sfBogwAAAAAAYAAAA/AQA/AACAAAAAAAA8L8C0QCgdRrR5j8CVnx5VrK3IMAAAAAAGAAAAPwEAPwAAgAAAAAAAPC/Ar7iKAexaPs/Ak/yUseO9hzAAAAAABgAAAD8BAD8AAIAAAAAAADwvwIKCO+h8OrzPwKvX4mbTEMXwAAAAAAYAAAA/AQA/AACAAAAAAAA8L8CVigMWk2ZzL8C+i1n1coIFsAAAAAAGAAAAPwEAPwAAgAAAAAAAPC/An61VrEjDOa/AgF7twDCUxDAAAAAABgAAAD8CAD8AAIAAAAAAADwvwLpIi9ly+7TPwIv3KCNXrsHwAAAAAAYAAAA/AgA/AACAAAAAAAA8L8CAEsOsxDa/D8C0++CPHn8CMAAAAAAHAAAAPwIAPwAAgAAAAAAAPC/AjhyW/KDTgNAAmfWwu8cDPy/AAAAABgAAAD8CAD8AAIAAAAAAADwvwLuWomd3sj0PwJ7x6ti/P/nvwAAAAAYAAAA/AgA/AACAAAAAAAA8L8CKorQWtjI9D8C02GiEhIA6D8AAAAAGAAAAPwIAPwAAgAAAAAAAPC/AoFJlqboseC+AjnqbzQBAPg/AAAAABgAAAD8CAD8AAIAAAAAAADwvwIEtMWz4Mj0vwISywIo9f/nPwAAAAAYAAAA/AgA/AACAAAAAAAA8L8CA8YOcdrI9L8C1pL71woA6L8AAAAAGAAAAPwIAPwAAgAAAAAAAPC/AiCKiqbosdA+AvIAcTQBAPi/AAAAABgAAAD8CAD8AAIAAAAAAADwvwIg4bBLFQkPQAISIfIvdRv3vwAAAAAgAAAA/AgA/AACAAAAAAAA8L8CSw9z/hMCEUAC7Ip0ZMRs078AAAAAIAAAAPwEAPwAAgAAAAAAAPC/AgBKuxZ6hxNAAoVLrdN3fATAAAAAABgAAAD8BAD8AAIAAAAAAADwvwLbaV82VWcZQAKKZxyBCgMCwAAAAAAYAAAA/AQA/AACAAAAAAAA8L8CFKp9CG6cHEACEnvGbW0nCcAAAAAAGAAAAPwEAPwAAgAAAAAAAPC/ApZuRtqiGR5AAryELBJvBwDAAAAAABgAAAD8BAD8AAIAAAAAAADwvwKUCPqO3uQaQAK80GPr0MXxvwAAAAABGQAEBAAEAAAAAAQIBAAEAAAAAAgMBAAEAAAAAAwQBAAEAAAAAAAUBAAEAAAAABQQBAAEAAAAABQYBAAAAAAAABgcBAAAAAAAABwgCAAEBAAAACAkBAAEBAAAACQoBAAEBAAAACgsCAAEBAAAACwwBAAEBAAAADA0CAAEBAAAADQ4BAAEBAAAACg8BAAEBAAAADwcBAAEBAAAADw4CAAEBAAAACQBEAQAAAAAAAABEAERCAAAAAAAAAEQARIEAAAAAAAAARIBEwQAAAAAAAABEwEUBAAAAAAAAAETARUEAAAAAAAAARMBFgQAAAAAAAAAAAAA</t>
        </r>
      </text>
    </comment>
    <comment ref="D220" authorId="0">
      <text>
        <r>
          <rPr>
            <sz val="9"/>
            <color indexed="81"/>
            <rFont val="Tahoma"/>
            <family val="2"/>
          </rPr>
          <t>Insight iXlW00004C0000220R0841462918S00000219P02056LAocjBAQBF1NjaVRlZ2ljLmRhdGEuTW9sZWN1bGUBbQF/ARJTY2lUZWdpYy5Nb2xlY3VsZQAAAQFkAv5qAQAAAAIAAgEdGAAAAPwIAPwAAgAAAAAAAPC/Au5aiZ3eyPQ/AnvHq2L8/+e/AAAAABgAAAD8CAD8AAIAAAAAAADwvwIqitBa2Mj0PwLTYaISEgDoPwAAAAAgAAAA/AQA/AACAAAAAAAA8L8CgUmWpuix4L4COepvNAEA+D8AAAAAGAAAAPwEAPwAAgAAAAAAAPC/AgS0xbPgyPS/AhLLAij1/+c/AAAAABgAAAD8BAD8AAIAAAAAAADwvwIDxg5x2sj0vwLWkvvXCgDovwAAAAAYAAAA/AQA/AACAAAAAAAA8L8CIIqKpuix0D4C8gBxNAEA+L8AAAAAGAAAAPwEAPwAAgAAAAAAAPC/AqAc+4TgVPS/ArSO8E7PMf8/AAAAABgAAAD8BAD8AAIAAAAAAADwvwLVvDe4VJcCwAKYPvKoiBjAPwAAAAAYAAAA/AgA/AACAAAAAAAA8L8C9M9KY9nIBEACvUxsDAwA+D8AAAAAGAAAAPwEAPwAAgAAAAAAAPC/ArdrX7fXyARAAreaz5+fmQVAAAAAABgAAAD8CAD8AAIAAAAAAADwvwLIRw+ySC0PQAJsKvKHIADoPwAAAAAYAAAA/AgA/AACAAAAAAAA8L8Cyr5q00stD0ACfjMMeN//578AAAAAARAAAAD8BAD8AAIAAAAAAADwvwI80nH/mMkUQAJQcvT0mQH4vwAAAAAgAAAA/AgA/AACAAAAAAAA8L8Cm9JroTbJFEAC7PYzjGaaBcAAAAAAIAAAAPwIAPwAAgAAAAAAAPC/Aq4iZeF68RhAAkeZl4OazgDAAAAAABwAAAD8CAD8AAIAAAAAAADwvwLUKQ4KB/0ZQAILwR6AiAbovwAAAAAYAAAA/AgA/AACAAAAAAAA8L8C5AEjH/ovH0ACJql6d+4E+L8AAAAAHAAAAPwIAPwAAgAAAAAAAPC/AkECHcGXLx9AAlgSd80QnAXAAAAAABwAAAD8CAD8AAIAAAAAAADwvwK+rN8UtDEiQAK3LiuFMQ3ovwAAAAAYAAAA/AQA/AACAAAAAAAA8L8Cxxhqny3LJEAC/N8A+kII+L8AAAAAGAAAAPwEAPwAAgAAAAAAAPC/ApNEuKTkZCdAAmOcN4raE+i/AAAAABgAAAD8BAD8AAIAAAAAAADwvwKwTiPAk/4pQAIJxuWjMAL4vwAAAAAcAAAA/AQA/AACAAAAAAAA8L8C0GYdziSXLEAC3L1KK2r1578AAAAAGAAAAPwEAPwAAgAAAAAAAPC/AjrIS2EQlixAAq73wriSCug/AAAAABgAAAD8BAD8AAIAAAAAAADwvwJpUGTmavwpQALLVAqpzv33PwAAAAAYAAAA/AQA/AACAAAAAAAA8L8CDf94ldljJ0ACEra6bq3s5z8AAAAAGAAAAPwIAPwAAgAAAAAAAPC/AmwOAqbfyARAAnCedFz2//e/AAAAABgAAAD8BAD8AAIAAAAAAADwvwLFm0L84sgEQAJaVNPHlJkFwAAAAAAYAAAA/AQA/AACAAAAAAAA8L8CHlDR08++E0ACdpKWuK2Z9T8AAAAAAR8ABAgABAQAAAAECAQABAAAAAAIDAQABAAAAAAMEAQABAAAAAAQFAQABAAAAAAUAAQABAAAAAAMGAQAAAAAAAAMHAQAAAAAAAAEIAQABAQAAAAgJAQAAAAAAAAgKAgABAQAAAAoLAQABAQAAAAsMAQAAAAAAAAwNAgAAAAAAAAwOAgAAAAAAAAwPAQAAAAAAAA8ARAEAAAAAAAAARABEQgAAAAAAAABEAESBAAAAAAAAAESARMEAAAAAAAAARMBFAQAAAAAAAABFAEVBAAEAAAAAAEVARYEAAQAAAAAARYBFwQABAAAAAABFwEYBAAEAAAAAAEYARkEAAQAAAAAARkBFAQABAAAAAAsARoIAAQEAAAAARoABAAEBAAAAAEaARsEAAAAAAAAKAEcBAAAAAAAAAAAAAA=</t>
        </r>
      </text>
    </comment>
    <comment ref="D221" authorId="0">
      <text>
        <r>
          <rPr>
            <sz val="9"/>
            <color indexed="81"/>
            <rFont val="Tahoma"/>
            <family val="2"/>
          </rPr>
          <t>Insight iXlW00004C0000221R0841462918S00000220P01240LAocjBAQBF1NjaVRlZ2ljLmRhdGEuTW9sZWN1bGUBbQF/ARJTY2lUZWdpYy5Nb2xlY3VsZQAAAQFkAv5qAQAAAAIAAgERGAAAAPwEAPwAAgAAAAAAAPC/ArRCCgUv2QnAAobhCDOBFv+/AAAAABgAAAD8BAD8AAIAAAAAAADwvwIEdr+oREASwAKPl3KRVYMCwAAAAAAYAAAA/AQA/AACAAAAAAAA8L8CtEIKBS/ZCcAC7ZMsQ1cm2T8AAAAAGAAAAPwEAPwAAgAAAAAAAPC/ArkdPzSZjwPAAiflToF/c+i/AAAAABwAAAD8BAD8AAIAAAAAAADwvwLUdZFCy+kOwALI6JTPfdDxvwAAAAAcAAAA/AgA/AACAAAAAAAA8L8CvzIrcalj/r8Cj5dykVWDAsAAAAAAGAAAAPwIAPwAAgAAAAAAAPC/AjTJwEdMJvW/AqVXvXT9kw3AAAAAACAAAAD8CAD8AAIAAAAAAADwvwKxR41HVmYAwAIgscCFvpoSwAAAAAAgAAAA/AQA/AACAAAAAAAA8L8CSAhoA+BRxT8CApTFrn4eD8AAAAAAGAAAAPwEAPwAAgAAAAAAAPC/AhYn1d6X1ec/AtBuobJvGRXAAAAAABgAAAD8CAD8AAIAAAAAAADwvwLiLswbqt0BQAL+jKVPsN4VwAAAAAAYAAAA/AgA/AACAAAAAAAA8L8Ccfq7U3aBBkACxmPvPUNnG8AAAAAAGAAAAPwIAPwAAgAAAAAAAPC/Av3WL+FsNBFAAqwP0cdNKRzAAAAAABgAAAD8CAD8AAIAAAAAAADwvwK+1EZtUdYUQAJdAu1wxGIXwAAAAAAYAAAA/AgA/AACAAAAAAAA8L8C+4Fpn4SEEkACHsVnFTDaEcAAAAAAGAAAAPwIAPwAAgAAAAAAAPC/AnHcrBOmIQlAAlJ5i4IkGBHAAAAAABgAAAD8BAD8AAIAAAAAAADwvwK5HT80mY/zvwLI6JTPfdDxvwAAAAABEwAEBAAEAAAAAAAIBAAEAAAAAAgMBAAEAAAAAAwQBAAEAAAAABAEBAAEAAAAAAAUBAAEAAAAABQYBAAAAAAAABgcCAAAAAAAABggBAAAAAAAACAkBAAAAAAAACQoBAAAAAAAACgsCAAEBAAAACwwBAAEBAAAADA0CAAEBAAAADQ4BAAEBAAAADg8CAAEBAAAADwoBAAEBAAAABQBEAQABAAAAAABEAwEAAQAAAAAAAAAAA==</t>
        </r>
      </text>
    </comment>
    <comment ref="D222" authorId="0">
      <text>
        <r>
          <rPr>
            <sz val="9"/>
            <color indexed="81"/>
            <rFont val="Tahoma"/>
            <family val="2"/>
          </rPr>
          <t>Insight iXlW00004C0000222R0841462918S00000221P01132LAocjBAQBF1NjaVRlZ2ljLmRhdGEuTW9sZWN1bGUBbQF/ARJTY2lUZWdpYy5Nb2xlY3VsZQAAAQFkAv5qAQAAAAIAAjwYAAAA/AQA/AACAAAAAAAA8L8CWRe30QDeAkACFGHD0ytl878AAAAAGAAAAPwEAPwAAgAAAAAAAPC/AqcKRiV1Avo/AtKRXP5D+uu/AAAAABwAAAD8BAD8AAIAAAAAAADwvwICvAUSFL8BQAISNjy9UpbZvwAAAAAcAAAA/AQA/AACAAAAAAAA8L8ClkOLbOf75T8CLpCg+DHm8L8AAAAAGAAAAPwEAPwAAgAAAAAAAPC/Ag5Pr5RliP0/AtJvXwfOGZG/AAAAABgAAAD8BAD8AAIAAAAAAADwvwLSkVz+Q/r3PwIJG55eKctwvwAAAAAYAAAA/AQA/AACAAAAAAAA8L8CtTf4wmSq5j8CwcqhRbbzzb8AAAAAGAAAAPwEAPwAAgAAAAAAAPC/AlvTvOMUHfs/AqOSOgFNhOk/AAAAABgAAAD8BAD8AAIAAAAAAADwvwKamZmZmRkIQALHuriNBvDGvwAAAAAYAAAA/AgA/AACAAAAAAAA8L8CzczMzMzMDUAC5WGh1jTv4r8AAAAAGAAAAPwIAPwAAgAAAAAAAPC/AmkAb4EExQ1AAg8tsp3vp/a/AAAAABgAAAD8CAD8AAIAAAAAAADwvwLswDkjSrsRQAKoxks3iUH9vwAAAAAYAAAA/AgA/AACAAAAAAAA8L8Cu7iNBvCWFEACH/RsVn2u9r8AAAAAGAAAAPwIAPwAAgAAAAAAAPC/AtsbfGEylRRAAuJ6FK5H4eK/AAAAABgAAAD8CAD8AAIAAAAAAADwvwKWQ4ts57sRQAKASL99HTjHvwAAAAABERAcBAAEAAAAABQYBAAEAAAAABQcBAAEAAAAAAggBAAAAAAAAAAEBAAEAAAAACAkBAAAAAAAAAAIBAAEAAAAACQoCAwEBAAAAAQMBAAEAAAAACgsBAAEBAAAAAQQBAAEAAAAACwwCAgEBAAAAAgUBAAEAAAAADA0BAAEBAAAAAwYBAAEAAAAADQ4CAgEBAAAADgkBAAEBAAAAAAAAQAAAAAAAAAAAAAAAAAAAAAAAAAAAA==</t>
        </r>
      </text>
    </comment>
    <comment ref="D223" authorId="0">
      <text>
        <r>
          <rPr>
            <sz val="9"/>
            <color indexed="81"/>
            <rFont val="Tahoma"/>
            <family val="2"/>
          </rPr>
          <t>Insight iXlW00004C0000223R0841462918S00000222P01172LAocjBAQBF1NjaVRlZ2ljLmRhdGEuTW9sZWN1bGUBbQF/ARJTY2lUZWdpYy5Nb2xlY3VsZQAAAQFkAv5qAQAAAAIAAgEQGAAAAPwIAPwAAgAAAAAAAPC/AukiL2XL7tM/Ai/coI1euwfAAAAAABwAAAD8BAD8AAIAAAAAAADwvwKitVaxIwzmvwL+ercAwlMQwAAAAAAYAAAA/AgA/AACAAAAAAAA8L8CnikMWk2ZzL8C+C1n1coIFsAAAAAAGAAAAPwIAPwAAgAAAAAAAPC/AsB6g0sdk/O/AjgeDbS2gRrAAAAAABgAAAD8CAD8AAIAAAAAAADwvwJMixZQsyrovwLmfdJNfBogwAAAAAAYAAAA/AgA/AACAAAAAAAA8L8CSyPx+RfR5j8CkoM8T7K3IMAAAAAAGAAAAPwIAPwAAgAAAAAAAPC/AtylVlqwaPs/ApL2RtmO9hzAAAAAABgAAAD8CAD8AAIAAAAAAADwvwL5PPat8OrzPwJdik6eTEMXwAAAAAAcAAAA/AgA/AACAAAAAAAA8L8CAEsOsxDa/D8C0++CPHn8CMAAAAAAARAAAAD8BAD8AAIAAAAAAADwvwI4clvyg04DQAJn1sLvHAz8vwAAAAAYAAAA/AgA/AACAAAAAAAA8L8C7lqJnd7I9D8Ce8erYvz/578AAAAAGAAAAPwEAPwAAgAAAAAAAPC/AiqK0FrYyPQ/AtNhohISAOg/AAAAABwAAAD8BAD8AAIAAAAAAADwvwKBSZam6LHgvgI56m80AQD4PwAAAAAYAAAA/AgA/AACAAAAAAAA8L8CIIqKpuix0D4C8gBxNAEA+L8AAAAAGAAAAPwEAPwAAgAAAAAAAPC/AgPGDnHayPS/AtaS+9cKAOi/AAAAABgAAAD8BAD8AAIAAAAAAADwvwIEtMWz4Mj0vwISywIo9f/nPwAAAAABEgAEBAAAAAAAAAQIBAAAAAAAAAgMCAAEBAAAAAwQBAAEBAAAABAUCAAEBAAAABQYBAAEBAAAABgcCAAEBAAAABwIBAAEBAAAAAAgCAAEBAAAACAkBAAEBAAAACQoBAAEBAAAACgsBAAEAAAAACwwBAAEAAAAACg0CAAEBAAAADQABAAEBAAAADQ4BAAEAAAAADg8BAAEAAAAADwwBAAEAAAAAAAAAAA=</t>
        </r>
      </text>
    </comment>
    <comment ref="D224" authorId="0">
      <text>
        <r>
          <rPr>
            <sz val="9"/>
            <color indexed="81"/>
            <rFont val="Tahoma"/>
            <family val="2"/>
          </rPr>
          <t>Insight iXlW00004C0000224R0841462918S00000223P01512LAocjBAQBF1NjaVRlZ2ljLmRhdGEuTW9sZWN1bGUBbQF/ARJTY2lUZWdpYy5Nb2xlY3VsZQAAAQFkAv5qAQAAAAIAAgEVJAAAAPwEAPwAAgAAAAAAAPC/AlINlVrItAJAAsKpS2uUmfW/AAAAABgAAAD8CAD8AAIAAAAAAADwvwLuWomd3sj0PwJ7x6ti/P/nvwAAAAAYAAAA/AgA/AACAAAAAAAA8L8CKorQWtjI9D8C02GiEhIA6D8AAAAAGAAAAPwIAPwAAgAAAAAAAPC/AoFJlqboseC+AjnqbzQBAPg/AAAAABgAAAD8CAD8AAIAAAAAAADwvwIEtMWz4Mj0vwISywIo9f/nPwAAAAAcAAAA/AgA/AACAAAAAAAA8L8CpuI+fDTKBMACVtYAgH0B+D8AAAAAARAAAAD8BAD8AAIAAAAAAADwvwLyASEQTM8EwAJG1JU53wAIQAAAAAAgAAAA/AgA/AACAAAAAAAA8L8CJDSBjPU0+b8CxmBDGZUFA0AAAAAAIAAAAPwIAPwAAgAAAAAAAPC/AkVEJAIEDQXAAtmsETPZzBBAAAAAABwAAAD8CAD8AAIAAAAAAADwvwIE2qDGKzYPwAJZjl6eofwNQAAAAAAYAAAA/AQA/AACAAAAAAAA8L8CYV8jBxE7D8ACkcTryBT/FEAAAAAAGAAAAPwEAPwAAgAAAAAAAPC/Asggg9qF2wTAAnRJrYVtAxhAAAAAABgAAAD8BAD8AAIAAAAAAADwvwIUFen4S+UEwALc0y+IawMeQAAAAAAcAAAA/AQA/AACAAAAAAAA8L8Cu0Q6VJlOD8ACr3zZsZd/IEAAAAAAGAAAAPwEAPwAAgAAAAAAAPC/AuOZYM4Q1xTAAtQLY4n1+h1AAAAAABgAAAD8BAD8AAIAAAAAAADwvwI2xEvKLtIUwAKtBweG9/oXQAAAAAAYAAAA/AQA/AACAAAAAAAA8L8C16CLbhPMFMACEO/BnGX4B0AAAAAAGAAAAPwEAPwAAgAAAAAAAPC/AtCq9qOhyRTAAi83bjfN8Pc/AAAAABgAAAD8BAD8AAIAAAAAAADwvwLOV8+bZCwPwAJ/6V6fifLnPwAAAAAYAAAA/AgA/AACAAAAAAAA8L8CA8YOcdrI9L8C1pL71woA6L8AAAAAGAAAAPwIAPwAAgAAAAAAAPC/AiCKiqbosdA+AvIAcTQBAPi/AAAAAAEXAAQEAAAAAAAABAgIAAQEAAAACAwEAAQEAAAADBAIAAQEAAAAEBQEAAAAAAAAFBgEAAQAAAAAGBwIAAAAAAAAGCAIAAAAAAAAGCQEAAQAAAAAJCgEAAAAAAAAKCwEAAQAAAAALDAEAAQAAAAAMDQEAAQAAAAANDgEAAQAAAAAODwEAAQAAAAAPCgEAAQAAAAAJAEQBAAEAAAAAAEQAREEAAQAAAAAAREBEgQABAAAAAABEhQEAAQAAAAAEAETBAAEBAAAAAETARQIAAQEAAAAARQEBAAEBAAAAAAAAAA=</t>
        </r>
      </text>
    </comment>
    <comment ref="D225" authorId="0">
      <text>
        <r>
          <rPr>
            <sz val="9"/>
            <color indexed="81"/>
            <rFont val="Tahoma"/>
            <family val="2"/>
          </rPr>
          <t>Insight iXlW00004C0000225R0841462918S00000224P01740LAocjBAQBF1NjaVRlZ2ljLmRhdGEuTW9sZWN1bGUBbQF/ARJTY2lUZWdpYy5Nb2xlY3VsZQAAAQFkAv5qAQAAAAIAAgEYGAAAAPwIAPwAAgAAAAAAAPC/AmMQWDm0SADAAi/dJAaBlbM/AAAAABgAAAD8CAD8AAIAAAAAAADwvwIJG55eKUsAwAK62or9ZffgvwAAAAAYAAAA/AgA/AACAAAAAAAA8L8C8fRKWYY4+L8CVHQkl/+Q6r8AAAAAGAAAAPwIAPwAAgAAAAAAAPC/AjPEsS5uo++/AqkT0ETY8OC/AAAAABwAAAD8CAD8AAIAAAAAAADwvwKyLm6jAbzvvwKdoiO5/Ie0PwAAAAAYAAAA/AgA/AACAAAAAAAA8L8CArwFEhQ/+L8CkDF3LSEf2D8AAAAAIAAAAPwEAPwAAgAAAAAAAPC/Avvt68A5I96/AlR0JJf/kOq/AAAAABgAAAD8CAD8AAIAAAAAAADwvwJsmnecoiOpPwIqqRPQRNjgvwAAAAAYAAAA/AgA/AACAAAAAAAA8L8Cofgx5q4l4j8CQ61p3nGK6r8AAAAAGAAAAPwIAPwAAgAAAAAAAPC/AvmgZ7Pqc/E/ApVliGNd3OC/AAAAABgAAAD8CAD8AAIAAAAAAADwvwI830+Nl27xPwKQMXctIR+0PwAAAAAYAAAA/AgA/AACAAAAAAAA8L8CjErqBDQR4j8CqMZLN4lB2D8AAAAAGAAAAPwIAPwAAgAAAAAAAPC/AgvXo3A9Cqc/AvRsVn2utrI/AAAAABgAAAD8CAD8AAIAAAAAAADwvwI+eVioNc35PwI/xty1hHzqvwAAAAAYAAAA/AgA/AACAAAAAAAA8L8CjErqBDQRAUACCRueXinL4L8AAAAAGAAAAPwEAPwAAgAAAAAAAPC/ArkehetROAVAAtnw9EpZhuq/AAAAABgAAAD8BAD8AAIAAAAAAADwvwJdj8L1KFwJQAJDPujZrPrgvwAAAAAcAAAA/AQA/AACAAAAAAAA8L8ChQ1Pr5RlCUACjGzn+6nxsj8AAAAAGAAAAPwEAPwAAgAAAAAAAPC/An3Qs1n1OQVAAsKGp1fKMtg/AAAAABgAAAD8BAD8AAIAAAAAAADwvwKx4emVsgwBQAL5MeauJeSzPwAAAAAYAAAA/AQA/AACAAAAAAAA8L8C+aBns+pzBMACl/+Qfvs62D8AAAAAJAAAAPwEAPwAAgAAAAAAAPC/AoUNT6+UZQnAAlR0JJf/kOo/AAAAACQAAAD8BAD8AAIAAAAAAADwvwLFjzF3LSEHwAL5MeauJeSzvwAAAAAkAAAA/AQA/AACAAAAAAAA8L8CVVInoIkwAsACMuauJeSD6D8AAAAAARogJAQABAQAAAAkKAgIBAQAAAAoLAQABAQAAAAsMAgIBAQAAAAwHAQABAQAAAAkNAQAAAAAAAA0OAgMAAAAAAA4PAQABAAAAAA4ARMEAAQAAAAAPAEQBAAEAAAAAAEQAREEAAQAAAAAAREBEgQABAAAAAABEgETBAAEAAAAAAAECAgEBAAAAAQIBAAEBAAAAAgMCAgEBAAAAAwQBAAEBAAAABAUCAgEBAAAABQABAAEBAAAAAABFAQAAAAAAAAMGAQAAAAAAAAYHAQAAAAAAAAcIAgIBAQAAAABFAEVBAAAAAAAAAEUARYEAAAAAAAAARQBFwQAAAAAAAAAAAEAAAAAAAAAAAAAAAAAAAAAAAAAAAA=</t>
        </r>
      </text>
    </comment>
    <comment ref="D226" authorId="0">
      <text>
        <r>
          <rPr>
            <sz val="9"/>
            <color indexed="81"/>
            <rFont val="Tahoma"/>
            <family val="2"/>
          </rPr>
          <t>Insight iXlW00004C0000226R0841462918S00000225P01816LAocjBAQBF1NjaVRlZ2ljLmRhdGEuTW9sZWN1bGUBbQF/ARJTY2lUZWdpYy5Nb2xlY3VsZQAAAQFkAv5qAQAAAAIAAgEaGAAAAPwEAPwAAgAAAAAAAPC/Ajczw1wpIQjAAAAAAAAYAAAA/AgA/AACAAAAAAAA8L8CRTVi1okgD8AC+SicsLpN8z8AAAAAHAAAAPwIAPwAAgAAAAAAAPC/Asx2n1dYSxXAApcYjEuepec/AAAAABgAAAD8CAD8AAIAAAAAAADwvwLMdp9XWEsVwAI3M8NcKSHovwAAAAAcAAAA/AQA/AACAAAAAAAA8L8CRTVi1okgD8AC+SicsLpN878AAAAAHAAAAPwIAPwAAgAAAAAAAPC/An4mDKIEIBrAAk8SaUUKQPq/AAAAABgAAAD8CAD8AAIAAAAAAADwvwIUBc0fe58fwAKKAeBGO5vwvwAAAAAgAAAA/AgA/AACAAAAAAAA8L8C3QqcT/QHIMAC4FSY7c1/pr8AAAAAIAAAAPwEAPwAAgAAAAAAAPC/AlilNq8mOyLAAhjPg4tH0f6/AAAAABgAAAD8BAD8AAIAAAAAAADwvwKkFBfu4fokwAJSvvqMeCz1vwAAAAAYAAAA/AQA/AACAAAAAAAA8L8CAGwKiyPqJsAC/odAvadEAMAAAAAAGAAAAPwEAPwAAgAAAAAAAPC/AmFMRuRwLSfAAgrTjmS86Oq/AAAAABgAAAD8BAD8AAIAAAAAAADwvwKhHiTUVj4lwAJA/em54rfAvwAAAAAYAAAA/AgA/AACAAAAAAAA8L8CdUuxmS8nGsACmg0kq9Ps+T8AAAAAGAAAAPwIAPwAAgAAAAAAAPC/AvkiXe9Pbh/AAhVRs0Aw5+w/AAAAABgAAAD8CAD8AAIAAAAAAADwvwJOwXPo4EQiwAI09H6hNQz7PwAAAAAYAAAA/AgA/AACAAAAAAAA8L8CXTOUZKouIsACYOKczdGECUAAAAAAGAAAAPwIAPwAAgAAAAAAAPC/AhQEadt1FR/AAq7iNz47Nw9AAAAAABgAAAD8CAD8AAIAAAAAAADwvwKb36xtA/oZwALp02NE7uoIQAAAAAAkAAAA/AQA/AACAAAAAAAA8L8Czbyy0p90FsACojsX2a22DEAAAAAAIAAAAPwIAPwAAgAAAAAAAPC/Ap3iiYZkKQzAAnJOA9pGyAJAAAAAABgAAAD8BAD8AAIAAAAAAADwvwJpZpIF3xgCwALYeEHkW8D0vwAAAAAYAAAA/AQA/AACAAAAAAAA8L8CaWaSBd8YAsAC2HhB5FvA9D8AAAAAGAAAAPwEAPwAAgAAAAAAAPC/Ajczw1wpIei/Ath4QeRbwPQ/AAAAABwAAAD8BAD8AAIAAAAAAADwvwAAAAAAABgAAAD8BAD8AAIAAAAAAADwvwI3M8NcKSHovwLYeEHkW8D0vwAAAAABHAAEBAAEAAAAAAQIBAAEAAAAAAgMBAAEAAAAAAwQBAAEAAAAABAABAAEAAAAAAwUCAgAAAAAABQYBAAAAAAAABgcCAAAAAAAABggBAAAAAAAACAkBAAAAAAAACQoBAAAAAAAACQsBAAAAAAAACQwBAAAAAAAAAg0BAAAAAAAADQ4CAAEBAAAADg8BAAEBAAAADwBEAgABAQAAAABEAERBAAEBAAAAAERARIIAAQEAAAAARI0BAAEBAAAAAESARMEAAAAAAAABAEUCAAAAAAAAAABFQQABAAAAAAAARYEAAQAAAAAARYBFwQABAAAAAABFwEYBAAEAAAAAAEYARkEAAQAAAAAARkBFQQABAAAAAAAAAAA</t>
        </r>
      </text>
    </comment>
    <comment ref="D227" authorId="0">
      <text>
        <r>
          <rPr>
            <sz val="9"/>
            <color indexed="81"/>
            <rFont val="Tahoma"/>
            <family val="2"/>
          </rPr>
          <t>Insight iXlW00004C0000227R0841462918S00000226P01172LAocjBAQBF1NjaVRlZ2ljLmRhdGEuTW9sZWN1bGUBbQF/ARJTY2lUZWdpYy5Nb2xlY3VsZQAAAQFkAv5qAQAAAAIAAgEQGAAAAPwIAPwAAgAAAAAAAPC/AukiL2XL7tM/Ai/coI1euwfAAAAAABwAAAD8BAD8AAIAAAAAAADwvwKitVaxIwzmvwL+ercAwlMQwAAAAAAYAAAA/AgA/AACAAAAAAAA8L8CnikMWk2ZzL8C+C1n1coIFsAAAAAAGAAAAPwIAPwAAgAAAAAAAPC/AsB6g0sdk/O/AjgeDbS2gRrAAAAAABgAAAD8CAD8AAIAAAAAAADwvwJMixZQsyrovwLmfdJNfBogwAAAAAAYAAAA/AgA/AACAAAAAAAA8L8CSyPx+RfR5j8CkoM8T7K3IMAAAAAAGAAAAPwIAPwAAgAAAAAAAPC/AtylVlqwaPs/ApL2RtmO9hzAAAAAABwAAAD8CAD8AAIAAAAAAADwvwL5PPat8OrzPwJdik6eTEMXwAAAAAAcAAAA/AgA/AACAAAAAAAA8L8CAEsOsxDa/D8C0++CPHn8CMAAAAAAARAAAAD8BAD8AAIAAAAAAADwvwI4clvyg04DQAJn1sLvHAz8vwAAAAAYAAAA/AgA/AACAAAAAAAA8L8C7lqJnd7I9D8Ce8erYvz/578AAAAAGAAAAPwEAPwAAgAAAAAAAPC/AiqK0FrYyPQ/AtNhohISAOg/AAAAABwAAAD8BAD8AAIAAAAAAADwvwKBSZam6LHgvgI56m80AQD4PwAAAAAYAAAA/AgA/AACAAAAAAAA8L8CIIqKpuix0D4C8gBxNAEA+L8AAAAAGAAAAPwEAPwAAgAAAAAAAPC/AgPGDnHayPS/AtaS+9cKAOi/AAAAABgAAAD8BAD8AAIAAAAAAADwvwIEtMWz4Mj0vwISywIo9f/nPwAAAAABEgAEBAAAAAAAAAQIBAAAAAAAAAgMCAAEBAAAAAwQBAAEBAAAABAUCAAEBAAAABQYBAAEBAAAABgcCAAEBAAAABwIBAAEBAAAAAAgCAAEBAAAACAkBAAEBAAAACQoBAAEBAAAACgsBAAEAAAAACwwBAAEAAAAACg0CAAEBAAAADQABAAEBAAAADQ4BAAEAAAAADg8BAAEAAAAADwwBAAEAAAAAAAAAAA=</t>
        </r>
      </text>
    </comment>
    <comment ref="D228" authorId="0">
      <text>
        <r>
          <rPr>
            <sz val="9"/>
            <color indexed="81"/>
            <rFont val="Tahoma"/>
            <family val="2"/>
          </rPr>
          <t>Insight iXlW00004C0000228R0841462918S00000227P01028LAocjBAQBF1NjaVRlZ2ljLmRhdGEuTW9sZWN1bGUBbQF/ARJTY2lUZWdpYy5Nb2xlY3VsZQAAAQFkAv5qAQAAAAIAAjgYAAAA/AgA/AACAAAAAAAA8L8C9zd0CHDBGUAC0S+wPSfhGkAAAAAAHAAAAPwIAPwAAgAAAAAAAPC/AsZo7rE3DRdAAmBjuYeS1xxAAAAAABwAAAD8CAD8AAIAAAAAAADwvwL3N3QIcMEZQAIvHOTs0YwXQAAAAAAYAAAA/AgA/AACAAAAAAAA8L8CmRPtQVXzHEACb7WqgomKFkAAAAAAIAAAAPwIAPwAAgAAAAAAAPC/Akv0NDQNyh1AAgAAAAAAABRAAAAAAAFpAAAA/AQA/AACAAAAAAAA8L8CvuN+bmcOF0ACax9tv16SFUAAAAAAHAAAAPwEAPwAAgAAAAAAAPC/ApkT7UFV8xxAAqVR36YL7BtAAAAAABgAAAD8BAD8AAIAAAAAAADwvwLzanQYruYeQAKKA8WUSjsZQAAAAAAYAAAA/AQA/AACAAAAAAAA8L8CJ6kqYJNKIEACy/8dvLMfHEAAAAAAGAAAAPwEAPwAAgAAAAAAAPC/Alq2yRUM+SFAAsv/HbyzHxxAAAAAABgAAAD8BAD8AAIAAAAAAADwvwIIKrppSNAiQAKKA8WUSjsZQAAAAAAcAAAA/AQA/AACAAAAAAAA8L8CWrbJFQz5IUACSQdsbeFWFkAAAAAAGAAAAPwEAPwAAgAAAAAAAPC/AiepKmCTSiBAAkkHbG3hVhZAAAAAAAFpAAAA/AQA/AACAAAAAAAA8L8CAAAAAAAAFEAC+UjBRE17G0AAAAAAPAAECAgAAAAAAAAIBAAEAAAAAAgMBAAEAAAAAAwQCAAAAAAAAAgUBAAAAAAAAAAYBAAEAAAAABgcBAAEAAAAABwMBAAEAAAAABwgBAAEAAAAACAkBAAEAAAAACQoBAAEAAAAACgsBAAEAAAAABwwBAAEAAAAADAsBAAEAAAAAAQ0BAAAAAAAAAAAAAA=</t>
        </r>
      </text>
    </comment>
    <comment ref="D229" authorId="0">
      <text>
        <r>
          <rPr>
            <sz val="9"/>
            <color indexed="81"/>
            <rFont val="Tahoma"/>
            <family val="2"/>
          </rPr>
          <t>Insight iXlW00004C0000229R0841462918S00000228P01104LAocjBAQBF1NjaVRlZ2ljLmRhdGEuTW9sZWN1bGUBbQF/ARJTY2lUZWdpYy5Nb2xlY3VsZQAAAQFkAv5qAQAAAAIBAjwYAAAA/AgA/AACAAAAAAAA8L8CYVTZWAXaDEACiYKwQFCa8j4AAAAAIAAAAPwIAPwAAgAAAAAAAPC/AqosOXnPORNAAv23fi3gR/k+AAAAABwAAAD8CAD8AAIAAAAAAADwvwIS77llWcwFQAIerM7rj2rzvwAAAAAYCAAABAQA/AACAAAAAAAA8L8C7lqJnd7I9D8Ce8erYvz/578AAAAAGAwAAAQEAPwAAgAAAAAAAPC/AiqK0FrYyPQ/AtNhohISAOg/AAAAABgAAAD8BAD8AAIAAAAAAADwvwKBSZam6LHgvgI56m80AQD4PwAAAAAYAAAA/AQA/AACAAAAAAAA8L8CBLTFs+DI9L8CEssCKPX/5z8AAAAAHAAAAPwEAPwAAgAAAAAAAPC/AgPGDnHayPS/AtaS+9cKAOi/AAAAABwAAAD8CAD8AAIAAAAAAADwvwLm8hlVVMwFQAIJ3IWqpmrzPwAAAAAYAAAA/AQA/AACAAAAAAAA8L8CVCCi9tWBCUACAsReoYQgBUAAAAAAGAAAAPwEAPwAAgAAAAAAAPC/AhVbzonnLgNAAoI3kQv/KA9AAAAAABgAAAD8BAD8AAIAAAAAAADwvwLEvBxyY/kKQAKOhX4evyQUQAAAAAAYAAAA/AQA/AACAAAAAAAA8L8CY+sgC+4HE0ACmFJ8u1LZEUAAAAAAGAAAAPwEAPwAAgAAAAAAAPC/AlcNNJrTjxJAAmKRsEgNvAdAAAAAABgAAAD8BAD8AAIAAAAAAADwvwIgioqm6LHQPgLyAHE0AQD4vwAAAAABEQAECAAAAAAAAAAIBAAEAAAAAAwIBBQEAAAAAAwQBAAEAAAAABAUBBQEAAAAABQYBAAEAAAAABgcBAAEAAAAABAgBAAEAAAAACAABAAEAAAAACAkBAAAAAAAACQoBAAEAAAAACgsBAAEAAAAACwwBAAEAAAAADA0BAAEAAAAADQkBAAEAAAAAAw4BAAEAAAAADgcBAAEAAAAAAAAAAA=</t>
        </r>
      </text>
    </comment>
    <comment ref="D230" authorId="0">
      <text>
        <r>
          <rPr>
            <sz val="9"/>
            <color indexed="81"/>
            <rFont val="Tahoma"/>
            <family val="2"/>
          </rPr>
          <t>Insight iXlW00004C0000230R0841462918S00000229P01024LAocjBAQBF1NjaVRlZ2ljLmRhdGEuTW9sZWN1bGUBbQF/ARJTY2lUZWdpYy5Nb2xlY3VsZQAAAQFkAv5qAQAAAAIAAjgYAAAA/AQA/AACAAAAAAAA8L8Cyjar6q/DBEACtp1jeuqfBcAAAAAAGAAAAPwEAPwAAgAAAAAAAPC/AtISh7guxwRAAnipXwejDPi/AAAAABgAAAD8CAD8AAIAAAAAAADwvwLuWomd3sj0PwJ7x6ti/P/nvwAAAAAcAAAA/AgA/AACAAAAAAAA8L8CKorQWtjI9D8C02GiEhIA6D8AAAAAGAAAAPwIAPwAAgAAAAAAAPC/AoFJlqboseC+AjnqbzQBAPg/AAAAABwAAAD8CAD8AAIAAAAAAADwvwIEtMWz4Mj0vwISywIo9f/nPwAAAAAYAAAA/AgA/AACAAAAAAAA8L8CA8YOcdrI9L8C1pL71woA6L8AAAAAIAAAAPwIAPwAAgAAAAAAAPC/AnS7Gi7EtALAAqpGm+CimfW/AAAAABgAAAD8BAD8AAIAAAAAAADwvwIAAMyIlE3vvgI8T4yBAQAIQAAAAAAcAAAA/AQA/AACAAAAAAAA8L8C2iGPWvDI9L8C5Ksbl/3/DUAAAAAAGAAAAPwEAPwAAgAAAAAAAPC/AkhBsFrkyATAAoxp5Eb6/wdAAAAAABgAAAD8BAD8AAIAAAAAAADwvwJJylQ54cgEwAImpMmN9P/3PwAAAAAYAAAA/AgA/AACAAAAAAAA8L8CIIqKpuix0D4C8gBxNAEA+L8AAAAAGAAAAPwEAPwAAgAAAAAAAPC/ArjbHCGpGQ1AAtzFl5nj9Oy/AAAAADwABAQAAAAAAAAECAQAAAAAAAAIDAQABAAAAAAMEAgEBAAAAAAQFAQABAAAAAAUGAQABAAAAAAYHAgAAAAAAAAQIAQABAAAAAAgJAQABAAAAAAkKAQABAAAAAAoLAQABAAAAAAsFAQABAAAAAAIMAgEBAAAAAAwGAQABAAAAAAENAQAAAAAAAAAAAAA</t>
        </r>
      </text>
    </comment>
    <comment ref="D231" authorId="0">
      <text>
        <r>
          <rPr>
            <sz val="9"/>
            <color indexed="81"/>
            <rFont val="Tahoma"/>
            <family val="2"/>
          </rPr>
          <t>Insight iXlW00004C0000231R0841462918S00000230P01240LAocjBAQBF1NjaVRlZ2ljLmRhdGEuTW9sZWN1bGUBbQF/ARJTY2lUZWdpYy5Nb2xlY3VsZQAAAQFkAv5qAQAAAAIBAgERGAAAAPwEAPwAAgAAAAAAAPC/AnQPi+qOwwhAAkQvPe611gJAAAAAABwAAAD8CAD8AAIAAAAAAADwvwLm8hlVVMwFQAIJ3IWqpmrzPwAAAAAYAAAA/AgA/AACAAAAAAAA8L8CeUHaWAXaDEACEgU67AUB5z4AAAAAIAAAAPwIAPwAAgAAAAAAAPC/AvTaOXnPORNAAqQyDNmVru0+AAAAABwAAAD8CAD8AAIAAAAAAADwvwIS77llWcwFQAIerM7rj2rzvwAAAAAYAAAA/AgA/AACAAAAAAAA8L8CAOJV/OCBCUACFPqhUncgBcAAAAAAGAAAAPwIAPwAAgAAAAAAAPC/Asr91wdqfhJAAqFKmYotewjAAAAAABgAAAD8CAD8AAIAAAAAAADwvwImUDjZoekTQAINbpOuBhISwAAAAAAcAAAA/AgA/AACAAAAAAAA8L8C2Nep44ElD0ACXlzOPM02FsAAAAAAGAAAAPwIAPwAAgAAAAAAAPC/Av1kD5NPoQNAAj0yREwkhxTAAAAAABgAAAD8CAD8AAIAAAAAAADwvwLeozjp3coAQAI6009EaWUNwAAAAAAYCAAA/AQA/AACAAAAAAAA8L8C7lqJnd7I9D8Ce8erYvz/578AAAAAGAgAAPwEAPwAAgAAAAAAAPC/AiqK0FrYyPQ/AtNhohISAOg/AAAAABgAAAD8BAD8AAIAAAAAAADwvwIgioqm6LHQPgLyAHE0AQD4vwAAAAAcAAAA/AQA/AACAAAAAAAA8L8CA8YOcdrI9L8C1pL71woA6L8AAAAAGAAAAPwEAPwAAgAAAAAAAPC/AgS0xbPgyPS/AhLLAij1/+c/AAAAABgAAAD8BAD8AAIAAAAAAADwvwKBSZam6LHgvgI56m80AQD4PwAAAAABEwAEBAAAAAAAAAQIBAAEAAAAAAgMCAAAAAAAAAgQBAAEAAAAABAUBAAAAAAAABQYCAAEBAAAABgcBAAEBAAAABwgCAAEBAAAACAkBAAEBAAAACQoCAAEBAAAACgUBAAEBAAAABAsBAAEAAAAACwwBAAEAAAAADAEBAAEAAAAACw0BBQEAAAAADQ4BAAEAAAAADg8BAAEAAAAADwBEAQABAAAAAAwARAEFAQAAAAAAAAAAA==</t>
        </r>
      </text>
    </comment>
    <comment ref="D232" authorId="0">
      <text>
        <r>
          <rPr>
            <sz val="9"/>
            <color indexed="81"/>
            <rFont val="Tahoma"/>
            <family val="2"/>
          </rPr>
          <t>Insight iXlW00004C0000232R0841462918S00000231P00960LAocjBAQBF1NjaVRlZ2ljLmRhdGEuTW9sZWN1bGUBbQF/ARJTY2lUZWdpYy5Nb2xlY3VsZQAAAQFkAv5qAQAAAAIAAjQYAAAA/AQA/AACAAAAAAAA8L8Cyjar6q/DBEACtp1jeuqfBcAAAAAAGAAAAPwEAPwAAgAAAAAAAPC/AtISh7guxwRAAnipXwejDPi/AAAAABgAAAD8CAD8AAIAAAAAAADwvwLuWomd3sj0PwJ7x6ti/P/nvwAAAAAcAAAA/AgA/AACAAAAAAAA8L8CKorQWtjI9D8C02GiEhIA6D8AAAAAGAAAAPwIAPwAAgAAAAAAAPC/AoFJlqboseC+AjnqbzQBAPg/AAAAABwAAAD8CAD8AAIAAAAAAADwvwIEtMWz4Mj0vwISywIo9f/nPwAAAAAYAAAA/AgA/AACAAAAAAAA8L8CA8YOcdrI9L8C1pL71woA6L8AAAAAIAAAAPwIAPwAAgAAAAAAAPC/AnS7Gi7EtALAAqpGm+CimfW/AAAAABgAAAD8BAD8AAIAAAAAAADwvwIAAMyIlE3vvgI8T4yBAQAIQAAAAAAcAAAA/AQA/AACAAAAAAAA8L8C2iGPWvDI9L8C5Ksbl/3/DUAAAAAAGAAAAPwEAPwAAgAAAAAAAPC/AkhBsFrkyATAAoxp5Eb6/wdAAAAAABgAAAD8BAD8AAIAAAAAAADwvwJJylQ54cgEwAImpMmN9P/3PwAAAAAYAAAA/AgA/AACAAAAAAAA8L8CIIqKpuix0D4C8gBxNAEA+L8AAAAAOAAEBAAAAAAAAAQIBAAAAAAAAAgMBAAEAAAAAAwQCAQEAAAAABAUBAAEAAAAABQYBAAEAAAAABgcCAAAAAAAABAgBAAEAAAAACAkBAAEAAAAACQoBAAEAAAAACgsBAAEAAAAACwUBAAEAAAAAAgwCAQEAAAAADAYBAAEAAAAAAAAAAA=</t>
        </r>
      </text>
    </comment>
    <comment ref="D233" authorId="0">
      <text>
        <r>
          <rPr>
            <sz val="9"/>
            <color indexed="81"/>
            <rFont val="Tahoma"/>
            <family val="2"/>
          </rPr>
          <t>Insight iXlW00004C0000233R0841462918S00000232P00896LAocjBAQBF1NjaVRlZ2ljLmRhdGEuTW9sZWN1bGUBbQF/ARJTY2lUZWdpYy5Nb2xlY3VsZQAAAQFkAv5qAQAAAAIAAjAgAAAA/AgA/AACAAAAAAAA8L8Ctpz3VNkHH0ACVBoi5gRWFEAAAAAAGAAAAPwIAPwAAgAAAAAAAPC/AmHz0XputRxAAjL8hCA0rRVAAAAAABwAAAD8CAD8AAIAAAAAAADwvwK3NnqdbbUcQALo+1eFLAcZQAAAAAAYAAAA/AgA/AACAAAAAAAA8L8CZ37fsmfOGUACOH7nCie0GkAAAAAAHAAAAPwIAPwAAgAAAAAAAPC/AhdhSBRj5xZAAtObp3cqBxlAAAAAABgAAAD8CAD8AAIAAAAAAADwvwLBHaDxY+cWQALyR4InM60VQAAAAAABaQAAAPwEAPwAAgAAAAAAAPC/AgAAAAAAABRAAgAAAAAAABRAAAAAABgAAAD8CAD8AAIAAAAAAADwvwJR7zmJac4ZQAK375sXOAAUQAAAAAAYAAAA/AQA/AACAAAAAAAA8L8CMUNnc3KcH0ACeM3tTym0GkAAAAAAGAAAAPwEAPwAAgAAAAAAAPC/Age5DfBwnB9AAlghE6AgDh5AAAAAABwAAAD8BAD8AAIAAAAAAADwvwJM+B0ha7UcQAKpo6IlG7sfQAAAAAAYAAAA/AQA/AACAAAAAAAA8L8CZ+PbZmbOGUACQ8Fikh4OHkAAAAAANAAECAAAAAAAAAQIBAAEAAAAAAgMBAAEAAAAAAwQCAgEAAAAABAUBAAEAAAAABQYBAAAAAAAABQcCAgEAAAAABwEBAAEAAAAAAggBAAEAAAAACAkBAAEAAAAACQoBAAEAAAAACgsBAAEAAAAACwMBAAEAAAAAAAAAAA=</t>
        </r>
      </text>
    </comment>
    <comment ref="D234" authorId="0">
      <text>
        <r>
          <rPr>
            <sz val="9"/>
            <color indexed="81"/>
            <rFont val="Tahoma"/>
            <family val="2"/>
          </rPr>
          <t>Insight iXlW00004C0000234R0841462918S00000233P01240LAocjBAQBF1NjaVRlZ2ljLmRhdGEuTW9sZWN1bGUBbQF/ARJTY2lUZWdpYy5Nb2xlY3VsZQAAAQFkAv5qAQAAAAIAAgERIAAAAPwIAPwAAgAAAAAAAPC/AlINlVrItAJAAsKpS2uUmfW/AAAAABgAAAD8CAD8AAIAAAAAAADwvwLuWomd3sj0PwJ7x6ti/P/nvwAAAAAcAAAA/AgA/AACAAAAAAAA8L8CKorQWtjI9D8C02GiEhIA6D8AAAAAGAAAAPwIAPwAAgAAAAAAAPC/AoFJlqboseC+AjnqbzQBAPg/AAAAABwAAAD8CAD8AAIAAAAAAADwvwIEtMWz4Mj0vwISywIo9f/nPwAAAAAYAAAA/AgA/AACAAAAAAAA8L8CA8YOcdrI9L8C1pL71woA6L8AAAAAGAAAAPwIAPwAAgAAAAAAAPC/AtabITkuygTAAnQoXDGTAfi/AAAAABwAAAD8CAD8AAIAAAAAAADwvwIzaDDhQzEPwAIIP8i/hhTovwAAAAAYAAAA/AgA/AACAAAAAAAA8L8C7mfTe5/JFMACGV4dY7sS+L8AAAAAGAAAAPwIAPwAAgAAAAAAAPC/AuZxPrEtxxTAAoSCmbJcCQjAAAAAABgAAAD8CAD8AAIAAAAAAADwvwL55V62fCcPwAK643jmIAUOwAAAAAAYAAAA/AgA/AACAAAAAAAA8L8Cs6UNlIDFBMACWkMZs+YACMAAAAAAGAAAAPwIAPwAAgAAAAAAAPC/AiCKiqbosdA+AvIAcTQBAPi/AAAAABgAAAD8BAD8AAIAAAAAAADwvwIa28jd2MgEQAKzGrJuEQD4PwAAAAAYAAAA/AQA/AACAAAAAAAA8L8CBRFnptPIBEACHOtXtwgACEAAAAAAHAAAAPwEAPwAAgAAAAAAAPC/Al7rP5nGyPQ/Ak6cFs0EAA5AAAAAABgAAAD8BAD8AAIAAAAAAADwvwIAgGccyMHxvgJtrg59AQAIQAAAAAABEwAECAAAAAAAAAQIBAAEAAAAAAgMBAAEAAAAAAwQCAQEAAAAABAUBAAEAAAAABQYBAAAAAAAABgcCAAEBAAAABwgBAAEBAAAACAkCAAEBAAAACQoBAAEBAAAACgsCAAEBAAAACwYBAAEBAAAABQwCAQEAAAAADAEBAAEAAAAAAg0BAAEAAAAADQ4BAAEAAAAADg8BAAEAAAAADwBEAQABAAAAAABEAwEAAQAAAAAAAAAAA==</t>
        </r>
      </text>
    </comment>
    <comment ref="D235" authorId="0">
      <text>
        <r>
          <rPr>
            <sz val="9"/>
            <color indexed="81"/>
            <rFont val="Tahoma"/>
            <family val="2"/>
          </rPr>
          <t>Insight iXlW00004C0000235R0841462918S00000234P00896LAocjBAQBF1NjaVRlZ2ljLmRhdGEuTW9sZWN1bGUBbQF/ARJTY2lUZWdpYy5Nb2xlY3VsZQAAAQFkAv5qAQAAAAIAAjAgAAAA/AgA/AACAAAAAAAA8L8Ctpz3VNkHH0ACVBoi5gRWFEAAAAAAGAAAAPwIAPwAAgAAAAAAAPC/AmHz0XputRxAAjL8hCA0rRVAAAAAABwAAAD8CAD8AAIAAAAAAADwvwK3NnqdbbUcQALo+1eFLAcZQAAAAAAYAAAA/AgA/AACAAAAAAAA8L8CZ37fsmfOGUACOH7nCie0GkAAAAAAHAAAAPwIAPwAAgAAAAAAAPC/AhdhSBRj5xZAAtObp3cqBxlAAAAAABgAAAD8CAD8AAIAAAAAAADwvwLBHaDxY+cWQALyR4InM60VQAAAAAABaQAAAPwEAPwAAgAAAAAAAPC/AgAAAAAAABRAAgAAAAAAABRAAAAAABgAAAD8CAD8AAIAAAAAAADwvwJR7zmJac4ZQAK375sXOAAUQAAAAAAYAAAA/AQA/AACAAAAAAAA8L8CMUNnc3KcH0ACeM3tTym0GkAAAAAAGAAAAPwEAPwAAgAAAAAAAPC/Age5DfBwnB9AAlghE6AgDh5AAAAAABwAAAD8BAD8AAIAAAAAAADwvwJM+B0ha7UcQAKpo6IlG7sfQAAAAAAYAAAA/AQA/AACAAAAAAAA8L8CZ+PbZmbOGUACQ8Fikh4OHkAAAAAANAAECAAAAAAAAAQIBAAEAAAAAAgMBAAEAAAAAAwQCAgEAAAAABAUBAAEAAAAABQYBAAAAAAAABQcCAgEAAAAABwEBAAEAAAAAAggBAAEAAAAACAkBAAEAAAAACQoBAAEAAAAACgsBAAEAAAAACwMBAAEAAAAAAAAAAA=</t>
        </r>
      </text>
    </comment>
    <comment ref="D236" authorId="0">
      <text>
        <r>
          <rPr>
            <sz val="9"/>
            <color indexed="81"/>
            <rFont val="Tahoma"/>
            <family val="2"/>
          </rPr>
          <t>Insight iXlW00004C0000236R0841462918S00000235P00896LAocjBAQBF1NjaVRlZ2ljLmRhdGEuTW9sZWN1bGUBbQF/ARJTY2lUZWdpYy5Nb2xlY3VsZQAAAQFkAv5qAQAAAAIBAjAcAAAA/AQA/AACAAAAAAAA8L8C7lqJnd7I9D8Ce8erYvz/578AAAAAGAAAAPwEAPwAAgAAAAAAAPC/AiqK0FrYyPQ/AtNhohISAOg/AAAAABgIAAAEBAD8AAIAAAAAAADwvwKBSZam6LHgvgI56m80AQD4PwAAAAAcAAAA/AgA/AACAAAAAAAA8L8C5LI7mwHv078CxEgrgmC7B0AAAAAAGAAAAPwEAPwAAgAAAAAAAPC/AvadNzvOdd8/AvpECiCZ3Q5AAAAAABgAAAD8CAD8AAIAAAAAAADwvwKuW0hpGdr8vwLQcOe9dvwIQAAAAAAgAAAA/AgA/AACAAAAAAAA8L8CaTwSmt05A8AC/t18OWamEEAAAAAAHAAAAPwIAPwAAgAAAAAAAPC/AvLuuWWGTgPAAvHDPEAWDPw/AAAAABgAAAD8BAD8AAIAAAAAAADwvwJavCRlX7IMwALV+qF0tQ34PwAAAAAYCAAABAQA/AACAAAAAAAA8L8CBLTFs+DI9L8CEssCKPX/5z8AAAAAGAAAAPwEAPwAAgAAAAAAAPC/AgPGDnHayPS/AtaS+9cKAOi/AAAAABgAAAD8BAD8AAIAAAAAAADwvwIgioqm6LHQPgLyAHE0AQD4vwAAAAA0AAQEAAQAAAAACAQEFAQAAAAACAwEAAQAAAAADBAEAAAAAAAADBQEAAQAAAAAFBgIAAAAAAAAFBwEAAQAAAAAHCAEAAAAAAAACCQEAAQAAAAAJBwEAAQAAAAAJCgEFAQAAAAAKCwEAAQAAAAALAAEAAQAAAAAAAAAAA==</t>
        </r>
      </text>
    </comment>
    <comment ref="D237" authorId="0">
      <text>
        <r>
          <rPr>
            <sz val="9"/>
            <color indexed="81"/>
            <rFont val="Tahoma"/>
            <family val="2"/>
          </rPr>
          <t>Insight iXlW00004C0000237R0841462918S00000236P00896LAocjBAQBF1NjaVRlZ2ljLmRhdGEuTW9sZWN1bGUBbQF/ARJTY2lUZWdpYy5Nb2xlY3VsZQAAAQFkAv5qAQAAAAIAAjABaQAAAPwEAPwAAgAAAAAAAPC/AgAAAAAAABRAAoGbkwGWDBlAAAAAACAAAAD8BAD8AAIAAAAAAADwvwJMYwbY0gIXQALZ3R1Nh2caQAAAAAAYAAAA/AgA/AACAAAAAAAA8L8CpmOcDdGvGUAC5I+7ZLB6GEAAAAAAGAAAAPwEAPwAAgAAAAAAAPC/Aurutva+1hxAAo7gOrsAghlAAAAAABgAAAD8BAD8AAIAAAAAAADwvwJ2W5u8ZcMeQAJO1/jDe9oWQAAAAAAYAAAA/AQA/AACAAAAAAAA8L8Cd7EGdgw2IEACXawQbPe0GUAAAAAAGAAAAPwEAPwAAgAAAAAAAPC/Aq+2l4m/3iFAAl2sEGz3tBlAAAAAABwAAAD8BAD8AAIAAAAAAADwvwJLOWATGbMiQAJO1/jDe9oWQAAAAAAYAAAA/AQA/AACAAAAAAAA8L8Cr7aXib/eIUAC////////E0AAAAAAGAAAAPwEAPwAAgAAAAAAAPC/AnexBnYMNiBAAv///////xNAAAAAACAAAAD8BAD8AAIAAAAAAADwvwLq7rb2vtYcQALOy9Ww9jIUQAAAAAAcAAAA/AgA/AACAAAAAAAA8L8CpmOcDdGvGUAC1s+GlMgxFUAAAAAANAAEBAAAAAAAAAQIBAAAAAAAAAgMBAAEAAAAAAwQBAAEAAAAABAUBAAEAAAAABQYBAAEAAAAABgcBAAEAAAAABwgBAAEAAAAACAkBAAEAAAAACQQBAAEAAAAABAoBAAEAAAAAAgsCAwEAAAAACwoBAAEAAAAAAAAAAA=</t>
        </r>
      </text>
    </comment>
    <comment ref="D238" authorId="0">
      <text>
        <r>
          <rPr>
            <sz val="9"/>
            <color indexed="81"/>
            <rFont val="Tahoma"/>
            <family val="2"/>
          </rPr>
          <t>Insight iXlW00004C0000238R0841462918S00000237P01308LAocjBAQBF1NjaVRlZ2ljLmRhdGEuTW9sZWN1bGUBbQF/ARJTY2lUZWdpYy5Nb2xlY3VsZQAAAQFkAv5qAQAAAAIAAgESAWkAAAD8BAD8AAIAAAAAAADwvwIAKEOijqkiQAKzJP1136gWQAAAAAAcAAAA/AgA/AACAAAAAAAA8L8C3Sr+3E44IUACrKh3XkVVGEAAAAAAGAAAAPwIAPwAAgAAAAAAAPC/AhhtMG1OOCFAAnm4KQuPqhtAAAAAABgAAAD8CAD8AAIAAAAAAADwvwL+Je39pI0fQAIsqDJaMlUdQAAAAAAYAAAA/AQA/AACAAAAAAAA8L8CqzvvVK6qHEACgeILFI2qG0AAAAAAGAAAAPwEAPwAAgAAAAAAAPC/An757wZYxxlAAnhacTJnVR1AAAAAABgAAAD8BAD8AAIAAAAAAADwvwJNcbD57cUZQAKE0MB5XFUgQAAAAAAYAAAA/AQA/AACAAAAAAAA8L8C5FAU80jiFkACaY/U1hcqIUAAAAAAHAAAAPwEAPwAAgAAAAAAAPC/AgAAAAAAABRAAoBSNyEvVCBAAAAAABgAAAD8BAD8AAIAAAAAAADwvwK/EbqjWwEUQAISXzLJFVMdQAAAAAAYAAAA/AQA/AACAAAAAAAA8L8C1ON7VgDlFkACE7RJg56pG0AAAAAAIAAAAPwEAPwAAgAAAAAAAPC/Aja3ijSvqhxAAq+96GJEVRhAAAAAABgAAAD8CAD8AAIAAAAAAADwvwITHSS9po0fQALFoB6IoKoWQAAAAAAgAAAA/AgA/AACAAAAAAAA8L8C2drxLKeNH0ACAQAAAAAAFEAAAAAAGAAAAPwIAPwAAgAAAAAAAPC/AvkZqc/JqSJAAnnMKqU0VR1AAAAAABgAAAD8CAD8AAIAAAAAAADwvwKZxfoZyakiQAKl+CarPlUgQAAAAAAYAAAA/AgA/AACAAAAAAAA8L8CgOvAK004IUACf3CrUpAqIUAAAAAAGAAAAPwIAPwAAgAAAAAAAPC/Aq7sg66jjR9AAvBVnqE9VSBAAAAAAAEUAAQEAAAAAAAABAgEAAQAAAAACAwICAQEAAAADBAEAAQAAAAAEBQEAAAAAAAAFBgEAAQAAAAAGBwEAAQAAAAAHCAEAAQAAAAAICQEAAQAAAAAJCgEAAQAAAAAKBQEAAQAAAAAECwEAAQAAAAALDAEAAQAAAAAMAQEAAQAAAAAMDQIAAAAAAAACDgEAAQEAAAAODwICAQEAAAAPAEQBAAEBAAAAAEQAREICAQEAAAAAREMBAAEBAAAAAAAAAA=</t>
        </r>
      </text>
    </comment>
    <comment ref="D239" authorId="0">
      <text>
        <r>
          <rPr>
            <sz val="9"/>
            <color indexed="81"/>
            <rFont val="Tahoma"/>
            <family val="2"/>
          </rPr>
          <t>Insight iXlW00004C0000239R0841462918S00000238P01028LAocjBAQBF1NjaVRlZ2ljLmRhdGEuTW9sZWN1bGUBbQF/ARJTY2lUZWdpYy5Nb2xlY3VsZQAAAQFkAv5qAQAAAAIAAjgYAAAA/AgA/AACAAAAAAAA8L8CVD5h89p6HEACG4HImyKKGEAAAAAAGAAAAPwEAPwAAgAAAAAAAPC/AjsKimWnrB9AAkBgTfL+lBlAAAAAABgAAAD8BAD8AAIAAAAAAADwvwKm2cWM+M8gQAIaruG6UuQWQAAAAAAgAAAA/AQA/AACAAAAAAAA8L8COwqKZaesH0AC9Pt1g6YzFEAAAAAAGAAAAPwEAPwAAgAAAAAAAPC/ArTg6lEupyFAAgAAAAAAABRAAAAAABgAAAD8BAD8AAIAAAAAAADwvwIUpwj4mVUjQAIAAAAAAAAUQAAAAAAYAAAA/AQA/AACAAAAAAAA8L8CtODqUS6nIUACNFzDdaXIGUAAAAAAGAAAAPwEAPwAAgAAAAAAAPC/AhSnCPiZVSNAAjRcw3WlyBlAAAAAABwAAAD8BAD8AAIAAAAAAADwvwIjri29zywkQAIaruG6UuQWQAAAAAAYAAAA/AgA/AACAAAAAAAA8L8C3UGir6LEGUACDKFMAp19GkAAAAAAHAAAAPwIAPwAAgAAAAAAAPC/AiLwINdttxZAAvbmEE7/HRlAAAAAAAFpAAAA/AQA/AACAAAAAAAA8L8CAAAAAAAAFEACMw5FK0sSG0AAAAAAIAAAAPwIAPwAAgAAAAAAAPC/AnbTUwVCCRpAAjmjwnckJx1AAAAAABwAAAD8CAD8AAIAAAAAAADwvwJUPmHz2nocQAK658MU5zUVQAAAAAA8AAQEAAQAAAAABAgEAAQAAAAACAwEAAQAAAAACBAEAAQAAAAAEBQEAAQAAAAACBgEAAQAAAAAGBwEAAQAAAAAHCAEAAQAAAAAIBQEAAQAAAAAACQEAAAAAAAAJCgEAAAAAAAAKCwEAAAAAAAAJDAIAAAAAAAAADQICAQAAAAANAwEAAQAAAAAAAAAAA==</t>
        </r>
      </text>
    </comment>
    <comment ref="D240" authorId="0">
      <text>
        <r>
          <rPr>
            <sz val="9"/>
            <color indexed="81"/>
            <rFont val="Tahoma"/>
            <family val="2"/>
          </rPr>
          <t>Insight iXlW00004C0000240R0841462918S00000239P01160LAocjBAQBF1NjaVRlZ2ljLmRhdGEuTW9sZWN1bGUBbQF/ARJTY2lUZWdpYy5Nb2xlY3VsZQAAAQFkAv5qAQAAAAIAAgEQGAAAAPwIAPwAAgAAAAAAAPC/ArPNeVJA9yBAAjmhYgFc5BZAAAAAABgAAAD8CAD8AAIAAAAAAADwvwIQMUHIaKAiQAIQ2XUMljoXQAAAAAAgAAAA/AgA/AACAAAAAAAA8L8C5XV3p6osI0AC3FKGhQKrGUAAAAAAIAAAAPwEAPwAAgAAAAAAAPC/ArOk47T5miNAArz1qN1uhBRAAAAAAAFpAAAA/AQA/AACAAAAAAAA8L8CJ7kX9dxEJUACNkBMP8/aFEAAAAAAHAAAAPwIAPwAAgAAAAAAAPC/Ah7TXeu+ICBAAgAAAAAAABRAAAAAABgAAAD8CAD8AAIAAAAAAADwvwKbbVyU87IfQALe+1xAJ2EZQAAAAAABaQAAAPwEAPwAAgAAAAAAAPC/Ath5ytClMCBAAje9w21QpxxAAAAAABwAAAD8CAD8AAIAAAAAAADwvwJ8ViDveq8cQAKIPBX5HAAYQAAAAAAcAAAA/AgA/AACAAAAAAAA8L8Cj4dEuMz8HEACumSv/jqzFEAAAAAAGAAAAPwEAPwAAgAAAAAAAPC/AhgwguISyhlAApBM3kUprBlAAAAAABgAAAD8BAD8AAIAAAAAAADwvwJAOGPqEcoZQAI3nUm41gMdQAAAAAAYAAAA/AQA/AACAAAAAAAA8L8CU0tZawjlFkACBSi/4auvHkAAAAAAGAAAAPwEAPwAAgAAAAAAAPC/An3ncyQK5RZAAuEiA7ZSABhAAAAAABgAAAD8BAD8AAIAAAAAAADwvwIVTo3cAAAUQAK5VL9NKKwZQAAAAAAcAAAA/AQA/AACAAAAAAAA8L8CAAAAAAAAFEACxgN6rNQDHUAAAAAAAREABAQAAAAAAAAECAgAAAAAAAAEDAQAAAAAAAAMEAQAAAAAAAAAFAQABAQAAAAAGAgIBAQAAAAYHAQAAAAAAAAYIAQABAQAAAAgJAQABAQAAAAkFAgIBAQAAAAgKAQAAAAAAAAoLAQABAAAAAAsMAQABAAAAAAoNAQABAAAAAA0OAQABAAAAAA4PAQABAAAAAA8MAQABAAAAAAAAAAA</t>
        </r>
      </text>
    </comment>
    <comment ref="D241" authorId="0">
      <text>
        <r>
          <rPr>
            <sz val="9"/>
            <color indexed="81"/>
            <rFont val="Tahoma"/>
            <family val="2"/>
          </rPr>
          <t>Insight iXlW00004C0000241R0841462918S00000240P01096LAocjBAQBF1NjaVRlZ2ljLmRhdGEuTW9sZWN1bGUBbQF/ARJTY2lUZWdpYy5Nb2xlY3VsZQAAAQFkAv5qAQAAAAIAAjwBaQAAAPwEAPwAAgAAAAAAAPC/AjpJbGtSBh9AAnzBtXdAuxZAAAAAABwAAAD8CAD8AAIAAAAAAADwvwJ3MJh8GDAgQAKj70ebbcsZQAAAAAAYAAAA/AgA/AACAAAAAAAA8L8CdSQXg15nHkACwmLfSyR+HEAAAAAAHAAAAPwIAPwAAgAAAAAAAPC/AtkBafuPDxtAAsOPwfZjgBxAAAAAABgAAAD8BAD8AAIAAAAAAADwvwKVH/9ThBgZQAL59U3vicoZQAAAAAAYAAAA/AQA/AACAAAAAAAA8L8C9+NzYxbDFUACgM7yOYHlGUAAAAAAGAAAAPwEAPwAAgAAAAAAAPC/AgAAAAAAABRAAprzXsFODRdAAAAAABwAAAD8BAD8AAIAAAAAAADwvwIbE0noF5UVQAKrmx8yjhoUQAAAAAAYAAAA/AQA/AACAAAAAAAA8L8CLQoGNEbtGEACAQAAAAAAFEAAAAAAGAAAAPwEAPwAAgAAAAAAAPC/AqRoSgVdsBpAAgZ/NyYy2BZAAAAAABgAAAD8CAD8AAIAAAAAAADwvwKFCzfWggUaQALtnw9/daYfQAAAAAAgAAAA/AgA/AACAAAAAAAA8L8Cs0lcEpd4F0AC/E/QN0Q7IEAAAAAAGAAAAPwEAPwAAgAAAAAAAPC/AjwKBsjlsBxAAq22ic76ziBAAAAAABwAAAD8BAD8AAIAAAAAAADwvwIDWbMwNGwfQAK8GB5en7AfQAAAAAABaQAAAPwEAPwAAgAAAAAAAPC/AqJBWacVqBxAAma9+KfceiJAAAAAAAEQAAQEAAAAAAAABAgICAAAAAAACAwEAAQAAAAADBAEAAAAAAAAEBQEAAQAAAAAFBgEAAQAAAAAGBwEAAQAAAAAHCAEAAQAAAAAICQEAAQAAAAAJBAEAAQAAAAADCgEAAQAAAAAKCwIAAAAAAAAKDAEAAQAAAAACDQEAAQAAAAANDAEAAQAAAAAMDgEAAAAAAAAAAAAAA==</t>
        </r>
      </text>
    </comment>
    <comment ref="D242" authorId="0">
      <text>
        <r>
          <rPr>
            <sz val="9"/>
            <color indexed="81"/>
            <rFont val="Tahoma"/>
            <family val="2"/>
          </rPr>
          <t>Insight iXlW00004C0000242R0841462918S00000241P02060LAocjBAQBF1NjaVRlZ2ljLmRhdGEuTW9sZWN1bGUBbQF/ARJTY2lUZWdpYy5Nb2xlY3VsZQAAAQFkAv5qAQAAAAIAAgEdARAAAAD8BAD8AAIAAAAAAADwvwKeQ7NvVMoEQAJM507hqwH4vwAAAAAgAAAA/AgA/AACAAAAAAAA8L8CjUG0EY7JBEACxJg/gm+aBcAAAAAAIAAAAPwIAPwAAgAAAAAAAPC/AlKadGIXGg1AAi7wn+OkzgDAAAAAABgAAAD8CAD8AAIAAAAAAADwvwLuWomd3sj0PwJ7x6ti/P/nvwAAAAAYAAAA/AgA/AACAAAAAAAA8L8CKorQWtjI9D8C02GiEhIA6D8AAAAAGAAAAPwIAPwAAgAAAAAAAPC/AoFJlqboseC+AjnqbzQBAPg/AAAAABgAAAD8CAD8AAIAAAAAAADwvwIgioqm6LHQPgLyAHE0AQD4vwAAAAAYAAAA/AgA/AACAAAAAAAA8L8CA8YOcdrI9L8C1pL71woA6L8AAAAAGAAAAPwIAPwAAgAAAAAAAPC/AgS0xbPgyPS/AhLLAij1/+c/AAAAABwABAD8CAD8AAIAAAAAAADwvwItDD7PMMcEwAKg7qTzmwz4PwAAAAAgAAAA/AgA/AACAAAAAAAA8L8C0kOHo7PDBMAChVse8eafBUAAAAAAIAD8APwIAPwAAgAAAAAAAPC/An5yYmeqGQ3AApJeL8jP9Ow/AAAAABwAAAD8CAD8AAIAAAAAAADwvwJEb/+JMTEPQALFI0FsswbovwAAAAAYAAAA/AQA/AACAAAAAAAA8L8CK2xmV4vLFEACRpnudgcF+L8AAAAAGAAAAPwEAPwAAgAAAAAAAPC/Av+BjOT5/hlAArqHgJdqDei/AAAAACAAAAD8BAD8AAIAAAAAAADwvwKINvN27DEfQAJAS44MYwj4vwAAAAAYAAAA/AgA/AACAAAAAAAA8L8CLaYMgq0yIkACruu/wiEU6L8AAAAAGAAAAPwIAPwAAgAAAAAAAPC/ArLIU1xczCRAAhiN1clXAvi/AAAAABgAAAD8CAD8AAIAAAAAAADwvwJoiMSr7WQnQAJk4XeHv/XnvwAAAAAYAAAA/AgA/AACAAAAAAAA8L8Cq9KOwdljJ0ACPEuFXz0K6D8AAAAAGAAAAPwIAPwAAgAAAAAAAPC/AjupzIc0yiRAAvoECoan/fc/AAAAABgAAAD8CAD8AAIAAAAAAADwvwLyw2r1ojEiQAL+YQg5ZuznPwAAAAAYAAAA/AQA/AACAAAAAAAA8L8Cu3TadjjOFEACh1oydjgECMAAAAAAHAAAAPwEAPwAAgAAAAAAAPC/AvD/SZIEAhpAApj0gM4cAg7AAAAAABgAAAD8BAD8AAIAAAAAAADwvwLQsKEu8AYaQAKl4d/fFAEVwAAAAAAYAAAA/AQA/AACAAAAAAAA8L8CcqeLvI87H0ACRB9nKeX8F8AAAAAAGAAAAPwEAPwAAgAAAAAAAPC/AgJhDlvoMR9AApPDjuLQ+QfAAAAAABgAAAD8BAD8AAIAAAAAAADwvwK9shGyQzMiQAIxhx1Fc/ENwAAAAAAcAAAA/AQA/AACAAAAAAAA8L8C8/9Riq01IkACoWmCsbf4FMAAAAAAAR8ABAgAAAAAAAAACAgAAAAAAAAADAQAAAAAAAAMEAgABAQAAAAQFAQABAQAAAAMGAQABAQAAAAYHAgABAQAAAAcIAQABAQAAAAgFAgABAQAAAAgJAQAAAAAAAAkKAgAAAAAAAAkLAQAAAAAAAAAMAQAAAAAAAAwNAQAAAAAAAA0OAQAAAAAAAA4PAQAAAAAAAA8ARAEAAAAAAAAARABEQgABAQAAAABEQESBAAEBAAAAAESARMIAAQEAAAAARMBFAQABAQAAAABFAEVCAAEBAAAAAEVARAEAAQEAAAANAEWBAAAAAAAAAEWARcEAAAAAAAAARcBGAQABAAAAAABGAEZBAAEAAAAAAEXARoEAAQAAAAAARoBGwQABAAAAAABGwEcBAAEAAAAAAEcARkEAAQAAAAAAAAAAA==</t>
        </r>
      </text>
    </comment>
    <comment ref="D243" authorId="0">
      <text>
        <r>
          <rPr>
            <sz val="9"/>
            <color indexed="81"/>
            <rFont val="Tahoma"/>
            <family val="2"/>
          </rPr>
          <t>Insight iXlW00004C0000243R0841462918S00000242P01568LAocjBAQBF1NjaVRlZ2ljLmRhdGEuTW9sZWN1bGUBbQF/ARJTY2lUZWdpYy5Nb2xlY3VsZQAAAQFkAv5qAQAAAAIAAgEWARAAAAD8BAD8AAIAAAAAAADwvwKIBidfKiEPQAKiwKiLAAgVwAAAAAAgAAAA/AgA/AACAAAAAAAA8L8Cpj2R9q/OBkACSLJN2oxsF8AAAAAAIAAAAPwIAPwAAgAAAAAAAPC/AnIW8ELE0gZAAogWEa/rnxLAAAAAABwAAAD8CAD8AAIAAAAAAADwvwICydp9iSUPQAIKKZKkUQ4OwAAAAAAYAAAA/AQA/AACAAAAAAAA8L8CX1DTmc/CBEAC8Cxv9gAICMAAAAAAGAAAAPwEAPwAAgAAAAAAAPC/AvkOe2Kq4Pg/Aj0QuZMZ0QzAAAAAABgAAAD8BAD8AAIAAAAAAADwvwLYEoe4LscEQAJoqV8Howz4vwAAAAAcAAAA/AQA/AACAAAAAAAA8L8C7lqJnd7I9D8Ce8erYvz/578AAAAAGAAAAPwEAPwAAgAAAAAAAPC/AiqK0FrYyPQ/AtNhohISAOg/AAAAABgAAAD8BAD8AAIAAAAAAADwvwKBSZam6LHgvgI56m80AQD4PwAAAAAYAAAA/AQA/AACAAAAAAAA8L8CIIqKpuix0D4C8gBxNAEA+L8AAAAAGAAAAPwEAPwAAgAAAAAAAPC/AgPGDnHayPS/AtaS+9cKAOi/AAAAABwAAAD8BAD8AAIAAAAAAADwvwIEtMWz4Mj0vwISywIo9f/nPwAAAAAYAAAA/AgA/AACAAAAAAAA8L8Clj+XIfLBFEACsD664igLGMAAAAAAGAAAAPwIAPwAAgAAAAAAAPC/AnPF3xnKvhRAAiN6/rUpCx7AAAAAABgAAAD8CAD8AAIAAAAAAADwvwI4QqvKbO8ZQAKMMUc18oYgwAAAAAAYAAAA/AgA/AACAAAAAAAA8L8C7c3t7TYjH0ACyaB1QKAQHsAAAAAAGAAAAPwIAPwAAgAAAAAAAPC/AgmSHOZeJh9AAhvo9hShEBjAAAAAABgAAAD8CAD8AAIAAAAAAADwvwId6lm7vPUZQALDY1h55Q0VwAAAAAAcAAQA/AgA/AACAAAAAAAA8L8CfTxvyg78GUACXmhYrRsaDsAAAAAAIAAAAPwIAPwAAgAAAAAAAPC/ArhUPIhcJh5AAg8n9N+4VAnAAAAAACAA/AD8CAD8AAIAAAAAAADwvwJenc7zOdYVQAKuQi1EPEUJwAAAAAABFwAECAAAAAAAAAAICAAAAAAAAAAMBAAAAAAAAAwQBAAAAAAAABAUBAAAAAAAABAYBAAAAAAAABgcBAAAAAAAABwgBAAEAAAAACAkBAAEAAAAABwoBAAEAAAAACgsBAAEAAAAACwwBAAEAAAAADAkBAAEAAAAAAA0BAAAAAAAADQ4CAAEBAAAADg8BAAEBAAAADwBEAgABAQAAAABEAERBAAEBAAAAAERARIIAAQEAAAAARI0BAAEBAAAAAESARMEAAAAAAAAARMBFAgAAAAAAAABEwEVBAAAAAAAAAAAAAA=</t>
        </r>
      </text>
    </comment>
    <comment ref="D244" authorId="0">
      <text>
        <r>
          <rPr>
            <sz val="9"/>
            <color indexed="81"/>
            <rFont val="Tahoma"/>
            <family val="2"/>
          </rPr>
          <t>Insight iXlW00004C0000244R0841462918S00000243P00896LAocjBAQBF1NjaVRlZ2ljLmRhdGEuTW9sZWN1bGUBbQF/ARJTY2lUZWdpYy5Nb2xlY3VsZQAAAQFkAv5qAQAAAAIBAjAYAAAA/AQA/AACAAAAAAAA8L8CiAX6fRGJEUACnJboDdnEBsAAAAAAIAAAAPwEAPwAAgAAAAAAAPC/AvaFBaCZqAlAAko/cfIu4QTAAAAAABgAAAD8CAD8AAIAAAAAAADwvwLEjrobX9EFQAK7XdXliQzzvwAAAAAYCAAABAQA/AACAAAAAAAA8L8C7lqJnd7I9D8Ce8erYvz/578AAAAAGAgAAAAEAPwAAgAAAAAAAPC/AiqK0FrYyPQ/AtNhohISAOg/AAAAABgAAAD8BAD8AAIAAAAAAADwvwLf9CBW6Z/2PwK+yDgrnBz/PwAAAAAgAAAA/AQA/AACAAAAAAAA8L8ClOzBtI6xBUACym3qXXbI8z8AAAAAGAAAAPwEAPwAAgAAAAAAAPC/AiCKiqbosdA+AvIAcTQBAPi/AAAAABwAAAD8BAD8AAIAAAAAAADwvwIDxg5x2sj0vwLWkvvXCgDovwAAAAAYAAAA/AQA/AACAAAAAAAA8L8CBLTFs+DI9L8CEssCKPX/5z8AAAAAGAAAAPwEAPwAAgAAAAAAAPC/AoFJlqboseC+AjnqbzQBAPg/AAAAABwAAAD8CAD8AAIAAAAAAADwvwKOM5M7Gs8MQAKM8ZLh3kSdPwAAAAA0AAQEAAAAAAAABAgEAAAAAAAACAwEAAQAAAAADBAEAAQAAAAAEBQEEAAAAAAAEBgEAAQAAAAADBwEFAQAAAAAHCAEAAQAAAAAICQEAAQAAAAAJCgEAAQAAAAAKBAEAAQAAAAACCwIBAQAAAAALBgEAAQAAAAAAAAAAA==</t>
        </r>
      </text>
    </comment>
    <comment ref="D245" authorId="0">
      <text>
        <r>
          <rPr>
            <sz val="9"/>
            <color indexed="81"/>
            <rFont val="Tahoma"/>
            <family val="2"/>
          </rPr>
          <t>Insight iXlW00004C0000245R0841462918S00000244P01388LAocjBAQBF1NjaVRlZ2ljLmRhdGEuTW9sZWN1bGUBbQF/ARJTY2lUZWdpYy5Nb2xlY3VsZQAAAQFkAv5qAQAAAAIAAgETGAAAAPwEAPwAAgAAAAAAAPC/Au5aiZ3eyPQ/AnvHq2L8/+e/AAAAABgAAAD8BAD8AAIAAAAAAADwvwIqitBa2Mj0PwLTYaISEgDoPwAAAAAYAAAA/AQA/AACAAAAAAAA8L8CgUmWpuix4L4COepvNAEA+D8AAAAAGAAAAPwEAPwAAgAAAAAAAPC/AgS0xbPgyPS/AhLLAij1/+c/AAAAACAAAAD8BAD8AAIAAAAAAADwvwJoreuemAACwAJMFjljkmr/PwAAAAAYAAAA/AQA/AACAAAAAAAA8L8Cnaji6jtqDcACTpcyfOz/9z8AAAAAGAAAAPwEAPwAAgAAAAAAAPC/AlWGElc2ag3AAgCAFNHKg/O+AAAAACAAAAD8BAD8AAIAAAAAAADwvwJu8KqYjwACwAJUSWLMkKrdvwAAAAAYAAAA/AQA/AACAAAAAAAA8L8CIIqKpuix0D4C8gBxNAEA+L8AAAAAGAAAAPwEAPwAAgAAAAAAAPC/AgPGDnHayPS/AtaS+9cKAOi/AAAAACAAAAD8BAD8AAIAAAAAAADwvwL20qq02JoGQALVYaHl6vHuvwAAAAAYAAAA/AgA/AACAAAAAAAA8L8CDcx0XowZCUACOG7MdFl5A8AAAAAAIAAAAPwIAPwAAgAAAAAAAPC/Av0aZq5W7xBAAha+sUbyYAfAAAAAABwAAAD8CAD8AAIAAAAAAADwvwJFabyhPGr9PwISAFOFWXkJwAAAAAAYAAAA/AQA/AACAAAAAAAA8L8C7ZIiWLMo5z8C4gW7echxAcAAAAAAGAAAAPwEAPwAAgAAAAAAAPC/Akgf5wFieOa/AlTsE5CaJAXAAAAAABwAAAD8BAD8AAIAAAAAAADwvwKexk0QhDnwvwLmB2y5vXAQwAAAAAAYAAAA/AQA/AACAAAAAAAA8L8CAM+aEbrGuT8CqUEhtoJ0FMAAAAAAGAAAAPwEAPwAAgAAAAAAAPC/AtARTCywb/g/Aia6pajXmRLAAAAAAAEWAAQEAAQAAAAABAgEAAQAAAAACAwEAAQAAAAADBAEAAQAAAAAEBQEAAQAAAAAFBgEAAQAAAAAGBwEAAQAAAAAHAwEAAQAAAAAACAEAAQAAAAAICQEAAQAAAAAJAwEAAQAAAAAACgEAAQAAAAAKCwEAAQAAAAALDAIAAAAAAAALDQEAAQAAAAANDgEAAQAAAAAOAAEAAQAAAAAODwEAAQAAAAAPAEQBAAEAAAAAAEQAREEAAQAAAAAAREBEgQABAAAAAABEjQEAAQAAAAAAAAAAA==</t>
        </r>
      </text>
    </comment>
    <comment ref="D246" authorId="0">
      <text>
        <r>
          <rPr>
            <sz val="9"/>
            <color indexed="81"/>
            <rFont val="Tahoma"/>
            <family val="2"/>
          </rPr>
          <t>Insight iXlW00004C0000246R0841462918S00000245P01428LAocjBAQBF1NjaVRlZ2ljLmRhdGEuTW9sZWN1bGUBbQF/ARJTY2lUZWdpYy5Nb2xlY3VsZQAAAQFkAv5qAQAAAAIBAgEUGAwAAPwEAPwAAgAAAAAAAPC/Au5aiZ3eyPQ/AnvHq2L8/+e/AAAAABgAAAD8BAD8AAIAAAAAAADwvwIqitBa2Mj0PwLTYaISEgDoPwAAAAAYDAAA/AQA/AACAAAAAAAA8L8CgUmWpuix4L4COepvNAEA+D8AAAAAGAAAAPwIAPwAAgAAAAAAAPC/AoNcSlXzamm/Agpqn9u0AQhAAAAAACAAAAD8CAD8AAIAAAAAAADwvwLlZMMyro/wPwIublDGONIMQAAAAAAgAAAA/AQA/AACAAAAAAAA8L8CYF1dquHc9L8C9ifSh77+DUAAAAAAGAAAAPwEAPwAAgAAAAAAAPC/AiwJIlEG5/S/AlS0PGUrzBNAAAAAABgAAAD8BAD8AAIAAAAAAADwvwIEtMWz4Mj0vwISywIo9f/nPwAAAAAYAAAA/AQA/AACAAAAAAAA8L8CIIqKpuix0D4C8gBxNAEA+L8AAAAAHAAAAPwEAPwAAgAAAAAAAPC/AgPGDnHayPS/AtaS+9cKAOi/AAAAABgAAAD8CAD8AAIAAAAAAADwvwIdm4DrMsoEQAJatjrsggH4vwAAAAAYAAAA/AgA/AACAAAAAAAA8L8CjCPQLkrPBEAC8OgA5+EACMAAAAAAGAAAAPwIAPwAAgAAAAAAAPC/AmA+O74pNg9AAilIuo+k/A3AAAAAABgAAAD8CAD8AAIAAAAAAADwvwI63v59EswUQAJ1We7RaPgHwAAAAAAYAAAA/AgA/AACAAAAAAAA8L8COnMrMGMsD0ACpmLOY5Xy578AAAAAGAAAAPwIAPwAAgAAAAAAAPC/AgBUmtqgyRRAAnYwh6HT8Pe/AAAAABgAAAD8BAD8AAIAAAAAAADwvwJSSdW7WfsZQAKK9ugGWc3nvwAAAAAkAAAA/AQA/AACAAAAAAAA8L8CfMsO4Sz6GUAC7AezcRgy3T8AAAAAJAAAAPwEAPwAAgAAAAAAAPC/AthEANtNJB5AAmBax9bZevW/AAAAACQAAAD8BAD8AAIAAAAAAADwvwJOcM471iIeQAKIcY2dokLCvwAAAAABFQAEBAAEAAAAAAQIBAAEAAAAAAgMBBAAAAAAAAwQCAAAAAAAAAwUBAAAAAAAABQYBAAAAAAAAAgcBAAEAAAAAAAgBAAEAAAAACAkBAAEAAAAACQcBAAEAAAAAAAoBBAAAAAAACgsCAAEBAAAACwwBAAEBAAAADA0CAAEBAAAACg4BAAEBAAAADg8CAAEBAAAADw0BAAEBAAAADwBEAQAAAAAAAABEAERBAAAAAAAAAEQARIEAAAAAAAAARABEwQAAAAAAAAAAAAA</t>
        </r>
      </text>
    </comment>
    <comment ref="D247" authorId="0">
      <text>
        <r>
          <rPr>
            <sz val="9"/>
            <color indexed="81"/>
            <rFont val="Tahoma"/>
            <family val="2"/>
          </rPr>
          <t>Insight iXlW00004C0000247R0841462918S00000246P01172LAocjBAQBF1NjaVRlZ2ljLmRhdGEuTW9sZWN1bGUBbQF/ARJTY2lUZWdpYy5Nb2xlY3VsZQAAAQFkAv5qAQAAAAIBAgEQGAAAAPwEAPwAAgAAAAAAAPC/AqPamToejQhAAhrOeqtiDgPAAAAAABwAAAD8BAD8AAIAAAAAAADwvwKU2A4Cl7EFQALIhbveXcjzvwAAAAAYDAAA/AQA/AACAAAAAAAA8L8C7lqJnd7I9D8Ce8erYvz/578AAAAAGAAAAPwIAPwAAgAAAAAAAPC/Amp8s4gNFvc/AozrqIBh8wHAAAAAABgAAAD8CAD8AAIAAAAAAADwvwLoOsz682DMPwJIXC8oUesIwAAAAAAYAAAA/AgA/AACAAAAAAAA8L8CBMxVQB5k1z8CrHxvFJZuEsAAAAAAGAAAAPwIAPwAAgAAAAAAAPC/AmxdrPLXr/s/AvyuOmuM6xTAAAAAABgAAAD8CAD8AAIAAAAAAADwvwJmie+64JwHQAIuQqKBlW8RwAAAAAAYAAAA/AgA/AACAAAAAAAA8L8CydtYRm52BkAClvtfz0/tBsAAAAAAGAwAAPwEAPwAAgAAAAAAAPC/AiqK0FrYyPQ/AtNhohISAOg/AAAAABgAAAD8BAD8AAIAAAAAAADwvwI+yO6zVtEFQAIwWbabogzzPwAAAAAgAAAA/AQA/AACAAAAAAAA8L8CNAxDOBrPDEACoHVKYK87nb8AAAAAGAAAAPwEAPwAAgAAAAAAAPC/AiCKiqbosdA+AvIAcTQBAPi/AAAAABgAAAD8BAD8AAIAAAAAAADwvwIDxg5x2sj0vwLWkvvXCgDovwAAAAAcAAAA/AQA/AACAAAAAAAA8L8CBLTFs+DI9L8CEssCKPX/5z8AAAAAGAAAAPwEAPwAAgAAAAAAAPC/AoFJlqboseC+AjnqbzQBAPg/AAAAAAESAAQEAAAAAAAABAgEAAQAAAAACAwEFAAAAAAADBAIAAQEAAAAEBQEAAQEAAAAFBgIAAQEAAAAGBwEAAQEAAAAHCAIAAQEAAAAIAwEAAQEAAAACCQEAAQAAAAAJCgEEAQAAAAAKCwEAAQAAAAALAQEAAQAAAAACDAEAAQAAAAAMDQEAAQAAAAANDgEAAQAAAAAODwEAAQAAAAAPCQEAAQAAAAAAAAAAA==</t>
        </r>
      </text>
    </comment>
    <comment ref="D248" authorId="0">
      <text>
        <r>
          <rPr>
            <sz val="9"/>
            <color indexed="81"/>
            <rFont val="Tahoma"/>
            <family val="2"/>
          </rPr>
          <t>Insight iXlW00004C0000248R0841462918S00000247P01160LAocjBAQBF1NjaVRlZ2ljLmRhdGEuTW9sZWN1bGUBbQF/ARJTY2lUZWdpYy5Nb2xlY3VsZQAAAQFkAv5qAQAAAAIAAgEQAWkAAAD8BAD8AAIAAAAAAADwvwJWi8okpCMiQAJicTD89csUQAAAAAAcAAAA/AgA/AACAAAAAAAA8L8CuxKD7vPKIEACEp40hQ2GFEAAAAAAGAAAAPwIAPwAAgAAAAAAAPC/AmUgGtKkmh9AAuArOG6yRBdAAAAAABgAAAD8CAD8AAIAAAAAAADwvwJExckP7T0cQAK0opl6au0WQAAAAAAcAAAA/AgA/AACAAAAAAAA8L8CO2vF1KqLGkACAgAAAAAAFEAAAAAAHAAAAPwIAPwAAgAAAAAAAPC/Ah3fZqW9PBdAAnKjEFVstRRAAAAAABwAAAD8CAD8AAIAAAAAAADwvwL7GEHBee4WQAJyQmHkowwYQAAAAAABaQAAAPwEAPwAAgAAAAAAAPC/AgAAAAAAABRAAscX0qjsvRlAAAAAABgAAAD8CAD8AAIAAAAAAADwvwJ6BmE5YvsZQAIURTnK/3EZQAAAAAAYAAAA/AQA/AACAAAAAAAA8L8C0csfMtyrGkACW+5TiWnCHEAAAAAAGAAAAPwEAPwAAgAAAAAAAPC/Akoet6I2VxhAAuEGliwZMh9AAAAAABgAAAD8BAD8AAIAAAAAAADwvwLVQRKAYUoZQAKLRZ61szghQAAAAAAcAAAA/AQA/AACAAAAAAAA8L8CNK75Z+WTHEACYo9R4DufIUAAAAAAGAAAAPwEAPwAAgAAAAAAAPC/Anldj8c+6h5AAlZKNhYdZiBAAAAAABgAAAD8BAD8AAIAAAAAAADwvwJVj+53FPcdQAL7mG3R64wdQAAAAAAgAAAA/AgA/AACAAAAAAAA8L8CbAI4eEtbIEAC3UiAQcK8GUAAAAAAAREABAQAAAAAAAAECAQAAAAAAAAIDAQAAAAAAAAMEAQABAQAAAAQFAgIBAQAAAAUGAQABAQAAAAYHAQAAAAAAAAYIAQABAQAAAAgDAgMBAQAAAAgJAQAAAAAAAAkKAQABAAAAAAoLAQABAAAAAAsMAQABAAAAAAwNAQABAAAAAA0OAQABAAAAAA4JAQABAAAAAAIPAgAAAAAAAAAAAAA</t>
        </r>
      </text>
    </comment>
    <comment ref="D249" authorId="0">
      <text>
        <r>
          <rPr>
            <sz val="9"/>
            <color indexed="81"/>
            <rFont val="Tahoma"/>
            <family val="2"/>
          </rPr>
          <t>Insight iXlW00004C0000249R0841462918S00000248P01228LAocjBAQBF1NjaVRlZ2ljLmRhdGEuTW9sZWN1bGUBbQF/ARJTY2lUZWdpYy5Nb2xlY3VsZQAAAQFkAv5qAQAAAAIAAgERAWkAAAD8BAD8AAIAAAAAAADwvwJtF3rvpyAiQAKZL/nZL1sXQAAAAAAcAAAA/AgA/AACAAAAAAAA8L8C4JkrKnbIIEACQhhKCmEVF0AAAAAAGAAAAPwIAPwAAgAAAAAAAPC/AhURL0xjlh9AAiwxsEsE0xlAAAAAABgAAAD8CAD8AAIAAAAAAADwvwIJCys35zocQAKysQJW3HsZQAAAAAAcAAAA/AgA/AACAAAAAAAA8L8C1K2WMESJGkACOF7ju4SPFkAAAAAAHAAAAPwIAPwAAgAAAAAAAPC/AnXzGZyNOxdAAv3K0IGuRBdAAAAAABwAAAD8CAD8AAIAAAAAAADwvwKBpzJ5Zu0WQAIVt/lirJoaQAAAAAABaQAAAPwEAPwAAgAAAAAAAPC/AgAAAAAAABRAAtrzK0pWSxxAAAAAABgAAAD8CAD8AAIAAAAAAADwvwK9JiSJMPkZQAK5ss0+hf8bQAAAAAAYAAAA/AQA/AACAAAAAAAA8L8Cii6SzWmpGkACmEpO4bdOH0AAAAAAGAAAAPwEAPwAAgAAAAAAAPC/Aumn5AWfVRhAAkFBVlvB3iBAAAAAABgAAAD8BAD8AAIAAAAAAADwvwLwgyG2cEgZQAIJvZAK0H0iQAAAAAAcAAAA/AQA/AACAAAAAAAA8L8CmEzFC8CQHEACdI8/ozLkIkAAAAAAGAAAAPwEAPwAAgAAAAAAAPC/Avh8aek95h5AAveH0qiGqyFAAAAAABgAAAD8BAD8AAIAAAAAAADwvwJTysXFbPMdQAI+u4jrdwwgQAAAAAAgAAAA/AgA/AACAAAAAAAA8L8CfrMUoPZYIEACRXCKSSxKHEAAAAAAAWkAAAD8BAD8AAIAAAAAAADwvwLvxQH/JhcgQAIBAAAAAAAUQAAAAAABEgAEBAAAAAAAAAQIBAAAAAAAAAgMBAAAAAAAAAwQBAAEBAAAABAUCAgEBAAAABQYBAAEBAAAABgcBAAAAAAAABggBAAEBAAAACAMCAwEBAAAACAkBAAAAAAAACQoBAAEAAAAACgsBAAEAAAAACwwBAAEAAAAADA0BAAEAAAAADQ4BAAEAAAAADgkBAAEAAAAAAg8CAAAAAAAAAQBEAQAAAAAAAAAAAAA</t>
        </r>
      </text>
    </comment>
    <comment ref="D250" authorId="0">
      <text>
        <r>
          <rPr>
            <sz val="9"/>
            <color indexed="81"/>
            <rFont val="Tahoma"/>
            <family val="2"/>
          </rPr>
          <t>Insight iXlW00004C0000250R0841462918S00000249P01160LAocjBAQBF1NjaVRlZ2ljLmRhdGEuTW9sZWN1bGUBbQF/ARJTY2lUZWdpYy5Nb2xlY3VsZQAAAQFkAv5qAQAAAAIAAgEQAWkAAAD8BAD8AAIAAAAAAADwvwJWi8okpCMiQAJicTD89csUQAAAAAAcAAAA/AgA/AACAAAAAAAA8L8CuxKD7vPKIEACEp40hQ2GFEAAAAAAGAAAAPwIAPwAAgAAAAAAAPC/AmUgGtKkmh9AAuArOG6yRBdAAAAAABgAAAD8CAD8AAIAAAAAAADwvwJExckP7T0cQAK0opl6au0WQAAAAAAcAAAA/AgA/AACAAAAAAAA8L8CO2vF1KqLGkACAgAAAAAAFEAAAAAAHAAAAPwIAPwAAgAAAAAAAPC/Ah3fZqW9PBdAAnKjEFVstRRAAAAAABwAAAD8CAD8AAIAAAAAAADwvwL7GEHBee4WQAJyQmHkowwYQAAAAAABaQAAAPwEAPwAAgAAAAAAAPC/AgAAAAAAABRAAscX0qjsvRlAAAAAABgAAAD8CAD8AAIAAAAAAADwvwJ6BmE5YvsZQAIURTnK/3EZQAAAAAAYAAAA/AQA/AACAAAAAAAA8L8C0csfMtyrGkACW+5TiWnCHEAAAAAAGAAAAPwEAPwAAgAAAAAAAPC/Akoet6I2VxhAAuEGliwZMh9AAAAAABgAAAD8BAD8AAIAAAAAAADwvwLVQRKAYUoZQAKLRZ61szghQAAAAAAcAAAA/AQA/AACAAAAAAAA8L8CNK75Z+WTHEACYo9R4DufIUAAAAAAGAAAAPwEAPwAAgAAAAAAAPC/Anldj8c+6h5AAlZKNhYdZiBAAAAAABgAAAD8BAD8AAIAAAAAAADwvwJVj+53FPcdQAL7mG3R64wdQAAAAAAgAAAA/AgA/AACAAAAAAAA8L8CbAI4eEtbIEAC3UiAQcK8GUAAAAAAAREABAQAAAAAAAAECAQAAAAAAAAIDAQAAAAAAAAMEAQABAQAAAAQFAgIBAQAAAAUGAQABAQAAAAYHAQAAAAAAAAYIAQABAQAAAAgDAgMBAQAAAAgJAQAAAAAAAAkKAQABAAAAAAoLAQABAAAAAAsMAQABAAAAAAwNAQABAAAAAA0OAQABAAAAAA4JAQABAAAAAAIPAgAAAAAAAAAAAAA</t>
        </r>
      </text>
    </comment>
    <comment ref="D251" authorId="0">
      <text>
        <r>
          <rPr>
            <sz val="9"/>
            <color indexed="81"/>
            <rFont val="Tahoma"/>
            <family val="2"/>
          </rPr>
          <t>Insight iXlW00004C0000251R0841462918S00000250P01160LAocjBAQBF1NjaVRlZ2ljLmRhdGEuTW9sZWN1bGUBbQF/ARJTY2lUZWdpYy5Nb2xlY3VsZQAAAQFkAv5qAQAAAAIAAgEQAWkAAAD8BAD8AAIAAAAAAADwvwJWi8okpCMiQAJicTD89csUQAAAAAAcAAAA/AgA/AACAAAAAAAA8L8CuxKD7vPKIEACEp40hQ2GFEAAAAAAGAAAAPwIAPwAAgAAAAAAAPC/AmUgGtKkmh9AAuArOG6yRBdAAAAAABgAAAD8CAD8AAIAAAAAAADwvwJExckP7T0cQAK0opl6au0WQAAAAAAcAAAA/AgA/AACAAAAAAAA8L8CO2vF1KqLGkACAgAAAAAAFEAAAAAAHAAAAPwIAPwAAgAAAAAAAPC/Ah3fZqW9PBdAAnKjEFVstRRAAAAAABwAAAD8CAD8AAIAAAAAAADwvwL7GEHBee4WQAJyQmHkowwYQAAAAAABaQAAAPwEAPwAAgAAAAAAAPC/AgAAAAAAABRAAscX0qjsvRlAAAAAABgAAAD8CAD8AAIAAAAAAADwvwJ6BmE5YvsZQAIURTnK/3EZQAAAAAAYAAAA/AQA/AACAAAAAAAA8L8C0csfMtyrGkACW+5TiWnCHEAAAAAAGAAAAPwEAPwAAgAAAAAAAPC/Akoet6I2VxhAAuEGliwZMh9AAAAAABgAAAD8BAD8AAIAAAAAAADwvwLVQRKAYUoZQAKLRZ61szghQAAAAAAcAAAA/AQA/AACAAAAAAAA8L8CNK75Z+WTHEACYo9R4DufIUAAAAAAGAAAAPwEAPwAAgAAAAAAAPC/Anldj8c+6h5AAlZKNhYdZiBAAAAAABgAAAD8BAD8AAIAAAAAAADwvwJVj+53FPcdQAL7mG3R64wdQAAAAAAgAAAA/AgA/AACAAAAAAAA8L8CbAI4eEtbIEAC3UiAQcK8GUAAAAAAAREABAQAAAAAAAAECAQAAAAAAAAIDAQAAAAAAAAMEAQABAQAAAAQFAgIBAQAAAAUGAQABAQAAAAYHAQAAAAAAAAYIAQABAQAAAAgDAgMBAQAAAAgJAQAAAAAAAAkKAQABAAAAAAoLAQABAAAAAAsMAQABAAAAAAwNAQABAAAAAA0OAQABAAAAAA4JAQABAAAAAAIPAgAAAAAAAAAAAAA</t>
        </r>
      </text>
    </comment>
    <comment ref="D252" authorId="0">
      <text>
        <r>
          <rPr>
            <sz val="9"/>
            <color indexed="81"/>
            <rFont val="Tahoma"/>
            <family val="2"/>
          </rPr>
          <t>Insight iXlW00004C0000252R0841462918S00000251P01440LAocjBAQBF1NjaVRlZ2ljLmRhdGEuTW9sZWN1bGUBbQF/ARJTY2lUZWdpYy5Nb2xlY3VsZQAAAQFkAv5qAQAAAAIAAgEUGAAAAPwEAPwAAgAAAAAAAPC/AvnkmgCiyRRAAoDcw9+cEvi/AAAAABgAAAD8BAD8AAIAAAAAAADwvwIntNOvQjEPQAJSh0XkVxTovwAAAAAcAAAA/AQA/AACAAAAAAAA8L8CHZuA6zLKBEACWrY67IIB+L8AAAAAGAAAAPwIAPwAAgAAAAAAAPC/Au5aiZ3eyPQ/AnvHq2L8/+e/AAAAABgAAAD8CAD8AAIAAAAAAADwvwIqitBa2Mj0PwLTYaISEgDoPwAAAAAYAAAA/AgA/AACAAAAAAAA8L8CgUmWpuix4L4COepvNAEA+D8AAAAAGAAAAPwIAPwAAgAAAAAAAPC/AgS0xbPgyPS/AhLLAij1/+c/AAAAABgAAAD8CAD8AAIAAAAAAADwvwIDxg5x2sj0vwLWkvvXCgDovwAAAAAYAAAA/AgA/AACAAAAAAAA8L8CScpUOeHIBMACJqTJjfT/9z8AAAAAGAAAAPwIAPwAAgAAAAAAAPC/AkhBsFrkyATAAoxp5Eb6/wdAAAAAABgAAAD8CAD8AAIAAAAAAADwvwLaIY9a8Mj0vwLkqxuX/f8NQAAAAAAYAAAA/AgA/AACAAAAAAAA8L8CAADMiJRN774CPE+MgQEACEAAAAAAGAAAAPwIAPwAAgAAAAAAAPC/AiCKiqbosdA+AvIAcTQBAPi/AAAAABgAAAD8BAD8AAIAAAAAAADwvwJIFbm0icUEQAISPb6N3gAIwAAAAAAcAAAA/AQA/AACAAAAAAAA8L8CrLgFQzLHFEACvNeXck0JCMAAAAAAGAAAAPwEAPwAAgAAAAAAAPC/AvuTe+WHJw9AAoLonzQVBQ7AAAAAABgAAAD8CAD8AAIAAAAAAADwvwIctqhhVhwPQAL240n1YgMVwAAAAAAgAAAA/AQA/AACAAAAAAAA8L8Cw3QANNWxBEAC1e7y5Mz/F8AAAAAAGAAAAPwEAPwAAgAAAAAAAPC/Aq+w6hHhqARAAmOiS5uXzBzAAAAAACAAAAD8CAD8AAIAAAAAAADwvwJ+EcuQSrQTQALXqTSeUm0XwAAAAAABFgAEBAAEAAAAAAQIBAAEAAAAAAgMBAAAAAAAAAwQCAAEBAAAABAUBAAEBAAAABQYCAAEBAAAABgcBAAEBAAAABggBAAEBAAAACAkCAAEBAAAACQoBAAEBAAAACgsCAAEBAAAACwUBAAEBAAAAAwwBAAEBAAAADAcCAAEBAAAAAg0BAAEAAAAAAA4BAAEAAAAADg8BAAEAAAAADw0BAAEAAAAADwBEAQAAAAAAAABEAERBAAAAAAAAAERARIEAAAAAAAAARABEwgAAAAAAAAAAAAA</t>
        </r>
      </text>
    </comment>
    <comment ref="D253" authorId="0">
      <text>
        <r>
          <rPr>
            <sz val="9"/>
            <color indexed="81"/>
            <rFont val="Tahoma"/>
            <family val="2"/>
          </rPr>
          <t>Insight iXlW00004C0000253R0841462918S00000252P01228LAocjBAQBF1NjaVRlZ2ljLmRhdGEuTW9sZWN1bGUBbQF/ARJTY2lUZWdpYy5Nb2xlY3VsZQAAAQFkAv5qAQAAAAIAAgERGAAAAPwIAPwAAgAAAAAAAPC/Au5aiZ3eyPQ/AnvHq2L8/+e/AAAAABgAAAD8CAD8AAIAAAAAAADwvwIqitBa2Mj0PwLTYaISEgDoPwAAAAAYAAAA/AgA/AACAAAAAAAA8L8CgUmWpuix4L4COepvNAEA+D8AAAAAGAAAAPwEAPwAAgAAAAAAAPC/AkJBHuoUs/C+AnGPNdqwAQhAAAAAACQAAAD8BAD8AAIAAAAAAADwvwKys7uki6HwvwLLxiH1zc0MQAAAAAAkAAAA/AQA/AACAAAAAAAA8L8CLbey3m1vQ78CssyWMKXNEEAAAAAAGAAAAPwIAPwAAgAAAAAAAPC/AhT82qDAyfQ/AuHTCLc8BA5AAAAAACAAAAD8CAD8AAIAAAAAAADwvwLU4kDJnbUCQAKHnBycHzgJQAAAAAAcAAAA/AgA/AACAAAAAAAA8L8CTma6RrjJ9D8Cwa7BevYCFUAAAAAAGAAAAPwEAPwAAgAAAAAAAPC/An0mNz0dxgRAAo88nL/FBRhAAAAAABgAAAD8BAD8AAIAAAAAAADwvwKEgw9b178EQAL05b3txAUeQAAAAAAcAAAA/AQA/AACAAAAAAAA8L8CarApLpCw9D8CgzjpuYaBIEAAAAAAGAAAAPwEAPwAAgAAAAAAAPC/AgBnM1qsBHK/AijQmxhXAB5AAAAAABgAAAD8BAD8AAIAAAAAAADwvwIAvD4RUvRVvwIlm+7pVwAYQAAAAAAYAAAA/AgA/AACAAAAAAAA8L8CBLTFs+DI9L8CEssCKPX/5z8AAAAAGAAAAPwIAPwAAgAAAAAAAPC/AgPGDnHayPS/AtaS+9cKAOi/AAAAABgAAAD8CAD8AAIAAAAAAADwvwIgioqm6LHQPgLyAHE0AQD4vwAAAAABEgAECAAEBAAAAAQIBAAEBAAAAAgMBAAAAAAAAAwQBAAAAAAAAAwUBAAAAAAAAAwYBAAAAAAAABgcCAAAAAAAABggBAAAAAAAACAkBAAEAAAAACQoBAAEAAAAACgsBAAEAAAAACwwBAAEAAAAADA0BAAEAAAAADQgBAAEAAAAAAg4CAAEBAAAADg8BAAEBAAAADwBEAgABAQAAAABEAAEAAQEAAAAAAAAAA==</t>
        </r>
      </text>
    </comment>
    <comment ref="D254" authorId="0">
      <text>
        <r>
          <rPr>
            <sz val="9"/>
            <color indexed="81"/>
            <rFont val="Tahoma"/>
            <family val="2"/>
          </rPr>
          <t>Insight iXlW00004C0000254R0841462918S00000253P01664LAocjBAQBF1NjaVRlZ2ljLmRhdGEuTW9sZWN1bGUBbQF/ARJTY2lUZWdpYy5Nb2xlY3VsZQAAAQFkAv5qAQAAAAIAAgEXGAAAAPwIAPwAAgAAAAAAAPC/AqKK/fNdhh9AAiJZ8+ehUR1AAAAAABgAAAD8CAD8AAIAAAAAAADwvwJ626EUXYYfQAK2xG+RglIgQAAAAAAcAAAA/AgA/AACAAAAAAAA8L8Cdv0RU2n/IEACuWSoGyZvIUAAAAAAGAAAAPwIAPwAAgAAAAAAAPC/Apsf5GtDUiBAArDS3jwJ9CJAAAAAABgAAAD8BAD8AAIAAAAAAADwvwJwsl1nNichQALfbGnW4WQkQAAAAAAYAAAA/AQA/AACAAAAAAAA8L8CCS9x1U/OIkACSp6yKo+EJEAAAAAAGAAAAPwEAPwAAgAAAAAAAPC/AuMpwCjXNSBAAiaSrE0fxCVAAAAAABgAAAD8BAD8AAIAAAAAAADwvwJ49AQsV+4gQAJu8aEMwUMnQAAAAAAYAAAA/AQA/AACAAAAAAAA8L8CBc4jU9OWIkACnYSa4cljJ0AAAAAAHAAAAPwEAPwAAgAAAAAAAPC/AuJS6ZLPhiNAAnZzkwUxBCZAAAAAABwAAAD8CAD8AAIAAAAAAADwvwKFgqy1zlUdQAKugYk1icciQAAAAAAcAAAA/AgA/AACAAAAAAAA8L8C7+38bwqlHEAChZe6nFonIUAAAAAAGAAAAPwIAPwAAgAAAAAAAPC/AiCHYRq5wxlAAqifKJaBUiBAAAAAABwAAAD8BAD8AAIAAAAAAADwvwKoHKOjHeEWQAKIRgq2tSYhQAAAAAABaQAAAPwEAPwAAgAAAAAAAPC/AgAAAAAAABRAAhkGV2I4USBAAAAAABwAAAD8CAD8AAIAAAAAAADwvwJJNr35ucMZQAIvvsDQoFEdQAAAAAAYAAAA/AgA/AACAAAAAAAA8L8CQEy0LgylHEAC/EB9SvCnG0AAAAAAGAAAAPwIAPwAAgAAAAAAAPC/AtQjYp4MpRxAAvVJAdONVBhAAAAAACAAAAD8BAD8AAIAAAAAAADwvwL5jQCZMsQZQALHNNwzG6kWQAAAAAABaQAAAPwEAPwAAgAAAAAAAPC/AhcE/l0rxRlAAv///////xNAAAAAABgAAAD8CAD8AAIAAAAAAADwvwKwr0TvXoYfQALDzL1M3aoWQAAAAAAYAAAA/AgA/AACAAAAAAAA8L8CFzxRTNgzIUACA29Izo5UGEAAAAAAGAAAAPwIAPwAAgAAAAAAAPC/Aj8LcCLYMyFAAkB67Q3xpxtAAAAAAAEaAAQEAAQEAAAABAgIDAQEAAAACAwEAAQEAAAAEAwEAAAAAAAAEBQEAAQAAAAAEBgEAAQAAAAAGBwEAAQAAAAAHCAEAAQAAAAAICQEAAQAAAAAJBQEAAQAAAAADCgICAQEAAAABCwEAAQEAAAALCgEAAQEAAAALDAEAAQEAAAAMDQEAAAAAAAANDgEAAAAAAAAMDwICAQEAAAAAAEQCAgEBAAAAAEQPAQABAQAAAABEAERBAAEBAAAAAERARIEAAAAAAAAARIBEwQAAAAAAAABEQEUCAgEBAAAAAEUARUEAAQEAAAAARUBFggIBAQAAAABFgAEAAQEAAAAAAAAAA==</t>
        </r>
      </text>
    </comment>
    <comment ref="D255" authorId="0">
      <text>
        <r>
          <rPr>
            <sz val="9"/>
            <color indexed="81"/>
            <rFont val="Tahoma"/>
            <family val="2"/>
          </rPr>
          <t>Insight iXlW00004C0000255R0841462918S00000254P01308LAocjBAQBF1NjaVRlZ2ljLmRhdGEuTW9sZWN1bGUBbQF/ARJTY2lUZWdpYy5Nb2xlY3VsZQAAAQFkAv5qAQAAAAIAAgESIAAAAPwIAPwAAgAAAAAAAPC/Ag6jY5I2XyJAAq9h9HauVhlAAAAAABgAAAD8CAD8AAIAAAAAAADwvwK7OZ5XoDchQALagsw1/qsaQAAAAAAcAAAA/AgA/AACAAAAAAAA8L8CuaSu5p83IUACU4kOAEgBHkAAAAAAGAAAAPwIAPwAAgAAAAAAAPC/AkTqFRBIjB9AAsYdrT3rqx9AAAAAABgAAAD8CAD8AAIAAAAAAADwvwL8RQuhRowfQAJ/n9l1moAhQAAAAAAYAAAA/AgA/AACAAAAAAAA8L8Cy1HUck6pHEAClywTzutVIkAAAAAAGAAAAPwIAPwAAgAAAAAAAPC/AuSWlyRYxhlAApcIsfiYgCFAAAAAABgAAAD8CAD8AAIAAAAAAADwvwKbfyVtUakcQAKHhZznRQEeQAAAAAAYAAAA/AgA/AACAAAAAAAA8L8CLDuik1nGGUACO/92QemrH0AAAAAAAWkAAAD8BAD8AAIAAAAAAADwvwLFs9ALwKkiQAKpYiLJpKofQAAAAAAgAAAA/AQA/AACAAAAAAAA8L8CDVmYt0mMH0ACH0ojiVkBGUAAAAAAGAAAAPwEAPwAAgAAAAAAAPC/AmDEyDJSqRxAApRzsTf9qxpAAAAAABgAAAD8BAD8AAIAAAAAAADwvwIo/xnv/MUZQAInQ4SeIQEZQAAAAAAYAAAA/AQA/AACAAAAAAAA8L8CH/pw7kjiFkACZVleJ5GqGkAAAAAAGAAAAPwEAPwAAgAAAAAAAPC/AgAAAAAAABRAAlwNrri//hhAAAAAABwAAAD8BAD8AAIAAAAAAADwvwKTq3ahWwEUQALrxTpBd6kVQAAAAAAYAAAA/AQA/AACAAAAAAAA8L8ChjaaTQDlFkACAQAAAAAAFEAAAAAAGAAAAPwEAPwAAgAAAAAAAPC/AmfgvpBJxxlAAsfRhOHQqxVAAAAAAAEUAAQIAAAAAAAABAgEAAQAAAAACAwEAAQAAAAADBAIDAQEAAAAEBQEAAQEAAAAFBgICAQEAAAADBwEAAQEAAAAHCAICAQEAAAAIBgEAAQEAAAACCQEAAAAAAAABCgEAAQAAAAAKCwEAAQAAAAALBwEAAQAAAAALDAEAAAAAAAAMDQEAAQAAAAANDgEAAQAAAAAODwEAAQAAAAAPAEQBAAEAAAAAAEQAREEAAQAAAAAAREwBAAEAAAAAAAAAAA=</t>
        </r>
      </text>
    </comment>
    <comment ref="D256" authorId="0">
      <text>
        <r>
          <rPr>
            <sz val="9"/>
            <color indexed="81"/>
            <rFont val="Tahoma"/>
            <family val="2"/>
          </rPr>
          <t>Insight iXlW00004C0000256R0841462918S00000255P00960LAocjBAQBF1NjaVRlZ2ljLmRhdGEuTW9sZWN1bGUBbQF/ARJTY2lUZWdpYy5Nb2xlY3VsZQAAAQFkAv5qAQAAAAIAAjQYAAAA/AQA/AACAAAAAAAA8L8CXRws5P4JGUAC////////E0AAAAAAGAAAAPwEAPwAAgAAAAAAAPC/AjPbrWn+txpAAp8C8+2Y4xZAAAAAABwAAAD8CAD8AAIAAAAAAADwvwKn5BEL/mUcQAI+BebbMccZQAAAAAABaQAAAPwEAPwAAgAAAAAAAPC/ApkL2YjXuhpAAhZ1HoO7rhxAAAAAABgAAAD8CAD8AAIAAAAAAADwvwKQ99lN/cEfQAI+BebbMccZQAAAAAAgAAAA/AgA/AACAAAAAAAA8L8CxAykS/KLIEACtiDbK3cZHEAAAAAAGAAAAPwEAPwAAgAAAAAAAPC/AjPbrWn+tyBAAp8C8+2Y4xZAAAAAABgAAAD8BAD8AAIAAAAAAADwvwKQ99lN/cEfQAL///////8TQAAAAAAYAAAA/AQA/AACAAAAAAAA8L8Cp+QRC/5lHEAC////////E0AAAAAAGAAAAPwEAPwAAgAAAAAAAPC/Al0cLOT+CRlAAj4F5tsxxxlAAAAAABgAAAD8BAD8AAIAAAAAAADwvwJ1CWSh/60VQAI+BebbMccZQAAAAAAcAAAA/AQA/AACAAAAAAAA8L8CAAAAAAAAFEACnwLz7ZjjFkAAAAAAGAAAAPwEAPwAAgAAAAAAAPC/AnUJZKH/rRVAAv///////xNAAAAAADgABAQABAAAAAAECAQABAAAAAAIDAQAAAAAAAAIEAQABAAAAAAQFAgAAAAAAAAQGAQABAAAAAAYHAQABAAAAAAcIAQABAAAAAAgBAQABAAAAAAEJAQABAAAAAAkKAQABAAAAAAoLAQABAAAAAAsMAQABAAAAAAwAAQABAAAAAAAAAAA</t>
        </r>
      </text>
    </comment>
    <comment ref="D257" authorId="0">
      <text>
        <r>
          <rPr>
            <sz val="9"/>
            <color indexed="81"/>
            <rFont val="Tahoma"/>
            <family val="2"/>
          </rPr>
          <t>Insight iXlW00004C0000257R0841462918S00000256P00764LAocjBAQBF1NjaVRlZ2ljLmRhdGEuTW9sZWN1bGUBbQF/ARJTY2lUZWdpYy5Nb2xlY3VsZQAAAQFkAv5qAQAAAAIBAigYAAAA/AQA/AACAAAAAAAA8L8C7lqJnd7I9D8Ce8erYvz/578AAAAAGAAAAPwEAPwAAgAAAAAAAPC/AiqK0FrYyPQ/AtNhohISAOg/AAAAABwAAAD8BAD8AAIAAAAAAADwvwIgioqm6LHQPgLyAHE0AQD4vwAAAAAYAAAA/AQA/AACAAAAAAAA8L8CA8YOcdrI9L8C1pL71woA6L8AAAAAGAgAAAQEAPwAAgAAAAAAAPC/AgS0xbPgyPS/AhLLAij1/+c/AAAAABgAAAD8BAD8AAIAAAAAAADwvwIc4u8gh04DwAI6wvUzHQz8PwAAAAAYAAAA/AQA/AACAAAAAAAA8L8CWSHhPxPa/L8CaipEhXj8CEAAAAAAGAwAAAQEAPwAAgAAAAAAAPC/AoFJlqboseC+AjnqbzQBAPg/AAAAABwAAAD8BAD8AAIAAAAAAADwvwJOjeNy7O7TvwLeoR0jXrsHQAAAAAAYAAAA/AQA/AACAAAAAAAA8L8CYpdjS/J13z8C+FFxE5XdDkAAAAAALAAEBAAEAAAAAAAIBAAEAAAAAAgMBAAEAAAAABAMBBAEAAAAABAUBAAEAAAAABQYBAAEAAAAABAcBAAEAAAAABwEBBAEAAAAABwgBAAEAAAAACAYBAAEAAAAACAkBAAAAAAAAAAAAAA=</t>
        </r>
      </text>
    </comment>
    <comment ref="D258" authorId="0">
      <text>
        <r>
          <rPr>
            <sz val="9"/>
            <color indexed="81"/>
            <rFont val="Tahoma"/>
            <family val="2"/>
          </rPr>
          <t>Insight iXlW00004C0000258R0841462918S00000257P01160LAocjBAQBF1NjaVRlZ2ljLmRhdGEuTW9sZWN1bGUBbQF/ARJTY2lUZWdpYy5Nb2xlY3VsZQAAAQFkAv5qAQAAAAIAAgEQGAAAAPwEAPwAAgAAAAAAAPC/AuEJH21Egx9AAgAAAAAAABRAAAAAABwAAAD8BAD8AAIAAAAAAADwvwJRI37SJSoeQAI/R9t53FcWQAAAAAAYAAAA/AQA/AACAAAAAAAA8L8CdVFp6TDcH0AClqysWWpCGUAAAAAAGAAAAPwEAPwAAgAAAAAAAPC/Asw/KgAexyBAAkos1FX4LBxAAAAAABgAAAD8BAD8AAIAAAAAAADwvwLwbRUXKXkiQAJKLNRV+CwcQAAAAAAcAAAA/AQA/AACAAAAAAAA8L8CAgWLoi5SI0AClqysWWpCGUAAAAAAGAAAAPwEAPwAAgAAAAAAAPC/AvBtFRcpeSJAAj9H23ncVxZAAAAAABgAAAD8BAD8AAIAAAAAAADwvwLMPyoAHscgQAI/R9t53FcWQAAAAAAYAAAA/AQA/AACAAAAAAAA8L8CUSN+0iUqHkACSizUVfgsHEAAAAAAGAAAAPwEAPwAAgAAAAAAAPC/Aq6sUYgPxhpAAkos1FX4LBxAAAAAABwAAAD8CAD8AAIAAAAAAADwvwKC3kgXzxMZQAIuAJnzuBkfQAAAAAAYAAAA/AgA/AACAAAAAAAA8L8CPf9130OyFUACvA8X/YsYH0AAAAAAAWkAAAD8BAD8AAIAAAAAAADwvwIAAAAAAAAUQAJuFdEmogIhQAAAAAAgAAAA/AgA/AACAAAAAAAA8L8C6fN/1z1ZFEACzpouWKHAHEAAAAAAGAAAAPwEAPwAAgAAAAAAAPC/Aop+ZnEEFBlAApasrFlqQhlAAAAAABgAAAD8BAD8AAIAAAAAAADwvwKurFGID8YaQAI/R9t53FcWQAAAAAABEQAEBAAAAAAAAAQIBAAEAAAAAAgMBAAEAAAAAAwQBAAEAAAAABAUBAAEAAAAABQYBAAEAAAAABgcBAAEAAAAABwIBAAEAAAAAAggBAAEAAAAACAkBAAEAAAAACQoBAAAAAAAACgsBAAAAAAAACwwBAAAAAAAACw0CAAAAAAAACQ4BAAEAAAAADg8BAAEAAAAADwEBAAEAAAAAAAAAAA=</t>
        </r>
      </text>
    </comment>
    <comment ref="D259" authorId="0">
      <text>
        <r>
          <rPr>
            <sz val="9"/>
            <color indexed="81"/>
            <rFont val="Tahoma"/>
            <family val="2"/>
          </rPr>
          <t>Insight iXlW00004C0000259R0841462918S00000258P01160LAocjBAQBF1NjaVRlZ2ljLmRhdGEuTW9sZWN1bGUBbQF/ARJTY2lUZWdpYy5Nb2xlY3VsZQAAAQFkAv5qAQAAAAIAAgEQGAAAAPwEAPwAAgAAAAAAAPC/AuEJH21Egx9AAgAAAAAAABRAAAAAABwAAAD8BAD8AAIAAAAAAADwvwJRI37SJSoeQAI/R9t53FcWQAAAAAAYAAAA/AQA/AACAAAAAAAA8L8CdVFp6TDcH0AClqysWWpCGUAAAAAAGAAAAPwEAPwAAgAAAAAAAPC/Asw/KgAexyBAAkos1FX4LBxAAAAAABgAAAD8BAD8AAIAAAAAAADwvwLwbRUXKXkiQAJKLNRV+CwcQAAAAAAcAAAA/AQA/AACAAAAAAAA8L8CAgWLoi5SI0AClqysWWpCGUAAAAAAGAAAAPwEAPwAAgAAAAAAAPC/AvBtFRcpeSJAAj9H23ncVxZAAAAAABgAAAD8BAD8AAIAAAAAAADwvwLMPyoAHscgQAI/R9t53FcWQAAAAAAYAAAA/AQA/AACAAAAAAAA8L8CUSN+0iUqHkACSizUVfgsHEAAAAAAGAAAAPwEAPwAAgAAAAAAAPC/Aq6sUYgPxhpAAkos1FX4LBxAAAAAABwAAAD8CAD8AAIAAAAAAADwvwKC3kgXzxMZQAIuAJnzuBkfQAAAAAAYAAAA/AgA/AACAAAAAAAA8L8CPf9130OyFUACvA8X/YsYH0AAAAAAAWkAAAD8BAD8AAIAAAAAAADwvwIAAAAAAAAUQAJuFdEmogIhQAAAAAAgAAAA/AgA/AACAAAAAAAA8L8C6fN/1z1ZFEACzpouWKHAHEAAAAAAGAAAAPwEAPwAAgAAAAAAAPC/Aop+ZnEEFBlAApasrFlqQhlAAAAAABgAAAD8BAD8AAIAAAAAAADwvwKurFGID8YaQAI/R9t53FcWQAAAAAABEQAEBAAAAAAAAAQIBAAEAAAAAAgMBAAEAAAAAAwQBAAEAAAAABAUBAAEAAAAABQYBAAEAAAAABgcBAAEAAAAABwIBAAEAAAAAAggBAAEAAAAACAkBAAEAAAAACQoBAAAAAAAACgsBAAAAAAAACwwBAAAAAAAACw0CAAAAAAAACQ4BAAEAAAAADg8BAAEAAAAADwEBAAEAAAAAAAAAAA=</t>
        </r>
      </text>
    </comment>
    <comment ref="D260" authorId="0">
      <text>
        <r>
          <rPr>
            <sz val="9"/>
            <color indexed="81"/>
            <rFont val="Tahoma"/>
            <family val="2"/>
          </rPr>
          <t>Insight iXlW00004C0000260R0841462918S00000259P01228LAocjBAQBF1NjaVRlZ2ljLmRhdGEuTW9sZWN1bGUBbQF/ARJTY2lUZWdpYy5Nb2xlY3VsZQAAAQFkAv5qAQAAAAIAAgERGAAAAPwEAPwAAgAAAAAAAPC/AuikN+/ObyFAAgAAAAAAABRAAAAAABwAAAD8BAD8AAIAAAAAAADwvwJ1JULPe8MgQAJ188UnC1cWQAAAAAAYAAAA/AQA/AACAAAAAAAA8L8CcAS6pjWcIUAChs5qvpRAGUAAAAAAGAAAAPwEAPwAAgAAAAAAAPC/AmzjMX7vdCJAApapD1UeKhxAAAAAABgAAAD8BAD8AAIAAAAAAADwvwLle0o7YyYkQAKWqQ9VHiocQAAAAAAcAAAA/AQA/AACAAAAAAAA8L8C4FrCEh3/JEAChs5qvpRAGUAAAAAAGAAAAPwEAPwAAgAAAAAAAPC/AuV7SjtjJiRAAnXzxScLVxZAAAAAABgAAAD8BAD8AAIAAAAAAADwvwJs4zF+73QiQAJ188UnC1cWQAAAAAAYAAAA/AQA/AACAAAAAAAA8L8CdSVCz3vDIEAClqkPVR4qHEAAAAAAGAAAAPwEAPwAAgAAAAAAAPC/AvkZUyQQJB5AApapD1UeKhxAAAAAABwAAAD8CAD8AAIAAAAAAADwvwKniIwjZ3IcQAI+6sLE2RUfQAAAAAAYAAAA/AgA/AACAAAAAAAA8L8CyQIcyQkSGUACgLSUNa0UH0AAAAAAHAAAAPwIAPwAAgAAAAAAAPC/At6FcFpdYBdAAtzQ1DowACFAAAAAAAFpAAAA/AQA/AACAAAAAAAA8L8CAAAAAAAAFEAC/bU985n/IEAAAAAAIAAAAPwIAPwAAgAAAAAAAPC/AjT+Cxh8uRdAAoqJosiTvRxAAAAAABgAAAD8BAD8AAIAAAAAAADwvwICXGN1nHIcQAKGzmq+lEAZQAAAAAAYAAAA/AQA/AACAAAAAAAA8L8C+RlTJBAkHkACdfPFJwtXFkAAAAAAARIABAQAAAAAAAAECAQABAAAAAAIDAQABAAAAAAMEAQABAAAAAAQFAQABAAAAAAUGAQABAAAAAAYHAQABAAAAAAcCAQABAAAAAAIIAQABAAAAAAgJAQABAAAAAAkKAQAAAAAAAAoLAQAAAAAAAAsMAQAAAAAAAAwNAQAAAAAAAAsOAgAAAAAAAAkPAQABAAAAAA8ARAEAAQAAAAAARAEBAAEAAAAAAAAAAA=</t>
        </r>
      </text>
    </comment>
    <comment ref="D261" authorId="0">
      <text>
        <r>
          <rPr>
            <sz val="9"/>
            <color indexed="81"/>
            <rFont val="Tahoma"/>
            <family val="2"/>
          </rPr>
          <t>Insight iXlW00004C0000261R0841462918S00000260P01228LAocjBAQBF1NjaVRlZ2ljLmRhdGEuTW9sZWN1bGUBbQF/ARJTY2lUZWdpYy5Nb2xlY3VsZQAAAQFkAv5qAQAAAAIAAgERGAAAAPwEAPwAAgAAAAAAAPC/AuikN+/ObyFAAgAAAAAAABRAAAAAABwAAAD8BAD8AAIAAAAAAADwvwJ1JULPe8MgQAJ188UnC1cWQAAAAAAYAAAA/AQA/AACAAAAAAAA8L8CcAS6pjWcIUAChs5qvpRAGUAAAAAAGAAAAPwEAPwAAgAAAAAAAPC/AmzjMX7vdCJAApapD1UeKhxAAAAAABgAAAD8BAD8AAIAAAAAAADwvwLle0o7YyYkQAKWqQ9VHiocQAAAAAAcAAAA/AQA/AACAAAAAAAA8L8C4FrCEh3/JEAChs5qvpRAGUAAAAAAGAAAAPwEAPwAAgAAAAAAAPC/AuV7SjtjJiRAAnXzxScLVxZAAAAAABgAAAD8BAD8AAIAAAAAAADwvwJs4zF+73QiQAJ188UnC1cWQAAAAAAYAAAA/AQA/AACAAAAAAAA8L8CdSVCz3vDIEAClqkPVR4qHEAAAAAAGAAAAPwEAPwAAgAAAAAAAPC/AvkZUyQQJB5AApapD1UeKhxAAAAAABwAAAD8CAD8AAIAAAAAAADwvwKniIwjZ3IcQAI+6sLE2RUfQAAAAAAYAAAA/AgA/AACAAAAAAAA8L8CyQIcyQkSGUACgLSUNa0UH0AAAAAAHAAAAPwIAPwAAgAAAAAAAPC/At6FcFpdYBdAAtzQ1DowACFAAAAAAAFpAAAA/AQA/AACAAAAAAAA8L8CAAAAAAAAFEAC/bU985n/IEAAAAAAIAAAAPwIAPwAAgAAAAAAAPC/AjT+Cxh8uRdAAoqJosiTvRxAAAAAABgAAAD8BAD8AAIAAAAAAADwvwICXGN1nHIcQAKGzmq+lEAZQAAAAAAYAAAA/AQA/AACAAAAAAAA8L8C+RlTJBAkHkACdfPFJwtXFkAAAAAAARIABAQAAAAAAAAECAQABAAAAAAIDAQABAAAAAAMEAQABAAAAAAQFAQABAAAAAAUGAQABAAAAAAYHAQABAAAAAAcCAQABAAAAAAIIAQABAAAAAAgJAQABAAAAAAkKAQAAAAAAAAoLAQAAAAAAAAsMAQAAAAAAAAwNAQAAAAAAAAsOAgAAAAAAAAkPAQABAAAAAA8ARAEAAQAAAAAARAEBAAEAAAAAAAAAAA=</t>
        </r>
      </text>
    </comment>
    <comment ref="D262" authorId="0">
      <text>
        <r>
          <rPr>
            <sz val="9"/>
            <color indexed="81"/>
            <rFont val="Tahoma"/>
            <family val="2"/>
          </rPr>
          <t>Insight iXlW00004C0000262R0841462918S00000261P01228LAocjBAQBF1NjaVRlZ2ljLmRhdGEuTW9sZWN1bGUBbQF/ARJTY2lUZWdpYy5Nb2xlY3VsZQAAAQFkAv5qAQAAAAIAAgERGAAAAPwEAPwAAgAAAAAAAPC/AmZrNQwsoR9AAgEAAAAAABRAAAAAABwAAAD8BAD8AAIAAAAAAADwvwIPrHfjjEQeQALT8OKG8l0WQAAAAAAYAAAA/AQA/AACAAAAAAAA8L8C4L4Bg//6H0AC6SKQqxNQGUAAAAAAGAAAAPwEAPwAAgAAAAAAAPC/AgtyEgO52CBAAppCpOw0QhxAAAAAABgAAAD8BAD8AAIAAAAAAADwvwJClzWGK48iQAKaQqTsNEIcQAAAAAAcAAAA/AQA/AACAAAAAAAA8L8CqqD61WRqI0AC6SKQqxNQGUAAAAAAGAAAAPwEAPwAAgAAAAAAAPC/AkKXNYYrjyJAAtPw4obyXRZAAAAAABgAAAD8BAD8AAIAAAAAAADwvwILchIDudggQALT8OKG8l0WQAAAAAAYAAAA/AQA/AACAAAAAAAA8L8CD6x344xEHkACmkKk7DRCHEAAAAAAGAAAAPwEAPwAAgAAAAAAAPC/AqJhMd2n1xpAAppCpOw0QhxAAAAAABwAAAD8CAD8AAIAAAAAAADwvwLLKadu/yAZQAK7Wq9UjjYfQAAAAAABEAAAAPwEAPwAAgAAAAAAAPC/AoL9AN+rthVAAu5ECFdeNR9AAAAAAAFpAAAA/AQA/AACAAAAAAAA8L8CAAAAAAAAFEACQFepxNcUIUAAAAAAIAAAAPwIAPwAAgAAAAAAAPC/AqUSuqwlWhRAAtWr4GNd1xxAAAAAACAAAAD8CAD8AAIAAAAAAADwvwI1dBTGIBUXQAKur8n2etgcQAAAAAAYAAAA/AQA/AACAAAAAAAA8L8CazwOWjUhGUAC6SKQqxNQGUAAAAAAGAAAAPwEAPwAAgAAAAAAAPC/AqJhMd2n1xpAAtPw4obyXRZAAAAAAAESAAQEAAAAAAAABAgEAAQAAAAACAwEAAQAAAAADBAEAAQAAAAAEBQEAAQAAAAAFBgEAAQAAAAAGBwEAAQAAAAAHAgEAAQAAAAACCAEAAQAAAAAICQEAAQAAAAAJCgEAAAAAAAAKCwEAAAAAAAALDAEAAAAAAAALDQIAAAAAAAALDgIAAAAAAAAJDwEAAQAAAAAPAEQBAAEAAAAAAEQBAQABAAAAAAAAAAA</t>
        </r>
      </text>
    </comment>
    <comment ref="D263" authorId="0">
      <text>
        <r>
          <rPr>
            <sz val="9"/>
            <color indexed="81"/>
            <rFont val="Tahoma"/>
            <family val="2"/>
          </rPr>
          <t>Insight iXlW00004C0000263R0841462918S00000262P00896LAocjBAQBF1NjaVRlZ2ljLmRhdGEuTW9sZWN1bGUBbQF/ARJTY2lUZWdpYy5Nb2xlY3VsZQAAAQFkAv5qAQAAAAIAAjA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cAAAA/AQA/AACAAAAAAAA8L8CHZuA6zLKBEACWrY67IIB+L8AAAAAGAAAAPwEAPwAAgAAAAAAAPC/AmV1sE5GMQ9AAmJKObVWFOi/AAAAABgAAAD8BAD8AAIAAAAAAADwvwLHuC/SockUQAK+g4GcmxL4vwAAAAAcAAAA/AQA/AACAAAAAAAA8L8Cfwo/RTLHFEACRCse0UwJCMAAAAAAGAAAAPwEAPwAAgAAAAAAAPC/AlyFcBqIJw9AAphSeucUBQ7AAAAAABgAAAD8BAD8AAIAAAAAAADwvwI4Xee4icUEQAJGRsWU3gAIwAAAAAA0AAQIAAQEAAAABAgEAAQEAAAACAwIAAQEAAAADBAEAAQEAAAAEBQIAAQEAAAAFAAEAAQEAAAAABgEAAAAAAAAGBwEAAQAAAAAHCAEAAQAAAAAICQEAAQAAAAAJCgEAAQAAAAAKCwEAAQAAAAALBgEAAQAAAAAAAAAAA==</t>
        </r>
      </text>
    </comment>
    <comment ref="D264" authorId="0">
      <text>
        <r>
          <rPr>
            <sz val="9"/>
            <color indexed="81"/>
            <rFont val="Tahoma"/>
            <family val="2"/>
          </rPr>
          <t>Insight iXlW00004C0000264R0841462918S00000263P00620LAocjBAQBF1NjaVRlZ2ljLmRhdGEuTW9sZWN1bGUBbQF/ARJTY2lUZWdpYy5Nb2xlY3VsZQAAAQFkAv5qAQAAAAIAAiAcAAAA/AgA/AACAAAAAAAA8L8C7lqJnd7I9D8Ce8erYvz/578AAAAAGAAAAPwIAPwAAgAAAAAAAPC/AtgSh7guxwRAAmipXwejDPi/AAAAACAAAAD8CAD8AAIAAAAAAADwvwLYNqvqr8MEQAKunWN66p8FwAAAAAAYAAAA/AQA/AACAAAAAAAA8L8CKorQWtjI9D8C02GiEhIA6D8AAAAAGAAAAPwEAPwAAgAAAAAAAPC/AoFJlqboseC+AjnqbzQBAPg/AAAAABwAAAD8BAD8AAIAAAAAAADwvwIEtMWz4Mj0vwISywIo9f/nPwAAAAAYAAAA/AQA/AACAAAAAAAA8L8CA8YOcdrI9L8C1pL71woA6L8AAAAAGAAAAPwEAPwAAgAAAAAAAPC/AiCKiqbosdA+AvIAcTQBAPi/AAAAACAABAQAAAAAAAAECAgAAAAAAAAADAQABAAAAAAMEAQABAAAAAAQFAQABAAAAAAUGAQABAAAAAAYHAQABAAAAAAcAAQABAAAAAAAAAAA</t>
        </r>
      </text>
    </comment>
    <comment ref="D265" authorId="0">
      <text>
        <r>
          <rPr>
            <sz val="9"/>
            <color indexed="81"/>
            <rFont val="Tahoma"/>
            <family val="2"/>
          </rPr>
          <t>Insight iXlW00004C0000265R0841462918S00000264P00816LAocjBAQBF1NjaVRlZ2ljLmRhdGEuTW9sZWN1bGUBbQF/ARJTY2lUZWdpYy5Nb2xlY3VsZQAAAQFkAv5qAQAAAAIAAiwcAAAA/Ag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gA/AACAAAAAAAA8L8C2BKHuC7HBEACaKlfB6MM+L8AAAAAIAAAAPwIAPwAAgAAAAAAAPC/ArrbHCGpGQ1AApzFl5nj9Oy/AAAAACAAAAD8BAD8AAIAAAAAAADwvwJfUNOZz8IEQALwLG/2AAgIwAAAAAAYAAAA/AQA/AACAAAAAAAA8L8CAsnafYklD0ACCimSpFEODsAAAAAAGAAAAPwEAPwAAgAAAAAAAPC/AgHt/q8KIg9AAgL5ok310xPAAAAAACwABAQABAAAAAAECAQABAAAAAAIDAQABAAAAAAMEAQABAAAAAAQFAQABAAAAAAUAAQABAAAAAAAGAQAAAAAAAAYHAgAAAAAAAAYIAQAAAAAAAAgJAQAAAAAAAAkKAQAAAAAAAAAAAAA</t>
        </r>
      </text>
    </comment>
    <comment ref="D266" authorId="0">
      <text>
        <r>
          <rPr>
            <sz val="9"/>
            <color indexed="81"/>
            <rFont val="Tahoma"/>
            <family val="2"/>
          </rPr>
          <t>Insight iXlW00004C0000266R0841462918S00000265P00556LAocjBAQBF1NjaVRlZ2ljLmRhdGEuTW9sZWN1bGUBbQF/ARJTY2lUZWdpYy5Nb2xlY3VsZQAAAQFkAv5qAQAAAAIAAhwcAAAA/AQA/AACAAAAAAAA8L8C7lqJnd7I9D8Ce8erYvz/578AAAAAGAAAAPwEAPwAAgAAAAAAAPC/AlINlVrItAJAAsKpS2uUmfW/AAAAABgAAAD8BAD8AAIAAAAAAADwvwIqitBa2Mj0PwLTYaISEgDoPwAAAAAYAAAA/AQA/AACAAAAAAAA8L8CgUmWpuix4L4COepvNAEA+D8AAAAAHAAAAPwEAPwAAgAAAAAAAPC/AgS0xbPgyPS/AhLLAij1/+c/AAAAABgAAAD8BAD8AAIAAAAAAADwvwIDxg5x2sj0vwLWkvvXCgDovwAAAAAYAAAA/AQA/AACAAAAAAAA8L8CIIqKpuix0D4C8gBxNAEA+L8AAAAAHAAEBAAAAAAAAAAIBAAEAAAAAAgMBAAEAAAAAAwQBAAEAAAAABAUBAAEAAAAABQYBAAEAAAAABgABAAEAAAAAAAAAAA=</t>
        </r>
      </text>
    </comment>
    <comment ref="D267" authorId="0">
      <text>
        <r>
          <rPr>
            <sz val="9"/>
            <color indexed="81"/>
            <rFont val="Tahoma"/>
            <family val="2"/>
          </rPr>
          <t>Insight iXlW00004C0000267R0841462918S00000266P00948LAocjBAQBF1NjaVRlZ2ljLmRhdGEuTW9sZWN1bGUBbQF/ARJTY2lUZWdpYy5Nb2xlY3VsZQAAAQFkAv5qAQAAAAIAAjQcAAAA/AQ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QA/AACAAAAAAAA8L8C2BKHuC7HBEACaKlfB6MM+L8AAAAAGAAAAPwIAPwAAgAAAAAAAPC/Al9Q05nPwgRAAvAsb/YACAjAAAAAACAAAAD8CAD8AAIAAAAAAADwvwL5DntiquD4PwI9ELmTGdEMwAAAAAAcAAAA/AgA/AACAAAAAAAA8L8CAsnafYklD0ACCimSpFEODsAAAAAAGAAAAPwEAPwAAgAAAAAAAPC/AogGJ18qIQ9AAqLAqIsACBXAAAAAABgAAAD8BAD8AAIAAAAAAADwvwLWi74vfbcTQAKtWG/clnAXwAAAAAAYAAAA/AQA/AACAAAAAAAA8L8Cpj2R9q/OBkACSLJN2oxsF8AAAAAANAAEBAAEAAAAAAQIBAAEAAAAAAgMBAAEAAAAAAwQBAAEAAAAABAUBAAEAAAAABQABAAEAAAAAAAYBAAAAAAAABgcBAAAAAAAABwgCAAAAAAAABwkBAAAAAAAACQoBAAAAAAAACgsBAAAAAAAACgwBAAAAAAAAAAAAAA=</t>
        </r>
      </text>
    </comment>
    <comment ref="D268" authorId="0">
      <text>
        <r>
          <rPr>
            <sz val="9"/>
            <color indexed="81"/>
            <rFont val="Tahoma"/>
            <family val="2"/>
          </rPr>
          <t>Insight iXlW00004C0000268R0841462918S00000267P00492LAocjBAQBF1NjaVRlZ2ljLmRhdGEuTW9sZWN1bGUBbQF/ARJTY2lUZWdpYy5Nb2xlY3VsZQAAAQFkAv5qAQAAAAIAAhgYAAAA/AQA/AACAAAAAAAA8L8C7lqJnd7I9D8Ce8erYvz/578AAAAAHAAAAPwEAPwAAgAAAAAAAPC/AiqK0FrYyPQ/AtNhohISAOg/AAAAABgAAAD8BAD8AAIAAAAAAADwvwKBSZam6LHgvgI56m80AQD4PwAAAAAYAAAA/AQA/AACAAAAAAAA8L8CBLTFs+DI9L8CEssCKPX/5z8AAAAAARAAAAD8BAD8AAIAAAAAAADwvwIDxg5x2sj0vwLWkvvXCgDovwAAAAAYAAAA/AQA/AACAAAAAAAA8L8CIIqKpuix0D4C8gBxNAEA+L8AAAAAGAAEBAAEAAAAAAQIBAAEAAAAAAgMBAAEAAAAAAwQBAAEAAAAABAUBAAEAAAAABQABAAEAAAAAAAAAAA=</t>
        </r>
      </text>
    </comment>
    <comment ref="D269" authorId="0">
      <text>
        <r>
          <rPr>
            <sz val="9"/>
            <color indexed="81"/>
            <rFont val="Tahoma"/>
            <family val="2"/>
          </rPr>
          <t>Insight iXlW00004C0000269R0841462918S00000268P00732LAocjBAQBF1NjaVRlZ2ljLmRhdGEuTW9sZWN1bGUBbQF/ARJTY2lUZWdpYy5Nb2xlY3VsZQAAAQFkAv5qAQAAAAIAAigYAAAA/AQA/AACAAAAAAAA8L8CNjPDXCkhCMAAAAAAABgAAAD8BAD8AAIAAAAAAADwvwJoZpIF3xgCwALXeEHkW8D0PwAAAAAYAAAA/AQA/AACAAAAAAAA8L8CNjPDXCkh6L8C13hB5FvA9D8AAAAAHAAAAPwEAPwAAgAAAAAAAPC/AAAAAAAAGAAAAPwEAPwAAgAAAAAAAPC/AjYzw1wpIei/Atd4QeRbwPS/AAAAABgAAAD8BAD8AAIAAAAAAADwvwJoZpIF3xgCwALXeEHkW8D0vwAAAAAgAAAA/AQA/AACAAAAAAAA8L8CQzVi1okgD8AC+CicsLpN8z8AAAAAGAAAAPwEAPwAAgAAAAAAAPC/Ast2n1dYSxXAApYYjEuepec/AAAAABgAAAD8BAD8AAIAAAAAAADwvwLLdp9XWEsVwAI2M8NcKSHovwAAAAAgAAAA/AQA/AACAAAAAAAA8L8CQzVi1okgD8AC+CicsLpN878AAAAALAAEBAAEAAAAAAQIBAAEAAAAAAgMBAAEAAAAAAwQBAAEAAAAABAUBAAEAAAAABQABAAEAAAAAAAYBAAEAAAAABgcBAAEAAAAABwgBAAEAAAAACAkBAAEAAAAACQABAAEAAAAAAAAAAA=</t>
        </r>
      </text>
    </comment>
    <comment ref="D270" authorId="0">
      <text>
        <r>
          <rPr>
            <sz val="9"/>
            <color indexed="81"/>
            <rFont val="Tahoma"/>
            <family val="2"/>
          </rPr>
          <t>Insight iXlW00004C0000270R0841462918S00000269P00556LAocjBAQBF1NjaVRlZ2ljLmRhdGEuTW9sZWN1bGUBbQF/ARJTY2lUZWdpYy5Nb2xlY3VsZQAAAQFkAv5qAQAAAAIAAhwYAAAA/AQA/AACAAAAAAAA8L8C7lqJnd7I9D8Ce8erYvz/578AAAAAGAAAAPwEAPwAAgAAAAAAAPC/AlINlVrItAJAAsKpS2uUmfW/AAAAABwAAAD8BAD8AAIAAAAAAADwvwIqitBa2Mj0PwLTYaISEgDoPwAAAAAYAAAA/AQA/AACAAAAAAAA8L8CgUmWpuix4L4COepvNAEA+D8AAAAAGAAAAPwEAPwAAgAAAAAAAPC/AgS0xbPgyPS/AhLLAij1/+c/AAAAABgAAAD8BAD8AAIAAAAAAADwvwIDxg5x2sj0vwLWkvvXCgDovwAAAAAYAAAA/AQA/AACAAAAAAAA8L8CIIqKpuix0D4C8gBxNAEA+L8AAAAAHAAEBAAAAAAAAAAIBAAEAAAAAAgMBAAEAAAAAAwQBAAEAAAAABAUBAAEAAAAABQYBAAEAAAAABgABAAEAAAAAAAAAAA=</t>
        </r>
      </text>
    </comment>
    <comment ref="D271" authorId="0">
      <text>
        <r>
          <rPr>
            <sz val="9"/>
            <color indexed="81"/>
            <rFont val="Tahoma"/>
            <family val="2"/>
          </rPr>
          <t>Insight iXlW00004C0000271R0841462918S00000270P00948LAocjBAQBF1NjaVRlZ2ljLmRhdGEuTW9sZWN1bGUBbQF/ARJTY2lUZWdpYy5Nb2xlY3VsZQAAAQFkAv5qAQAAAAIAAjQYAAAA/AQA/AACAAAAAAAA8L8C7lqJnd7I9D8Ce8erYvz/578AAAAAGAAAAPwEAPwAAgAAAAAAAPC/AiqK0FrYyPQ/AtNhohISAOg/AAAAABwAAAD8BAD8AAIAAAAAAADwvwKBSZam6LHgvgI56m80AQD4PwAAAAAYAAAA/AQA/AACAAAAAAAA8L8CBLTFs+DI9L8CEssCKPX/5z8AAAAAGAAAAPwEAPwAAgAAAAAAAPC/AgPGDnHayPS/AtaS+9cKAOi/AAAAABgAAAD8BAD8AAIAAAAAAADwvwIgioqm6LHQPgLyAHE0AQD4vwAAAAAYAAAA/AgA/AACAAAAAAAA8L8C2BKHuC7HBEACaKlfB6MM+L8AAAAAIAAAAPwIAPwAAgAAAAAAAPC/ArrbHCGpGQ1AApzFl5nj9Oy/AAAAABwAAAD8CAD8AAIAAAAAAADwvwJfUNOZz8IEQALwLG/2AAgIwAAAAAAYAAAA/AQA/AACAAAAAAAA8L8CAsnafYklD0ACCimSpFEODsAAAAAAGAAAAPwEAPwAAgAAAAAAAPC/AgHt/q8KIg9AAgL5ok310xPAAAAAABgAAAD8BAD8AAIAAAAAAADwvwLrlPxDxrr0PwInARkitAkOwAAAAAAYAAAA/AQA/AACAAAAAAAA8L8C3JUmdTm59D8CyTHY2abRE8AAAAAANAAEBAAEAAAAAAQIBAAEAAAAAAgMBAAEAAAAAAwQBAAEAAAAABAUBAAEAAAAABQABAAEAAAAAAAYBAAAAAAAABgcCAAAAAAAABggBAAAAAAAACAkBAAAAAAAACQoBAAAAAAAACAsBAAAAAAAACwwBAAAAAAAAAAAAAA=</t>
        </r>
      </text>
    </comment>
    <comment ref="D272" authorId="0">
      <text>
        <r>
          <rPr>
            <sz val="9"/>
            <color indexed="81"/>
            <rFont val="Tahoma"/>
            <family val="2"/>
          </rPr>
          <t>Insight iXlW00004C0000272R0841462918S00000271P00556LAocjBAQBF1NjaVRlZ2ljLmRhdGEuTW9sZWN1bGUBbQF/ARJTY2lUZWdpYy5Nb2xlY3VsZQAAAQFkAv5qAQAAAAIAAhwYAAAA/AQA/AACAAAAAAAA8L8C7lqJnd7I9D8Ce8erYvz/578AAAAAGAAAAPwEAPwAAgAAAAAAAPC/AlINlVrItAJAAsKpS2uUmfW/AAAAABgAAAD8BAD8AAIAAAAAAADwvwIqitBa2Mj0PwLTYaISEgDoPwAAAAAcAAAA/AQA/AACAAAAAAAA8L8CgUmWpuix4L4COepvNAEA+D8AAAAAGAAAAPwEAPwAAgAAAAAAAPC/AgS0xbPgyPS/AhLLAij1/+c/AAAAABgAAAD8BAD8AAIAAAAAAADwvwIDxg5x2sj0vwLWkvvXCgDovwAAAAAYAAAA/AQA/AACAAAAAAAA8L8CIIqKpuix0D4C8gBxNAEA+L8AAAAAHAAEBAAAAAAAAAAIBAAEAAAAAAgMBAAEAAAAAAwQBAAEAAAAABAUBAAEAAAAABQYBAAEAAAAABgABAAEAAAAAAAAAAA=</t>
        </r>
      </text>
    </comment>
    <comment ref="D273" authorId="0">
      <text>
        <r>
          <rPr>
            <sz val="9"/>
            <color indexed="81"/>
            <rFont val="Tahoma"/>
            <family val="2"/>
          </rPr>
          <t>Insight iXlW00004C0000273R0841462918S00000272P00556LAocjBAQBF1NjaVRlZ2ljLmRhdGEuTW9sZWN1bGUBbQF/ARJTY2lUZWdpYy5Nb2xlY3VsZQAAAQFkAv5qAQAAAAIAAhwYAAAA/AQA/AACAAAAAAAA8L8C7lqJnd7I9D8Ce8erYvz/578AAAAAIAAAAPwEAPwAAgAAAAAAAPC/AlINlVrItAJAAsKpS2uUmfW/AAAAABgAAAD8BAD8AAIAAAAAAADwvwIqitBa2Mj0PwLTYaISEgDoPwAAAAAYAAAA/AQA/AACAAAAAAAA8L8CgUmWpuix4L4COepvNAEA+D8AAAAAHAAAAPwEAPwAAgAAAAAAAPC/AgS0xbPgyPS/AhLLAij1/+c/AAAAABgAAAD8BAD8AAIAAAAAAADwvwIDxg5x2sj0vwLWkvvXCgDovwAAAAAYAAAA/AQA/AACAAAAAAAA8L8CIIqKpuix0D4C8gBxNAEA+L8AAAAAHAAEBAAAAAAAAAAIBAAEAAAAAAgMBAAEAAAAAAwQBAAEAAAAABAUBAAEAAAAABQYBAAEAAAAABgABAAEAAAAAAAAAAA=</t>
        </r>
      </text>
    </comment>
    <comment ref="D274" authorId="0">
      <text>
        <r>
          <rPr>
            <sz val="9"/>
            <color indexed="81"/>
            <rFont val="Tahoma"/>
            <family val="2"/>
          </rPr>
          <t>Insight iXlW00004C0000274R0841462918S00000273P00816LAocjBAQBF1NjaVRlZ2ljLmRhdGEuTW9sZWN1bGUBbQF/ARJTY2lUZWdpYy5Nb2xlY3VsZQAAAQFkAv5qAQAAAAIAAiwYAAAA/AQ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gA/AACAAAAAAAA8L8C2BKHuC7HBEACaKlfB6MM+L8AAAAAIAAAAPwIAPwAAgAAAAAAAPC/ArrbHCGpGQ1AApzFl5nj9Oy/AAAAACAAAAD8BAD8AAIAAAAAAADwvwJfUNOZz8IEQALwLG/2AAgIwAAAAAAYAAAA/AQA/AACAAAAAAAA8L8CAsnafYklD0ACCimSpFEODsAAAAAAGAAAAPwEAPwAAgAAAAAAAPC/AgHt/q8KIg9AAgL5ok310xPAAAAAACwABAQABAAAAAAECAQABAAAAAAIDAQABAAAAAAMEAQABAAAAAAQFAQABAAAAAAUAAQABAAAAAAAGAQAAAAAAAAYHAgAAAAAAAAYIAQAAAAAAAAgJAQAAAAAAAAkKAQAAAAAAAAAAAAA</t>
        </r>
      </text>
    </comment>
    <comment ref="D275" authorId="0">
      <text>
        <r>
          <rPr>
            <sz val="9"/>
            <color indexed="81"/>
            <rFont val="Tahoma"/>
            <family val="2"/>
          </rPr>
          <t>Insight iXlW00004C0000275R0841462918S00000274P00556LAocjBAQBF1NjaVRlZ2ljLmRhdGEuTW9sZWN1bGUBbQF/ARJTY2lUZWdpYy5Nb2xlY3VsZQAAAQFkAv5qAQAAAAIAAhwYAAAA/AQA/AACAAAAAAAA8L8C7lqJnd7I9D8Ce8erYvz/578AAAAAGAAAAPwEAPwAAgAAAAAAAPC/AlINlVrItAJAAsKpS2uUmfW/AAAAABgAAAD8BAD8AAIAAAAAAADwvwIqitBa2Mj0PwLTYaISEgDoPwAAAAAYAAAA/AQA/AACAAAAAAAA8L8CgUmWpuix4L4COepvNAEA+D8AAAAAHAAAAPwEAPwAAgAAAAAAAPC/AgS0xbPgyPS/AhLLAij1/+c/AAAAABgAAAD8BAD8AAIAAAAAAADwvwIDxg5x2sj0vwLWkvvXCgDovwAAAAAYAAAA/AQA/AACAAAAAAAA8L8CIIqKpuix0D4C8gBxNAEA+L8AAAAAHAAEBAAAAAAAAAAIBAAEAAAAAAgMBAAEAAAAAAwQBAAEAAAAABAUBAAEAAAAABQYBAAEAAAAABgABAAEAAAAAAAAAAA=</t>
        </r>
      </text>
    </comment>
    <comment ref="D276" authorId="0">
      <text>
        <r>
          <rPr>
            <sz val="9"/>
            <color indexed="81"/>
            <rFont val="Tahoma"/>
            <family val="2"/>
          </rPr>
          <t>Insight iXlW00004C0000276R0841462918S00000275P00960LAocjBAQBF1NjaVRlZ2ljLmRhdGEuTW9sZWN1bGUBbQF/ARJTY2lUZWdpYy5Nb2xlY3VsZQAAAQFkAv5qAQAAAAIAAjQ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QA/AACAAAAAAAA8L8C2BKHuC7HBEACaKlfB6MM+L8AAAAAGAAAAPwEAPwAAgAAAAAAAPC/Al9Q05nPwgRAAvAsb/YACAjAAAAAABgAAAD8BAD8AAIAAAAAAADwvwLbVRxL4SEPQAIz8CxBYhEOwAAAAAAYAAAA/AQA/AACAAAAAAAA8L8CU+Cq+EEXD0ACM4DNxq4IFcAAAAAAHAAAAPwEAPwAAgAAAAAAAPC/Ag8PJaOIrQRAAsMK7GYUBBjAAAAAABgAAAD8BAD8AAIAAAAAAADwvwJ0UNQo25z0PwJ+jnmtfP8UwAAAAAAYAAAA/AQA/AACAAAAAAAA8L8Cyuk+oRWy9D8CblOsDP7+DcAAAAAAOAAECAAEBAAAAAQIBAAEBAAAAAgMCAAEBAAAAAwQBAAEBAAAABAUCAAEBAAAABQABAAEBAAAAAAYBAAAAAAAABgcBAAAAAAAABwgBAAEAAAAACAkBAAEAAAAACQoBAAEAAAAACgsBAAEAAAAACwwBAAEAAAAADAcBAAEAAAAAAAAAAA=</t>
        </r>
      </text>
    </comment>
    <comment ref="D277" authorId="0">
      <text>
        <r>
          <rPr>
            <sz val="9"/>
            <color indexed="81"/>
            <rFont val="Tahoma"/>
            <family val="2"/>
          </rPr>
          <t>Insight iXlW00004C0000277R0841462918S00000276P01092LAocjBAQBF1NjaVRlZ2ljLmRhdGEuTW9sZWN1bGUBbQF/ARJTY2lUZWdpYy5Nb2xlY3VsZQAAAQFkAv5qAQAAAAIAAjwcAAAA/AgA/AACAAAAAAAA8L8C7lqJnd7I9D8Ce8erYvz/578AAAAAGAAAAPwEAPwAAgAAAAAAAPC/AiqK0FrYyPQ/AtNhohISAOg/AAAAABgAAAD8BAD8AAIAAAAAAADwvwKBSZam6LHgvgI56m80AQD4PwAAAAAgAAAA/AQA/AACAAAAAAAA8L8CBLTFs+DI9L8CEssCKPX/5z8AAAAAGAAAAPwEAPwAAgAAAAAAAPC/AgPGDnHayPS/AtaS+9cKAOi/AAAAABgAAAD8BAD8AAIAAAAAAADwvwIgioqm6LHQPgLyAHE0AQD4vwAAAAAYAAAA/AgA/AACAAAAAAAA8L8C2BKHuC7HBEACaKlfB6MM+L8AAAAAIAAAAPwIAPwAAgAAAAAAAPC/ArrbHCGpGQ1AApzFl5nj9Oy/AAAAABgAAAD8BAD8AAIAAAAAAADwvwJfUNOZz8IEQALwLG/2AAgIwAAAAAAcAAAA/AQA/AACAAAAAAAA8L8CAsnafYklD0ACCimSpFEODsAAAAAAGAAAAPwEAPwAAgAAAAAAAPC/AtStg0qoJQ9AAjcy60kxBxXAAAAAABgAAAD8BAD8AAIAAAAAAADwvwLoYzZLB8UUQALVEsoJOAcYwAAAAAAcAAAA/AQA/AACAAAAAAAA8L8CrN3eaEL3GUACVZHKFj8HFcAAAAAAGAAAAPwEAPwAAgAAAAAAAPC/AlpvIuZK9xlAApYloS1+Dg7AAAAAABgAAAD8BAD8AAIAAAAAAADwvwJ2Yb5FGMUUQALg5Drfbg4IwAAAAAABEAAEBAAEAAAAAAQIBAAEAAAAAAgMBAAEAAAAAAwQBAAEAAAAABAUBAAEAAAAABQABAAEAAAAAAAYBAAAAAAAABgcCAAAAAAAABggBAAAAAAAACAkBAAAAAAAACQoBAAEAAAAACgsBAAEAAAAACwwBAAEAAAAADA0BAAEAAAAADQ4BAAEAAAAADgkBAAEAAAAAAAAAAA=</t>
        </r>
      </text>
    </comment>
    <comment ref="D278" authorId="0">
      <text>
        <r>
          <rPr>
            <sz val="9"/>
            <color indexed="81"/>
            <rFont val="Tahoma"/>
            <family val="2"/>
          </rPr>
          <t>Insight iXlW00004C0000278R0841462918S00000277P00764LAocjBAQBF1NjaVRlZ2ljLmRhdGEuTW9sZWN1bGUBbQF/ARJTY2lUZWdpYy5Nb2xlY3VsZQAAAQFkAv5qAQAAAAIAAigYAAAA/AgA/AACAAAAAAAA8L8C7lqJnd7I9D8Ce8erYvz/578AAAAAGAAAAPwIAPwAAgAAAAAAAPC/AiqK0FrYyPQ/AtNhohISAOg/AAAAABgAAAD8BAD8AAIAAAAAAADwvwKBSZam6LHgvgI56m80AQD4PwAAAAAcAAAA/AQA/AACAAAAAAAA8L8CBLTFs+DI9L8CEssCKPX/5z8AAAAAGAAAAPwEAPwAAgAAAAAAAPC/AgPGDnHayPS/AtaS+9cKAOi/AAAAABgAAAD8BAD8AAIAAAAAAADwvwIgioqm6LHQPgLyAHE0AQD4vwAAAAAYAAAA/AgA/AACAAAAAAAA8L8C9M9KY9nIBEACvUxsDAwA+D8AAAAAGAAAAPwIAPwAAgAAAAAAAPC/AshHD7JILQ9AAmwq8ocgAOg/AAAAABgAAAD8CAD8AAIAAAAAAADwvwLKvmrTSy0PQAJ+Mwx43//nvwAAAAAYAAAA/AgA/AACAAAAAAAA8L8CbA4Cpt/IBEACcJ50XPb/978AAAAALAAECAAEBAAAAAQIBAAEAAAAAAgMBAAEAAAAAAwQBAAEAAAAABAUBAAEAAAAABQABAAEAAAAAAQYBAAEBAAAABgcCAAEBAAAABwgBAAEBAAAACAkCAAEBAAAACQABAAEBAAAAAAAAAA=</t>
        </r>
      </text>
    </comment>
    <comment ref="D279" authorId="0">
      <text>
        <r>
          <rPr>
            <sz val="9"/>
            <color indexed="81"/>
            <rFont val="Tahoma"/>
            <family val="2"/>
          </rPr>
          <t>Insight iXlW00004C0000279R0841462918S00000278P00960LAocjBAQBF1NjaVRlZ2ljLmRhdGEuTW9sZWN1bGUBbQF/ARJTY2lUZWdpYy5Nb2xlY3VsZQAAAQFkAv5qAQAAAAIAAjQ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cAAAA/AQA/AACAAAAAAAA8L8CHZuA6zLKBEACWrY67IIB+L8AAAAAGAAAAPwEAPwAAgAAAAAAAPC/Ag5A4T+LxQRAAqvekNfhAAjAAAAAABgAAAD8BAD8AAIAAAAAAADwvwKY1pBXiycPQAJKvCM2FQUOwAAAAAAcAAAA/AQA/AACAAAAAAAA8L8CqIvuCTPHFEACvmlDKkoJCMAAAAAAGAAAAPwEAPwAAgAAAAAAAPC/AmdF6+GgyRRAApBvB0yWEvi/AAAAABgAAAD8BAD8AAIAAAAAAADwvwLAnAC4QjEPQAISrMzkVxTovwAAAAAYAAAA/AQA/AACAAAAAAAA8L8CjweMMTs1D0ACRG6GcRak3D8AAAAAOAAECAAEBAAAAAQIBAAEBAAAAAgMCAAEBAAAAAwQBAAEBAAAABAUCAAEBAAAABQABAAEBAAAAAAYBAAAAAAAABgcBAAEAAAAABwgBAAEAAAAACAkBAAEAAAAACQoBAAEAAAAACgsBAAEAAAAACwYBAAEAAAAACwwBAAAAAAAAAAAAAA=</t>
        </r>
      </text>
    </comment>
    <comment ref="D280" authorId="0">
      <text>
        <r>
          <rPr>
            <sz val="9"/>
            <color indexed="81"/>
            <rFont val="Tahoma"/>
            <family val="2"/>
          </rPr>
          <t>Insight iXlW00004C0000280R0841462918S00000279P00688LAocjBAQBF1NjaVRlZ2ljLmRhdGEuTW9sZWN1bGUBbQF/ARJTY2lUZWdpYy5Nb2xlY3VsZQAAAQFkAv5qAQAAAAIAAiQYAAAA/AQA/AACAAAAAAAA8L8C7lqJnd7I9D8Ce8erYvz/578AAAAAHAAAAPwEAPwAAgAAAAAAAPC/AtgSh7guxwRAAmipXwejDPi/AAAAABgAAAD8BAD8AAIAAAAAAADwvwLYNqvqr8MEQAKunWN66p8FwAAAAAAYAAAA/AQA/AACAAAAAAAA8L8CutscIakZDUACnMWXmeP07L8AAAAAGAAAAPwEAPwAAgAAAAAAAPC/AiqK0FrYyPQ/AtNhohISAOg/AAAAABgAAAD8BAD8AAIAAAAAAADwvwKBSZam6LHgvgI56m80AQD4PwAAAAAcAAAA/AQA/AACAAAAAAAA8L8CBLTFs+DI9L8CEssCKPX/5z8AAAAAGAAAAPwEAPwAAgAAAAAAAPC/AgPGDnHayPS/AtaS+9cKAOi/AAAAABgAAAD8BAD8AAIAAAAAAADwvwIgioqm6LHQPgLyAHE0AQD4vwAAAAAkAAQEAAAAAAAABAgEAAAAAAAABAwEAAAAAAAAABAEAAQAAAAAEBQEAAQAAAAAFBgEAAQAAAAAGBwEAAQAAAAAHCAEAAQAAAAAIAAEAAQAAAAAAAAAAA==</t>
        </r>
      </text>
    </comment>
    <comment ref="D281" authorId="0">
      <text>
        <r>
          <rPr>
            <sz val="9"/>
            <color indexed="81"/>
            <rFont val="Tahoma"/>
            <family val="2"/>
          </rPr>
          <t>Insight iXlW00004C0000281R0841462918S00000280P01024LAocjBAQBF1NjaVRlZ2ljLmRhdGEuTW9sZWN1bGUBbQF/ARJTY2lUZWdpYy5Nb2xlY3VsZQAAAQFkAv5qAQAAAAIAAjgYAAAA/AgA/AACAAAAAAAA8L8C7lqJnd7I9D8Ce8erYvz/578AAAAAGAAAAPwIAPwAAgAAAAAAAPC/AiqK0FrYyPQ/AtNhohISAOg/AAAAABgAAAD8BAD8AAIAAAAAAADwvwLGayK4wrQCQAJ2ARDwp5n1PwAAAAAYAAAA/AgA/AACAAAAAAAA8L8CgUmWpuix4L4COepvNAEA+D8AAAAAGAAAAPwIAPwAAgAAAAAAAPC/AgS0xbPgyPS/AhLLAij1/+c/AAAAABgAAAD8CAD8AAIAAAAAAADwvwIDxg5x2sj0vwLWkvvXCgDovwAAAAAYAAAA/AgA/AACAAAAAAAA8L8CIIqKpuix0D4C8gBxNAEA+L8AAAAAGAAAAPwEAPwAAgAAAAAAAPC/Ah+WJ4AIDd4+Aun00TOamQXAAAAAABwAAAD8BAD8AAIAAAAAAADwvwIdm4DrMsoEQAJatjrsggH4vwAAAAAYAAAA/AQA/AACAAAAAAAA8L8CZXWwTkYxD0ACYko5tVYU6L8AAAAAGAAAAPwEAPwAAgAAAAAAAPC/Ase4L9KhyRRAAr6DgZybEvi/AAAAABwAAAD8BAD8AAIAAAAAAADwvwJ/Cj9FMscUQAJEKx7RTAkIwAAAAAAYAAAA/AQA/AACAAAAAAAA8L8CXIVwGognD0ACmFJ65xQFDsAAAAAAGAAAAPwEAPwAAgAAAAAAAPC/Ajhd57iJxQRAAkZGxZTeAAjAAAAAADwABAgABAQAAAAECAQAAAAAAAAEDAQABAQAAAAMEAgABAQAAAAQFAQABAQAAAAUGAgABAQAAAAYAAQABAQAAAAYHAQAAAAAAAAAIAQAAAAAAAAgJAQABAAAAAAkKAQABAAAAAAoLAQABAAAAAAsMAQABAAAAAAwNAQABAAAAAA0IAQABAAAAAAAAAAA</t>
        </r>
      </text>
    </comment>
    <comment ref="D282" authorId="0">
      <text>
        <r>
          <rPr>
            <sz val="9"/>
            <color indexed="81"/>
            <rFont val="Tahoma"/>
            <family val="2"/>
          </rPr>
          <t>Insight iXlW00004C0000282R0841462918S00000281P01376LAocjBAQBF1NjaVRlZ2ljLmRhdGEuTW9sZWN1bGUBbQF/ARJTY2lUZWdpYy5Nb2xlY3VsZQAAAQFkAv5qAQAAAAIAAgETGAAAAPwEAPwAAgAAAAAAAPC/Aj+h/nMlyARAAlpud2K7CPi/AAAAABwAAAD8BAD8AAIAAAAAAADwvwLuWomd3sj0PwJ7x6ti/P/nvwAAAAAYAAAA/AQA/AACAAAAAAAA8L8CKorQWtjI9D8C02GiEhIA6D8AAAAAGAAAAPwEAPwAAgAAAAAAAPC/AoFJlqboseC+AjnqbzQBAPg/AAAAABwAAAD8BAD8AAIAAAAAAADwvwIEtMWz4Mj0vwISywIo9f/nPwAAAAAYAAAA/AQA/AACAAAAAAAA8L8CA8YOcdrI9L8C1pL71woA6L8AAAAAGAAAAPwEAPwAAgAAAAAAAPC/AiCKiqbosdA+AvIAcTQBAPi/AAAAABgAAAD8CAD8AAIAAAAAAADwvwLEd+nIB8MEQAKxOrLYDAYIwAAAAAAYAAAA/AgA/AACAAAAAAAA8L8CEipzVmm+9D8Ch2WD/joHDsAAAAAAGAAAAPwIAPwAAgAAAAAAAPC/AqTyP9yywPQ/AgoXSHidAxXAAAAAABgAAAD8CAD8AAIAAAAAAADwvwJQCaSBWcUEQALGLPb8HgMYwAAAAAAYAAAA/AgA/AACAAAAAAAA8L8C69Vu3TUpD0AC3nyt1aACFcAAAAAAGAAAAPwIAPwAAgAAAAAAAPC/Aj1pxTATKA9AAvJ1G7lBBQ7AAAAAABgAAAD8CAD8AAIAAAAAAADwvwIEnjPRni8PQAL1CLEfDxnovwAAAAAYAAAA/AgA/AACAAAAAAAA8L8CsXizHjk5D0ACsX+oPyXn5z8AAAAAGAAAAPwIAPwAAgAAAAAAAPC/Av5UOvgs0RRAAkJeh3Q94/c/AAAAABgAAAD8CAD8AAIAAAAAAADwvwLw20mfBwEaQAKxDmzF4aXnPwAAAAAYAAAA/AgA/AACAAAAAAAA8L8CelfLYlL8GUACzUzFcw9a6L8AAAAAGAAAAPwIAPwAAgAAAAAAAPC/AjtJxH7CxxRAAprMiy22HPi/AAAAAAEVAAQEAAAAAAAABAgEAAQAAAAACAwEAAQAAAAADBAEAAQAAAAAEBQEAAQAAAAAFBgEAAQAAAAAGAQEAAQAAAAAABwEAAAAAAAAHCAIAAQEAAAAICQEAAQEAAAAJCgIAAQEAAAAKCwEAAQEAAAALDAIAAQEAAAAMBwEAAQEAAAAADQEAAAAAAAANDgIAAQEAAAAODwEAAQEAAAAPAEQCAAEBAAAAAEQAREEAAQEAAAAAREBEggABAQAAAABEjQEAAQEAAAAAAAAAA==</t>
        </r>
      </text>
    </comment>
    <comment ref="D283" authorId="0">
      <text>
        <r>
          <rPr>
            <sz val="9"/>
            <color indexed="81"/>
            <rFont val="Tahoma"/>
            <family val="2"/>
          </rPr>
          <t>Insight iXlW00004C0000283R0841462918S00000282P00884LAocjBAQBF1NjaVRlZ2ljLmRhdGEuTW9sZWN1bGUBbQF/ARJTY2lUZWdpYy5Nb2xlY3VsZQAAAQFkAv5qAQAAAAIAAjAcAAAA/AQ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QA/AACAAAAAAAA8L8C2BKHuC7HBEACaKlfB6MM+L8AAAAAGAAAAPwIAPwAAgAAAAAAAPC/Al9Q05nPwgRAAvAsb/YACAjAAAAAACAAAAD8CAD8AAIAAAAAAADwvwL5DntiquD4PwI9ELmTGdEMwAAAAAAgAAAA/AQA/AACAAAAAAAA8L8CAsnafYklD0ACCimSpFEODsAAAAAAGAAAAPwEAPwAAgAAAAAAAPC/AogGJ18qIQ9AAqLAqIsACBXAAAAAABgAAAD8BAD8AAIAAAAAAADwvwLWi74vfbcTQAKtWG/clnAXwAAAAAAwAAQEAAQAAAAABAgEAAQAAAAACAwEAAQAAAAADBAEAAQAAAAAEBQEAAQAAAAAFAAEAAQAAAAAABgEAAAAAAAAGBwEAAAAAAAAHCAIAAAAAAAAHCQEAAAAAAAAJCgEAAAAAAAAKCwEAAAAAAAAAAAAAA==</t>
        </r>
      </text>
    </comment>
    <comment ref="D284" authorId="0">
      <text>
        <r>
          <rPr>
            <sz val="9"/>
            <color indexed="81"/>
            <rFont val="Tahoma"/>
            <family val="2"/>
          </rPr>
          <t>Insight iXlW00004C0000284R0841462918S00000283P00896LAocjBAQBF1NjaVRlZ2ljLmRhdGEuTW9sZWN1bGUBbQF/ARJTY2lUZWdpYy5Nb2xlY3VsZQAAAQFkAv5qAQAAAAIAAjAYAAAA/AQA/AACAAAAAAAA8L8C7lqJnd7I9D8Ce8erYvz/578AAAAAGAAAAPwEAPwAAgAAAAAAAPC/AiqK0FrYyPQ/AtNhohISAOg/AAAAABgAAAD8BAD8AAIAAAAAAADwvwKBSZam6LHgvgI56m80AQD4PwAAAAAYAAAA/AQA/AACAAAAAAAA8L8CBLTFs+DI9L8CEssCKPX/5z8AAAAAGAAAAPwEAPwAAgAAAAAAAPC/AgPGDnHayPS/AtaS+9cKAOi/AAAAABgAAAD8BAD8AAIAAAAAAADwvwIgioqm6LHQPgLyAHE0AQD4vwAAAAAcAAAA/AQA/AACAAAAAAAA8L8CHZuA6zLKBEACWrY67IIB+L8AAAAAGAAAAPwEAPwAAgAAAAAAAPC/AmV1sE5GMQ9AAmJKObVWFOi/AAAAABgAAAD8BAD8AAIAAAAAAADwvwLHuC/SockUQAK+g4GcmxL4vwAAAAAcAAAA/AQA/AACAAAAAAAA8L8Cfwo/RTLHFEACRCse0UwJCMAAAAAAGAAAAPwEAPwAAgAAAAAAAPC/AlyFcBqIJw9AAphSeucUBQ7AAAAAABgAAAD8BAD8AAIAAAAAAADwvwI4Xee4icUEQAJGRsWU3gAIwAAAAAA0AAQEAAQAAAAABAgEAAQAAAAACAwEAAQAAAAADBAEAAQAAAAAEBQEAAQAAAAAFAAEAAQAAAAAABgEAAAAAAAAGBwEAAQAAAAAHCAEAAQAAAAAICQEAAQAAAAAJCgEAAQAAAAAKCwEAAQAAAAALBgEAAQAAAAAAAAAAA==</t>
        </r>
      </text>
    </comment>
    <comment ref="D285" authorId="0">
      <text>
        <r>
          <rPr>
            <sz val="9"/>
            <color indexed="81"/>
            <rFont val="Tahoma"/>
            <family val="2"/>
          </rPr>
          <t>Insight iXlW00004C0000285R0841462918S00000284P00688LAocjBAQBF1NjaVRlZ2ljLmRhdGEuTW9sZWN1bGUBbQF/ARJTY2lUZWdpYy5Nb2xlY3VsZQAAAQFkAv5qAQAAAAIAAiQcAAAA/AgA/AACAAAAAAAA8L8C7lqJnd7I9D8Ce8erYvz/578AAAAAGAAAAPwIAPwAAgAAAAAAAPC/AtgSh7guxwRAAmipXwejDPi/AAAAACAAAAD8CAD8AAIAAAAAAADwvwLYNqvqr8MEQAKunWN66p8FwAAAAAAYAAAA/AQA/AACAAAAAAAA8L8CutscIakZDUACnMWXmeP07L8AAAAAGAAAAPwEAPwAAgAAAAAAAPC/AiqK0FrYyPQ/AtNhohISAOg/AAAAABgAAAD8BAD8AAIAAAAAAADwvwKBSZam6LHgvgI56m80AQD4PwAAAAAcAAAA/AQA/AACAAAAAAAA8L8CBLTFs+DI9L8CEssCKPX/5z8AAAAAGAAAAPwEAPwAAgAAAAAAAPC/AgPGDnHayPS/AtaS+9cKAOi/AAAAABgAAAD8BAD8AAIAAAAAAADwvwIgioqm6LHQPgLyAHE0AQD4vwAAAAAkAAQEAAAAAAAABAgIAAAAAAAABAwEAAAAAAAAABAEAAQAAAAAEBQEAAQAAAAAFBgEAAQAAAAAGBwEAAQAAAAAHCAEAAQAAAAAIAAEAAQAAAAAAAAAAA==</t>
        </r>
      </text>
    </comment>
    <comment ref="D286" authorId="0">
      <text>
        <r>
          <rPr>
            <sz val="9"/>
            <color indexed="81"/>
            <rFont val="Tahoma"/>
            <family val="2"/>
          </rPr>
          <t>Insight iXlW00004C0000286R0841462918S00000285P00620LAocjBAQBF1NjaVRlZ2ljLmRhdGEuTW9sZWN1bGUBbQF/ARJTY2lUZWdpYy5Nb2xlY3VsZQAAAQFkAv5qAQAAAAIAAiAcAAAA/AQA/AACAAAAAAAA8L8C7lqJnd7I9D8Ce8erYvz/578AAAAAGAAAAPwEAPwAAgAAAAAAAPC/AtgSh7guxwRAAmipXwejDPi/AAAAABgAAAD8BAD8AAIAAAAAAADwvwLYNqvqr8MEQAKunWN66p8FwAAAAAAYAAAA/AQA/AACAAAAAAAA8L8CKorQWtjI9D8C02GiEhIA6D8AAAAAGAAAAPwEAPwAAgAAAAAAAPC/AoFJlqboseC+AjnqbzQBAPg/AAAAABwAAAD8BAD8AAIAAAAAAADwvwIEtMWz4Mj0vwISywIo9f/nPwAAAAAYAAAA/AQA/AACAAAAAAAA8L8CA8YOcdrI9L8C1pL71woA6L8AAAAAGAAAAPwEAPwAAgAAAAAAAPC/AiCKiqbosdA+AvIAcTQBAPi/AAAAACAABAQAAAAAAAAECAQAAAAAAAAADAQABAAAAAAMEAQABAAAAAAQFAQABAAAAAAUGAQABAAAAAAYHAQABAAAAAAcAAQABAAAAAAAAAAA</t>
        </r>
      </text>
    </comment>
    <comment ref="D287" authorId="0">
      <text>
        <r>
          <rPr>
            <sz val="9"/>
            <color indexed="81"/>
            <rFont val="Tahoma"/>
            <family val="2"/>
          </rPr>
          <t>Insight iXlW00004C0000287R0841462918S00000286P00688LAocjBAQBF1NjaVRlZ2ljLmRhdGEuTW9sZWN1bGUBbQF/ARJTY2lUZWdpYy5Nb2xlY3VsZQAAAQFkAv5qAQAAAAIAAiQYAAAA/AQA/AACAAAAAAAA8L8C7lqJnd7I9D8Ce8erYvz/578AAAAAGAAAAPwIAPwAAgAAAAAAAPC/AtgSh7guxwRAAmipXwejDPi/AAAAACAAAAD8CAD8AAIAAAAAAADwvwLYNqvqr8MEQAKunWN66p8FwAAAAAAgAAAA/AQA/AACAAAAAAAA8L8CutscIakZDUACnMWXmeP07L8AAAAAHAAAAPwEAPwAAgAAAAAAAPC/AiqK0FrYyPQ/AtNhohISAOg/AAAAABgAAAD8BAD8AAIAAAAAAADwvwKBSZam6LHgvgI56m80AQD4PwAAAAAYAAAA/AQA/AACAAAAAAAA8L8CBLTFs+DI9L8CEssCKPX/5z8AAAAAGAAAAPwEAPwAAgAAAAAAAPC/AgPGDnHayPS/AtaS+9cKAOi/AAAAABgAAAD8BAD8AAIAAAAAAADwvwIgioqm6LHQPgLyAHE0AQD4vwAAAAAkAAQEAAAAAAAABAgIAAAAAAAABAwEAAAAAAAAABAEAAQAAAAAEBQEAAQAAAAAFBgEAAQAAAAAGBwEAAQAAAAAHCAEAAQAAAAAIAAEAAQAAAAAAAAAAA==</t>
        </r>
      </text>
    </comment>
    <comment ref="D288" authorId="0">
      <text>
        <r>
          <rPr>
            <sz val="9"/>
            <color indexed="81"/>
            <rFont val="Tahoma"/>
            <family val="2"/>
          </rPr>
          <t>Insight iXlW00004C0000288R0841462918S00000287P00948LAocjBAQBF1NjaVRlZ2ljLmRhdGEuTW9sZWN1bGUBbQF/ARJTY2lUZWdpYy5Nb2xlY3VsZQAAAQFkAv5qAQAAAAIAAjQcAAAA/Ag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gA/AACAAAAAAAA8L8C2BKHuC7HBEACaKlfB6MM+L8AAAAAIAAAAPwIAPwAAgAAAAAAAPC/ArrbHCGpGQ1AApzFl5nj9Oy/AAAAACAAAAD8BAD8AAIAAAAAAADwvwJfUNOZz8IEQALwLG/2AAgIwAAAAAAYAAAA/AQA/AACAAAAAAAA8L8CAsnafYklD0ACCimSpFEODsAAAAAAGAAAAPwEAPwAAgAAAAAAAPC/AgHt/q8KIg9AAgL5ok310xPAAAAAABgAAAD8BAD8AAIAAAAAAADwvwKN3AjN97kTQAKevuCuPW8RwAAAAAAYAAAA/AQA/AACAAAAAAAA8L8C8Ug48wG8E0ACukVIBzlFCcAAAAAANAAEBAAEAAAAAAQIBAAEAAAAAAgMBAAEAAAAAAwQBAAEAAAAABAUBAAEAAAAABQABAAEAAAAAAAYBAAAAAAAABgcCAAAAAAAABggBAAAAAAAACAkBAAAAAAAACQoBAAAAAAAACQsBAAAAAAAACQwBAAAAAAAAAAAAAA=</t>
        </r>
      </text>
    </comment>
    <comment ref="D289" authorId="0">
      <text>
        <r>
          <rPr>
            <sz val="9"/>
            <color indexed="81"/>
            <rFont val="Tahoma"/>
            <family val="2"/>
          </rPr>
          <t>Insight iXlW00004C0000289R0841462918S00000288P00960LAocjBAQBF1NjaVRlZ2ljLmRhdGEuTW9sZWN1bGUBbQF/ARJTY2lUZWdpYy5Nb2xlY3VsZQAAAQFkAv5qAQAAAAIBAjQYDAAABAQA/AACAAAAAAAA8L8CT1DTmc/CBEAC9yxv9gAICMAAAAAAGAAAAPwEAPwAAgAAAAAAAPC/ApnSKse5DvY/At6GY71K4A7AAAAAABgAAAD8BAD8AAIAAAAAAADwvwLE/T0uC2X9PwKgj6BKmyYVwAAAAAAYAAAA/AQA/AACAAAAAAAA8L8C3xXs2oCyCkACEiJY0e8rFcAAAAAAHAAAAPwEAPwAAgAAAAAAAPC/AvSxXoXwcQ5AAqDg6XGK8Q7AAAAAABgAAAD8BAD8AAIAAAAAAADwvwK6CZ7or8gTQAKdg0tdVfQLwAAAAAAYAAAA/AQA/AACAAAAAAAA8L8C0hKHuC7HBEACeKlfB6MM+L8AAAAAGAAAAPwEAPwAAgAAAAAAAPC/Au5aiZ3eyPQ/AnvHq2L8/+e/AAAAABwAAAD8BAD8AAIAAAAAAADwvwIqitBa2Mj0PwLTYaISEgDoPwAAAAAYAAAA/AQA/AACAAAAAAAA8L8CgUmWpuix4L4COepvNAEA+D8AAAAAGAAAAPwEAPwAAgAAAAAAAPC/AgS0xbPgyPS/AhLLAij1/+c/AAAAABgAAAD8BAD8AAIAAAAAAADwvwIDxg5x2sj0vwLWkvvXCgDovwAAAAAYAAAA/AQA/AACAAAAAAAA8L8CIIqKpuix0D4C8gBxNAEA+L8AAAAAOAAEBAAEAAAAAAQIBAAEAAAAAAgMBAAEAAAAAAwQBAAEAAAAABAABAAEAAAAABAUBAAAAAAAAAAYBBAAAAAAABgcBAAAAAAAABwgBAAEAAAAACAkBAAEAAAAACQoBAAEAAAAACgsBAAEAAAAACwwBAAEAAAAADAcBAAEAAAAAAAAAAA=</t>
        </r>
      </text>
    </comment>
    <comment ref="D290" authorId="0">
      <text>
        <r>
          <rPr>
            <sz val="9"/>
            <color indexed="81"/>
            <rFont val="Tahoma"/>
            <family val="2"/>
          </rPr>
          <t>Insight iXlW00004C0000290R0841462918S00000289P00884LAocjBAQBF1NjaVRlZ2ljLmRhdGEuTW9sZWN1bGUBbQF/ARJTY2lUZWdpYy5Nb2xlY3VsZQAAAQFkAv5qAQAAAAIAAjAcAAAA/AQ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QA/AACAAAAAAAA8L8C2BKHuC7HBEACaKlfB6MM+L8AAAAAGAAAAPwEAPwAAgAAAAAAAPC/Al9Q05nPwgRAAvAsb/YACAjAAAAAABgAAAD8BAD8AAIAAAAAAADwvwICydp9iSUPQAIKKZKkUQ4OwAAAAAAcAAAA/AQA/AACAAAAAAAA8L8CiAYnXyohD0ACosCoiwAIFcAAAAAAGAAAAPwEAPwAAgAAAAAAAPC/AtaLvi99txNAAq1Yb9yWcBfAAAAAABgAAAD8BAD8AAIAAAAAAADwvwKmPZH2r84GQAJIsk3ajGwXwAAAAAAwAAQEAAQAAAAABAgEAAQAAAAACAwEAAQAAAAADBAEAAQAAAAAEBQEAAQAAAAAFAAEAAQAAAAAABgEAAAAAAAAGBwEAAAAAAAAHCAEAAAAAAAAICQEAAAAAAAAJCgEAAAAAAAAJCwEAAAAAAAAAAAAAA==</t>
        </r>
      </text>
    </comment>
    <comment ref="D291" authorId="0">
      <text>
        <r>
          <rPr>
            <sz val="9"/>
            <color indexed="81"/>
            <rFont val="Tahoma"/>
            <family val="2"/>
          </rPr>
          <t>Insight iXlW00004C0000291R0841462918S00000290P00960LAocjBAQBF1NjaVRlZ2ljLmRhdGEuTW9sZWN1bGUBbQF/ARJTY2lUZWdpYy5Nb2xlY3VsZQAAAQFkAv5qAQAAAAIAAjQYAAAA/AQA/AACAAAAAAAA8L8C7lqJnd7I9D8Ce8erYvz/578AAAAAHAAAAPwEAPwAAgAAAAAAAPC/AiqK0FrYyPQ/AtNhohISAOg/AAAAABgAAAD8BAD8AAIAAAAAAADwvwKBSZam6LHgvgI56m80AQD4PwAAAAAYAAAA/AQA/AACAAAAAAAA8L8CBLTFs+DI9L8CEssCKPX/5z8AAAAAGAAAAPwEAPwAAgAAAAAAAPC/AgPGDnHayPS/AtaS+9cKAOi/AAAAABgAAAD8BAD8AAIAAAAAAADwvwIgioqm6LHQPgLyAHE0AQD4vwAAAAAYAAAA/AQA/AACAAAAAAAA8L8C2BKHuC7HBEACaKlfB6MM+L8AAAAAHAAAAPwEAPwAAgAAAAAAAPC/Al9Q05nPwgRAAvAsb/YACAjAAAAAABgAAAD8BAD8AAIAAAAAAADwvwLbVRxL4SEPQAIz8CxBYhEOwAAAAAAYAAAA/AQA/AACAAAAAAAA8L8CU+Cq+EEXD0ACM4DNxq4IFcAAAAAAGAAAAPwEAPwAAgAAAAAAAPC/Ag8PJaOIrQRAAsMK7GYUBBjAAAAAABgAAAD8BAD8AAIAAAAAAADwvwJ0UNQo25z0PwJ+jnmtfP8UwAAAAAAYAAAA/AQA/AACAAAAAAAA8L8Cyuk+oRWy9D8CblOsDP7+DcAAAAAAOAAEBAAEAAAAAAQIBAAEAAAAAAgMBAAEAAAAAAwQBAAEAAAAABAUBAAEAAAAABQABAAEAAAAAAAYBAAAAAAAABgcBAAAAAAAABwgBAAEAAAAACAkBAAEAAAAACQoBAAEAAAAACgsBAAEAAAAACwwBAAEAAAAADAcBAAEAAAAAAAAAAA=</t>
        </r>
      </text>
    </comment>
    <comment ref="D292" authorId="0">
      <text>
        <r>
          <rPr>
            <sz val="9"/>
            <color indexed="81"/>
            <rFont val="Tahoma"/>
            <family val="2"/>
          </rPr>
          <t>Insight iXlW00004C0000292R0841462918S00000291P00948LAocjBAQBF1NjaVRlZ2ljLmRhdGEuTW9sZWN1bGUBbQF/ARJTY2lUZWdpYy5Nb2xlY3VsZQAAAQFkAv5qAQAAAAIAAjQcAAAA/AQ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QA/AACAAAAAAAA8L8C2BKHuC7HBEACaKlfB6MM+L8AAAAAGAAAAPwEAPwAAgAAAAAAAPC/Al9Q05nPwgRAAvAsb/YACAjAAAAAABwAAAD8BAD8AAIAAAAAAADwvwICydp9iSUPQAIKKZKkUQ4OwAAAAAAYAAAA/AQA/AACAAAAAAAA8L8CiAYnXyohD0ACosCoiwAIFcAAAAAAGAAAAPwEAPwAAgAAAAAAAPC/AtaLvi99txNAAq1Yb9yWcBfAAAAAABgAAAD8BAD8AAIAAAAAAADwvwJqnka2ocgUQAIVD4dVlBcIwAAAAAAYAAAA/AQA/AACAAAAAAAA8L8CzC1909ruGEACMxmfJxvrDMAAAAAANAAEBAAEAAAAAAQIBAAEAAAAAAgMBAAEAAAAAAwQBAAEAAAAABAUBAAEAAAAABQABAAEAAAAAAAYBAAAAAAAABgcBAAAAAAAABwgBAAAAAAAACAkBAAAAAAAACQoBAAAAAAAACAsBAAAAAAAACwwBAAAAAAAAAAAAAA=</t>
        </r>
      </text>
    </comment>
    <comment ref="D293" authorId="0">
      <text>
        <r>
          <rPr>
            <sz val="9"/>
            <color indexed="81"/>
            <rFont val="Tahoma"/>
            <family val="2"/>
          </rPr>
          <t>Insight iXlW00004C0000293R0841462918S00000292P00752LAocjBAQBF1NjaVRlZ2ljLmRhdGEuTW9sZWN1bGUBbQF/ARJTY2lUZWdpYy5Nb2xlY3VsZQAAAQFkAv5qAQAAAAIAAigYAAAA/AQ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gA/AACAAAAAAAA8L8C2BKHuC7HBEACaKlfB6MM+L8AAAAAIAAAAPwIAPwAAgAAAAAAAPC/ArrbHCGpGQ1AApzFl5nj9Oy/AAAAACAAAAD8BAD8AAIAAAAAAADwvwJfUNOZz8IEQALwLG/2AAgIwAAAAAAYAAAA/AQA/AACAAAAAAAA8L8ChGEpmp8QDUACBV38ly3ZDMAAAAAAKAAEBAAEAAAAAAQIBAAEAAAAAAgMBAAEAAAAAAwQBAAEAAAAABAUBAAEAAAAABQABAAEAAAAAAAYBAAAAAAAABgcCAAAAAAAABggBAAAAAAAACAkBAAAAAAAAAAAAAA=</t>
        </r>
      </text>
    </comment>
    <comment ref="D294" authorId="0">
      <text>
        <r>
          <rPr>
            <sz val="9"/>
            <color indexed="81"/>
            <rFont val="Tahoma"/>
            <family val="2"/>
          </rPr>
          <t>Insight iXlW00004C0000294R0841462918S00000293P00752LAocjBAQBF1NjaVRlZ2ljLmRhdGEuTW9sZWN1bGUBbQF/ARJTY2lUZWdpYy5Nb2xlY3VsZQAAAQFkAv5qAQAAAAIAAigcAAAA/AQA/AACAAAAAAAA8L8C7lqJnd7I9D8Ce8erYvz/578AAAAAGAAAAPwEAPwAAgAAAAAAAPC/AtgSh7guxwRAAmipXwejDPi/AAAAABgAAAD8BAD8AAIAAAAAAADwvwJfUNOZz8IEQALwLG/2AAgIwAAAAAAYAAAA/AQA/AACAAAAAAAA8L8ChGEpmp8QDUACBV38ly3ZDMAAAAAAGAAAAPwEAPwAAgAAAAAAAPC/AvkOe2Kq4Pg/Aj0QuZMZ0QzAAAAAABgAAAD8BAD8AAIAAAAAAADwvwIqitBa2Mj0PwLTYaISEgDoPwAAAAAYAAAA/AQA/AACAAAAAAAA8L8CgUmWpuix4L4COepvNAEA+D8AAAAAHAAAAPwEAPwAAgAAAAAAAPC/AgS0xbPgyPS/AhLLAij1/+c/AAAAABgAAAD8BAD8AAIAAAAAAADwvwIDxg5x2sj0vwLWkvvXCgDovwAAAAAYAAAA/AQA/AACAAAAAAAA8L8CIIqKpuix0D4C8gBxNAEA+L8AAAAAKAAEBAAAAAAAAAQIBAAAAAAAAAgMBAAAAAAAAAgQBAAAAAAAAAAUBAAEAAAAABQYBAAEAAAAABgcBAAEAAAAABwgBAAEAAAAACAkBAAEAAAAACQABAAEAAAAAAAAAAA=</t>
        </r>
      </text>
    </comment>
    <comment ref="D295" authorId="0">
      <text>
        <r>
          <rPr>
            <sz val="9"/>
            <color indexed="81"/>
            <rFont val="Tahoma"/>
            <family val="2"/>
          </rPr>
          <t>Insight iXlW00004C0000295R0841462918S00000294P01040LAocjBAQBF1NjaVRlZ2ljLmRhdGEuTW9sZWN1bGUBbQF/ARJTY2lUZWdpYy5Nb2xlY3VsZQAAAQFkAv5qAQAAAAIAAjgYAAAA/AgA/AACAAAAAAAA8L8C7lqJnd7I9D8Ce8erYvz/578AAAAAGAAAAPwIAPwAAgAAAAAAAPC/AiqK0FrYyPQ/AtNhohISAOg/AAAAABgAAAD8CAD8AAIAAAAAAADwvwKBSZam6LHgvgI56m80AQD4PwAAAAAkAAAA/AQA/AACAAAAAAAA8L8C2pE0gAgN7r4CEPrQM5qZBUAAAAAAGAAAAPwIAPwAAgAAAAAAAPC/AgS0xbPgyPS/AhLLAij1/+c/AAAAABgAAAD8CAD8AAIAAAAAAADwvwIDxg5x2sj0vwLWkvvXCgDovwAAAAAYAAAA/AgA/AACAAAAAAAA8L8CIIqKpuix0D4C8gBxNAEA+L8AAAAAHAAAAPwIAPwAAgAAAAAAAPC/AvrLovhUzAVAAoWYqJGlavM/AAAAABgAAAD8CAD8AAIAAAAAAADwvwIKXy1MBNoMQAISBW4e0hruPgAAAAAYAAAA/AQA/AACAAAAAAAA8L8CpJw6Qo9jFEACnHhAkeH4w78AAAAAGAAAAPwEAPwAAgAAAAAAAPC/Aigw6PRO1BZAAjC8bVnua/i/AAAAABwAAAD8BAD8AAIAAAAAAADwvwJIqKr5eE0TQAKlxm/gROsFwAAAAAAYAAAA/AQA/AACAAAAAAAA8L8C0vEy4sWrCkACEvIOeiqqBMAAAAAAGAAAAPwIAPwAAgAAAAAAAPC/At5+QglazAVAAvW98NKOavO/AAAAAAEQAAQIAAQEAAAABAgEAAQEAAAACAwEAAAAAAAACBAIAAQEAAAAEBQEAAQEAAAAFBgIAAQEAAAAGAAEAAQEAAAABBwEAAQEAAAAHCAEAAQEAAAAICQEAAQAAAAAJCgEAAQAAAAAKCwEAAQAAAAALDAEAAQAAAAAIDQIAAQEAAAANAAEAAQEAAAANDAEAAQAAAAAAAAAAA==</t>
        </r>
      </text>
    </comment>
    <comment ref="D296" authorId="0">
      <text>
        <r>
          <rPr>
            <sz val="9"/>
            <color indexed="81"/>
            <rFont val="Tahoma"/>
            <family val="2"/>
          </rPr>
          <t>Insight iXlW00004C0000296R0841462918S00000295P00896LAocjBAQBF1NjaVRlZ2ljLmRhdGEuTW9sZWN1bGUBbQF/ARJTY2lUZWdpYy5Nb2xlY3VsZQAAAQFkAv5qAQAAAAIAAjA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QA/AACAAAAAAAA8L8CHZuA6zLKBEACWrY67IIB+L8AAAAAHAAAAPwEAPwAAgAAAAAAAPC/AmV1sE5GMQ9AAmJKObVWFOi/AAAAABgAAAD8BAD8AAIAAAAAAADwvwLHuC/SockUQAK+g4GcmxL4vwAAAAAYAAAA/AQA/AACAAAAAAAA8L8Cfwo/RTLHFEACRCse0UwJCMAAAAAAGAAAAPwEAPwAAgAAAAAAAPC/AlyFcBqIJw9AAphSeucUBQ7AAAAAABgAAAD8BAD8AAIAAAAAAADwvwI4Xee4icUEQAJGRsWU3gAIwAAAAAA0AAQIAAQEAAAABAgEAAQEAAAACAwIAAQEAAAADBAEAAQEAAAAEBQIAAQEAAAAFAAEAAQEAAAAABgEAAAAAAAAGBwEAAQAAAAAHCAEAAQAAAAAICQEAAQAAAAAJCgEAAQAAAAAKCwEAAQAAAAALBgEAAQAAAAAAAAAAA==</t>
        </r>
      </text>
    </comment>
    <comment ref="D297" authorId="0">
      <text>
        <r>
          <rPr>
            <sz val="9"/>
            <color indexed="81"/>
            <rFont val="Tahoma"/>
            <family val="2"/>
          </rPr>
          <t>Insight iXlW00004C0000297R0841462918S00000296P01388LAocjBAQBF1NjaVRlZ2ljLmRhdGEuTW9sZWN1bGUBbQF/ARJTY2lUZWdpYy5Nb2xlY3VsZQAAAQFkAv5qAQAAAAIAAgETGAAAAPwIAPwAAgAAAAAAAPC/Au5aiZ3eyPQ/AnvHq2L8/+e/AAAAABgAAAD8CAD8AAIAAAAAAADwvwIqitBa2Mj0PwLTYaISEgDoPwAAAAAYAAAA/AQA/AACAAAAAAAA8L8CgUmWpuix4L4COepvNAEA+D8AAAAAGAAAAPwEAPwAAgAAAAAAAPC/AgS0xbPgyPS/AhLLAij1/+c/AAAAABwAAAD8BAD8AAIAAAAAAADwvwIDxg5x2sj0vwLWkvvXCgDovwAAAAAYAAAA/AQA/AACAAAAAAAA8L8CIIqKpuix0D4C8gBxNAEA+L8AAAAAGAAAAPwIAPwAAgAAAAAAAPC/At5TbZP5suA+AsQDNI2JAQjAAAAAABgAAAD8CAD8AAIAAAAAAADwvwIA+KHl9cP0vwLAbUSEAQYOwAAAAAAYAAAA/AgA/AACAAAAAAAA8L8C5x9Ouy669L8CnKCnQgADFcAAAAAAGAAAAPwIAPwAAgAAAAAAAPC/Au+/2+2cjnM/AjhRl1ziABjAAAAAABgAAAD8CAD8AAIAAAAAAADwvwJOXJDhhtf0PwIJgedCxf4UwAAAAAAYAAAA/AgA/AACAAAAAAAA8L8Csh+248PN9D8CyLTqg4v9DcAAAAAAGAAAAPwIAPwAAgAAAAAAAPC/AvrLovhUzAVAAoWYqJGlavM/AAAAABgAAAD8CAD8AAIAAAAAAADwvwIKXy1MBNoMQAISBW4e0hruPgAAAAAYAAAA/AgA/AACAAAAAAAA8L8C3xjKqo1jFEACAAI0chj6wz8AAAAAGAAAAPwIAPwAAgAAAAAAAPC/Aib3XXVL1BZAAgYPz5oYbPg/AAAAABgAAAD8CAD8AAIAAAAAAADwvwIVKeDJc00TQALgLgeNV+sFQAAAAAAYAAAA/AgA/AACAAAAAAAA8L8CsHpQ8rurCkACOWnr/ziqBEAAAAAAHAAAAPwIAPwAAgAAAAAAAPC/At5+QglazAVAAvW98NKOavO/AAAAAAEWAAQIAAQEAAAABAgEAAQAAAAACAwEAAQAAAAADBAEAAQAAAAAEBQEAAQAAAAAFAAEAAQAAAAAFBgEAAAAAAAAGBwIAAQEAAAAHCAEAAQEAAAAICQIAAQEAAAAJCgEAAQEAAAAKCwIAAQEAAAALBgEAAQEAAAABDAEAAQEAAAAMDQIAAQEAAAANDgEAAQEAAAAODwIAAQEAAAAPAEQBAAEBAAAAAEQAREIAAQEAAAAAREwBAAEBAAAADQBEgQABAQAAAABEgAEAAQEAAAAAAAAAA==</t>
        </r>
      </text>
    </comment>
    <comment ref="D298" authorId="0">
      <text>
        <r>
          <rPr>
            <sz val="9"/>
            <color indexed="81"/>
            <rFont val="Tahoma"/>
            <family val="2"/>
          </rPr>
          <t>Insight iXlW00004C0000298R0841462918S00000297P01172LAocjBAQBF1NjaVRlZ2ljLmRhdGEuTW9sZWN1bGUBbQF/ARJTY2lUZWdpYy5Nb2xlY3VsZQAAAQFkAv5qAQAAAAIAAgEQGAAAAPwIAPwAAgAAAAAAAPC/AulcjAPSzRBAAjTEl9Z6XQrAAAAAABwAAAD8CAD8AAIAAAAAAADwvwIC8mWK7c8TQAIMLiEf8/b/vwAAAAAcAAAA/AgA/AACAAAAAAAA8L8CWMaSOOabD0ACHF6QDiU17L8AAAAAGAAAAPwIAPwAAgAAAAAAAPC/Ah2bgOsyygRAAlq2OuyCAfi/AAAAABgAAAD8BAD8AAIAAAAAAADwvwLuWomd3sj0PwJ7x6ti/P/nvwAAAAAYAAAA/AQA/AACAAAAAAAA8L8CKorQWtjI9D8C02GiEhIA6D8AAAAAGAAAAPwEAPwAAgAAAAAAAPC/AoFJlqboseC+AjnqbzQBAPg/AAAAABwAAAD8BAD8AAIAAAAAAADwvwIEtMWz4Mj0vwISywIo9f/nPwAAAAAYAAAA/AQA/AACAAAAAAAA8L8CA8YOcdrI9L8C1pL71woA6L8AAAAAGAAAAPwEAPwAAgAAAAAAAPC/AiCKiqbosdA+AvIAcTQBAPi/AAAAABgAAAD8CAD8AAIAAAAAAADwvwLMs8aByd8FQAJ+suG5A9oHwAAAAAAYAAAA/AgA/AACAAAAAAAA8L8Cnfdr4ac8E0ACQsWQkqKrEsAAAAAAIAAAAPwIAPwAAgAAAAAAAPC/AkSa+4rd8BhAAtZghvK6ShTAAAAAABgAAAD8CAD8AAIAAAAAAADwvwL5HpzmABcZQAL9MhG4QUoawAAAAAAYAAAA/AgA/AACAAAAAAAA8L8Cmi4xvWpuE0ACdgYolQhJHMAAAAAAGAAAAPwIAPwAAgAAAAAAAPC/AqowkxYAkg9AAsJJPn8vhRfAAAAAAAESAAQIAAQEAAAABAgEAAQEAAAACAwEAAQEAAAADBAEAAAAAAAAEBQEAAQAAAAAFBgEAAQAAAAAGBwEAAQAAAAAHCAEAAQAAAAAICQEAAQAAAAAJBAEAAQAAAAADCgIAAQEAAAAKAAEAAQEAAAAACwEAAAAAAAALDAEAAQEAAAAMDQEAAQEAAAANDgIAAQEAAAAODwEAAQEAAAAPCwIAAQEAAAAAAAAAA==</t>
        </r>
      </text>
    </comment>
    <comment ref="D299" authorId="0">
      <text>
        <r>
          <rPr>
            <sz val="9"/>
            <color indexed="81"/>
            <rFont val="Tahoma"/>
            <family val="2"/>
          </rPr>
          <t>Insight iXlW00004C0000299R0841462918S00000298P00896LAocjBAQBF1NjaVRlZ2ljLmRhdGEuTW9sZWN1bGUBbQF/ARJTY2lUZWdpYy5Nb2xlY3VsZQAAAQFkAv5qAQAAAAIAAjA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QA/AACAAAAAAAA8L8CHZuA6zLKBEACWrY67IIB+L8AAAAAGAAAAPwEAPwAAgAAAAAAAPC/AmV1sE5GMQ9AAmJKObVWFOi/AAAAABwAAAD8BAD8AAIAAAAAAADwvwLHuC/SockUQAK+g4GcmxL4vwAAAAAYAAAA/AQA/AACAAAAAAAA8L8Cfwo/RTLHFEACRCse0UwJCMAAAAAAGAAAAPwEAPwAAgAAAAAAAPC/AlyFcBqIJw9AAphSeucUBQ7AAAAAABgAAAD8BAD8AAIAAAAAAADwvwI4Xee4icUEQAJGRsWU3gAIwAAAAAA0AAQIAAQEAAAABAgEAAQEAAAACAwIAAQEAAAADBAEAAQEAAAAEBQIAAQEAAAAFAAEAAQEAAAAABgEAAAAAAAAGBwEAAQAAAAAHCAEAAQAAAAAICQEAAQAAAAAJCgEAAQAAAAAKCwEAAQAAAAALBgEAAQAAAAAAAAAAA==</t>
        </r>
      </text>
    </comment>
    <comment ref="D300" authorId="0">
      <text>
        <r>
          <rPr>
            <sz val="9"/>
            <color indexed="81"/>
            <rFont val="Tahoma"/>
            <family val="2"/>
          </rPr>
          <t>Insight iXlW00004C0000300R0841462918S00000299P01024LAocjBAQBF1NjaVRlZ2ljLmRhdGEuTW9sZWN1bGUBbQF/ARJTY2lUZWdpYy5Nb2xlY3VsZQAAAQFkAv5qAQAAAAIAAjg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gA/AACAAAAAAAA8L8C2BKHuC7HBEACaKlfB6MM+L8AAAAAIAAAAPwIAPwAAgAAAAAAAPC/ArrbHCGpGQ1AApzFl5nj9Oy/AAAAABwAAAD8CAD8AAIAAAAAAADwvwJfUNOZz8IEQALwLG/2AAgIwAAAAAAYAAAA/AQA/AACAAAAAAAA8L8C21UcS+EhD0ACM/AsQWIRDsAAAAAAGAAAAPwEAPwAAgAAAAAAAPC/AlPgqvhBFw9AAjOAzcauCBXAAAAAABwAAAD8BAD8AAIAAAAAAADwvwIPDyWjiK0EQALDCuxmFAQYwAAAAAAYAAAA/AQA/AACAAAAAAAA8L8CdFDUKNuc9D8Cfo55rXz/FMAAAAAAGAAAAPwEAPwAAgAAAAAAAPC/AsrpPqEVsvQ/Am5TrAz+/g3AAAAAADwABAgABAQAAAAECAQABAQAAAAIDAgABAQAAAAMEAQABAQAAAAQFAgABAQAAAAUAAQABAQAAAAAGAQAAAAAAAAYHAgAAAAAAAAYIAQAAAAAAAAgJAQABAAAAAAkKAQABAAAAAAoLAQABAAAAAAsMAQABAAAAAAwNAQABAAAAAA0IAQABAAAAAAAAAAA</t>
        </r>
      </text>
    </comment>
    <comment ref="D301" authorId="0">
      <text>
        <r>
          <rPr>
            <sz val="9"/>
            <color indexed="81"/>
            <rFont val="Tahoma"/>
            <family val="2"/>
          </rPr>
          <t>Insight iXlW00004C0000301R0841462918S00000300P01104LAocjBAQBF1NjaVRlZ2ljLmRhdGEuTW9sZWN1bGUBbQF/ARJTY2lUZWdpYy5Nb2xlY3VsZQAAAQFkAv5qAQAAAAIAAjwYAAAA/AQA/AACAAAAAAAA8L8C7lqJnd7I9D8Ce8erYvz/578AAAAAHAAAAPwEAPwAAgAAAAAAAPC/AiqK0FrYyPQ/AtNhohISAOg/AAAAABgAAAD8BAD8AAIAAAAAAADwvwKBSZam6LHgvgI56m80AQD4PwAAAAAYAAAA/AQA/AACAAAAAAAA8L8CBLTFs+DI9L8CEssCKPX/5z8AAAAAGAAAAPwIAPwAAgAAAAAAAPC/AgPGDnHayPS/AtaS+9cKAOi/AAAAABgAAAD8CAD8AAIAAAAAAADwvwLXrqiG3MgEwAIOa8arDwD4vwAAAAAYAAAA/AgA/AACAAAAAAAA8L8C6SkrT9fIBMACPhPi1QcACMAAAAAAGAAAAPwIAPwAAgAAAAAAAPC/Al9irOrNyPS/AqLAiOsDAA7AAAAAABgAAAD8CAD8AAIAAAAAAADwvwIAAPvUf+DkPgL9zmibAAAIwAAAAAAYAAAA/AgA/AACAAAAAAAA8L8CIIqKpuix0D4C8gBxNAEA+L8AAAAAGAAAAPwIAPwAAgAAAAAAAPC/Ah2bgOsyygRAAlq2OuyCAfi/AAAAAAEQAAAA/AQA/AACAAAAAAAA8L8CMNQCGOmbD0ACYu0ThiU17L8AAAAAGAAAAPwIAPwAAgAAAAAAAPC/AlMdbK3tzxNAApCbUAX49v+/AAAAABgAAAD8CAD8AAIAAAAAAADwvwIFijlD0s0QQAJILAsZel0KwAAAAAAYAAAA/AgA/AACAAAAAAAA8L8CcXCa3MnfBUACDCnYpgPaB8AAAAAAAREABAQABAAAAAAECAQABAAAAAAIDAQABAAAAAAMEAQABAAAAAAQFAgABAQAAAAUGAQABAQAAAAYHAgABAQAAAAcIAQABAQAAAAQJAQABAQAAAAkAAQABAAAAAAkIAgABAQAAAAAKAQAAAAAAAAoLAQABAQAAAAsMAQABAQAAAAwNAgABAQAAAA0OAQABAQAAAA4KAgABAQAAAAAAAAA</t>
        </r>
      </text>
    </comment>
    <comment ref="D302" authorId="0">
      <text>
        <r>
          <rPr>
            <sz val="9"/>
            <color indexed="81"/>
            <rFont val="Tahoma"/>
            <family val="2"/>
          </rPr>
          <t>Insight iXlW00004C0000302R0841462918S00000301P00556LAocjBAQBF1NjaVRlZ2ljLmRhdGEuTW9sZWN1bGUBbQF/ARJTY2lUZWdpYy5Nb2xlY3VsZQAAAQFkAv5qAQAAAAIAAhwYAAAA/AgA/AACAAAAAAAA8L8C7lqJnd7I9D8Ce8erYvz/578AAAAAIAAAAPwIAPwAAgAAAAAAAPC/AlINlVrItAJAAsKpS2uUmfW/AAAAABgAAAD8BAD8AAIAAAAAAADwvwIqitBa2Mj0PwLTYaISEgDoPwAAAAAYAAAA/AQA/AACAAAAAAAA8L8CgUmWpuix4L4COepvNAEA+D8AAAAAHAAAAPwEAPwAAgAAAAAAAPC/AgS0xbPgyPS/AhLLAij1/+c/AAAAABgAAAD8BAD8AAIAAAAAAADwvwIDxg5x2sj0vwLWkvvXCgDovwAAAAAYAAAA/AQA/AACAAAAAAAA8L8CIIqKpuix0D4C8gBxNAEA+L8AAAAAHAAECAAAAAAAAAAIBAAEAAAAAAgMBAAEAAAAAAwQBAAEAAAAABAUBAAEAAAAABQYBAAEAAAAABgABAAEAAAAAAAAAAA=</t>
        </r>
      </text>
    </comment>
    <comment ref="D303" authorId="0">
      <text>
        <r>
          <rPr>
            <sz val="9"/>
            <color indexed="81"/>
            <rFont val="Tahoma"/>
            <family val="2"/>
          </rPr>
          <t>Insight iXlW00004C0000303R0841462918S00000302P00816LAocjBAQBF1NjaVRlZ2ljLmRhdGEuTW9sZWN1bGUBbQF/ARJTY2lUZWdpYy5Nb2xlY3VsZQAAAQFkAv5qAQAAAAIAAiwcAAAA/Ag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gA/AACAAAAAAAA8L8C2BKHuC7HBEACaKlfB6MM+L8AAAAAIAAAAPwIAPwAAgAAAAAAAPC/ArrbHCGpGQ1AApzFl5nj9Oy/AAAAABwAAAD8CAD8AAIAAAAAAADwvwJfUNOZz8IEQALwLG/2AAgIwAAAAAAYAAAA/AQA/AACAAAAAAAA8L8ChGEpmp8QDUACBV38ly3ZDMAAAAAAGAAAAPwEAPwAAgAAAAAAAPC/AvkOe2Kq4Pg/Aj0QuZMZ0QzAAAAAACwABAQABAAAAAAECAQABAAAAAAIDAQABAAAAAAMEAQABAAAAAAQFAQABAAAAAAUAAQABAAAAAAAGAQAAAAAAAAYHAgAAAAAAAAYIAQAAAAAAAAgJAQAAAAAAAAgKAQAAAAAAAAAAAAA</t>
        </r>
      </text>
    </comment>
    <comment ref="D304" authorId="0">
      <text>
        <r>
          <rPr>
            <sz val="9"/>
            <color indexed="81"/>
            <rFont val="Tahoma"/>
            <family val="2"/>
          </rPr>
          <t>Insight iXlW00004C0000304R0841462918S00000303P00948LAocjBAQBF1NjaVRlZ2ljLmRhdGEuTW9sZWN1bGUBbQF/ARJTY2lUZWdpYy5Nb2xlY3VsZQAAAQFkAv5qAQAAAAIAAjQcAAAA/AQ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QA/AACAAAAAAAA8L8C2BKHuC7HBEACaKlfB6MM+L8AAAAAGAAAAPwEAPwAAgAAAAAAAPC/Al9Q05nPwgRAAvAsb/YACAjAAAAAABgAAAD8BAD8AAIAAAAAAADwvwICydp9iSUPQAIKKZKkUQ4OwAAAAAAYAAAA/AQA/AACAAAAAAAA8L8CiAYnXyohD0ACosCoiwAIFcAAAAAAGAAAAPwEAPwAAgAAAAAAAPC/ApY/lyHywRRAArA+uuIoCxjAAAAAABgAAAD8BAD8AAIAAAAAAADwvwJZXj2Swr8UQALO6hmcAAwewAAAAAAYAAAA/AQA/AACAAAAAAAA8L8C7GZokqrmGEACbEFwdks6IMAAAAAANAAEBAAEAAAAAAQIBAAEAAAAAAgMBAAEAAAAAAwQBAAEAAAAABAUBAAEAAAAABQABAAEAAAAAAAYBAAAAAAAABgcBAAAAAAAABwgBAAAAAAAACAkBAAAAAAAACQoBAAAAAAAACgsBAAAAAAAACwwBAAAAAAAAAAAAAA=</t>
        </r>
      </text>
    </comment>
    <comment ref="D305" authorId="0">
      <text>
        <r>
          <rPr>
            <sz val="9"/>
            <color indexed="81"/>
            <rFont val="Tahoma"/>
            <family val="2"/>
          </rPr>
          <t>Insight iXlW00004C0000305R0841462918S00000304P01092LAocjBAQBF1NjaVRlZ2ljLmRhdGEuTW9sZWN1bGUBbQF/ARJTY2lUZWdpYy5Nb2xlY3VsZQAAAQFkAv5qAQAAAAIAAjw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QA/AACAAAAAAAA8L8C2BKHuC7HBEACaKlfB6MM+L8AAAAAGAAAAPwEAPwAAgAAAAAAAPC/Al9Q05nPwgRAAvAsb/YACAjAAAAAABgAAAD8BAD8AAIAAAAAAADwvwICydp9iSUPQAIKKZKkUQ4OwAAAAAAcAAAA/AQA/AACAAAAAAAA8L8CiAYnXyohD0ACosCoiwAIFcAAAAAAGAAAAPwEAPwAAgAAAAAAAPC/AllQ+codwBRAAlSnYo+xDBjAAAAAABgAAAD8BAD8AAIAAAAAAADwvwLp3/mvzboUQAI29DQ1rwwewAAAAAAcAAAA/AQA/AACAAAAAAAA8L8CMqZVmeELD0ACAFZMOQqEIMAAAAAAGAAAAPwEAPwAAgAAAAAAAPC/AgDXD/3GrARAAkEO0FZ8Ax7AAAAAABgAAAD8BAD8AAIAAAAAAADwvwIoj9IcZbcEQALoUBGwfgMYwAAAAAABEAAECAAEBAAAAAQIBAAEBAAAAAgMCAAEBAAAAAwQBAAEBAAAABAUCAAEBAAAABQABAAEBAAAAAAYBAAAAAAAABgcBAAAAAAAABwgBAAAAAAAACAkBAAAAAAAACQoBAAEAAAAACgsBAAEAAAAACwwBAAEAAAAADA0BAAEAAAAADQ4BAAEAAAAADgkBAAEAAAAAAAAAAA=</t>
        </r>
      </text>
    </comment>
    <comment ref="D306" authorId="0">
      <text>
        <r>
          <rPr>
            <sz val="9"/>
            <color indexed="81"/>
            <rFont val="Tahoma"/>
            <family val="2"/>
          </rPr>
          <t>Insight iXlW00004C0000306R0841462918S00000305P01024LAocjBAQBF1NjaVRlZ2ljLmRhdGEuTW9sZWN1bGUBbQF/ARJTY2lUZWdpYy5Nb2xlY3VsZQAAAQFkAv5qAQAAAAIAAjgYAAAA/AgA/AACAAAAAAAA8L8C7lqJnd7I9D8Ce8erYvz/578AAAAAGAAAAPwIAPwAAgAAAAAAAPC/AiqK0FrYyPQ/AtNhohISAOg/AAAAABgAAAD8CAD8AAIAAAAAAADwvwKBSZam6LHgvgI56m80AQD4PwAAAAAYAAAA/AgA/AACAAAAAAAA8L8CBLTFs+DI9L8CEssCKPX/5z8AAAAAGAAAAPwEAPwAAgAAAAAAAPC/AhMLjNDJtALAAsJo1VuPmfU/AAAAABgAAAD8CAD8AAIAAAAAAADwvwIDxg5x2sj0vwLWkvvXCgDovwAAAAAYAAAA/AgA/AACAAAAAAAA8L8CIIqKpuix0D4C8gBxNAEA+L8AAAAAGAAAAPwEAPwAAgAAAAAAAPC/AtgSh7guxwRAAmipXwejDPi/AAAAABwAAAD8BAD8AAIAAAAAAADwvwJfUNOZz8IEQALwLG/2AAgIwAAAAAAYAAAA/AQA/AACAAAAAAAA8L8C21UcS+EhD0ACM/AsQWIRDsAAAAAAGAAAAPwEAPwAAgAAAAAAAPC/AlPgqvhBFw9AAjOAzcauCBXAAAAAABwAAAD8BAD8AAIAAAAAAADwvwIPDyWjiK0EQALDCuxmFAQYwAAAAAAYAAAA/AQA/AACAAAAAAAA8L8CdFDUKNuc9D8Cfo55rXz/FMAAAAAAGAAAAPwEAPwAAgAAAAAAAPC/AsrpPqEVsvQ/Am5TrAz+/g3AAAAAADwABAgABAQAAAAECAQABAQAAAAIDAgABAQAAAAMEAQAAAAAAAAMFAQABAQAAAAUGAgABAQAAAAYAAQABAQAAAAAHAQAAAAAAAAcIAQAAAAAAAAgJAQABAAAAAAkKAQABAAAAAAoLAQABAAAAAAsMAQABAAAAAAwNAQABAAAAAA0IAQABAAAAAAAAAAA</t>
        </r>
      </text>
    </comment>
    <comment ref="D307" authorId="0">
      <text>
        <r>
          <rPr>
            <sz val="9"/>
            <color indexed="81"/>
            <rFont val="Tahoma"/>
            <family val="2"/>
          </rPr>
          <t>Insight iXlW00004C0000307R0841462918S00000306P00972LAocjBAQBF1NjaVRlZ2ljLmRhdGEuTW9sZWN1bGUBbQF/ARJTY2lUZWdpYy5Nb2xlY3VsZQAAAQFkAv5qAQAAAAIAAjQYAAAA/AgA/AACAAAAAAAA8L8C7lqJnd7I9D8Ce8erYvz/578AAAAAGAAAAPwIAPwAAgAAAAAAAPC/AiqK0FrYyPQ/AtNhohISAOg/AAAAABgAAAD8BAD8AAIAAAAAAADwvwKBSZam6LHgvgI56m80AQD4PwAAAAAcAAAA/AQA/AACAAAAAAAA8L8CBLTFs+DI9L8CEssCKPX/5z8AAAAAGAAAAPwEAPwAAgAAAAAAAPC/AgPGDnHayPS/AtaS+9cKAOi/AAAAABgAAAD8CAD8AAIAAAAAAADwvwL0z0pj2cgEQAK9TGwMDAD4PwAAAAAYAAAA/AgA/AACAAAAAAAA8L8CyEcPskgtD0ACbCryhyAA6D8AAAAAGAAAAPwIAPwAAgAAAAAAAPC/Asq+atNLLQ9AAn4zDHjf/+e/AAAAABgAAAD8CAD8AAIAAAAAAADwvwIgioqm6LHQPgLyAHE0AQD4vwAAAAAYAAAA/AgA/AACAAAAAAAA8L8CAABa3Coa5j4CmJfa3QEACMAAAAAAGAAAAPwIAPwAAgAAAAAAAPC/Ag5YUSDryPQ/AtxlcX7+/w3AAAAAABgAAAD8CAD8AAIAAAAAAADwvwKfL9YN4sgEQAJ8YUG5+/8HwAAAAAAYAAAA/AgA/AACAAAAAAAA8L8CbA4Cpt/IBEACcJ50XPb/978AAAAAPAAECAAEBAAAAAQIBAAEAAAAAAgMBAAEAAAAAAwQBAAEAAAAAAQUBAAEBAAAABQYCAAEBAAAABgcBAAEBAAAAAAgBAAEBAAAACAQBAAEAAAAACAkCAAEBAAAACQoBAAEBAAAACgsCAAEBAAAAAAwBAAEBAAAADAcCAAEBAAAADAsBAAEBAAAAAAAAAA=</t>
        </r>
      </text>
    </comment>
    <comment ref="D308" authorId="0">
      <text>
        <r>
          <rPr>
            <sz val="9"/>
            <color indexed="81"/>
            <rFont val="Tahoma"/>
            <family val="2"/>
          </rPr>
          <t>Insight iXlW00004C0000308R0841462918S00000307P01024LAocjBAQBF1NjaVRlZ2ljLmRhdGEuTW9sZWN1bGUBbQF/ARJTY2lUZWdpYy5Nb2xlY3VsZQAAAQFkAv5qAQAAAAIAAjgYAAAA/AQA/AACAAAAAAAA8L8C7lqJnd7I9D8Ce8erYvz/578AAAAAGAAAAPwEAPwAAgAAAAAAAPC/AiqK0FrYyPQ/AtNhohISAOg/AAAAABgAAAD8BAD8AAIAAAAAAADwvwKBSZam6LHgvgI56m80AQD4PwAAAAAYAAAA/AQA/AACAAAAAAAA8L8CBLTFs+DI9L8CEssCKPX/5z8AAAAAGAAAAPwEAPwAAgAAAAAAAPC/AgPGDnHayPS/AtaS+9cKAOi/AAAAABgAAAD8BAD8AAIAAAAAAADwvwIgioqm6LHQPgLyAHE0AQD4vwAAAAAYAAAA/AQA/AACAAAAAAAA8L8C2BKHuC7HBEACaKlfB6MM+L8AAAAAGAAAAPwEAPwAAgAAAAAAAPC/Al9Q05nPwgRAAvAsb/YACAjAAAAAABwAAAD8BAD8AAIAAAAAAADwvwICydp9iSUPQAIKKZKkUQ4OwAAAAAAYAAAA/AQA/AACAAAAAAAA8L8C1K2DSqglD0ACNzLrSTEHFcAAAAAAGAAAAPwEAPwAAgAAAAAAAPC/AuhjNksHxRRAAtUSygk4BxjAAAAAABwAAAD8BAD8AAIAAAAAAADwvwKs3d5oQvcZQAJVkcoWPwcVwAAAAAAYAAAA/AQA/AACAAAAAAAA8L8CWm8i5kr3GUACliWhLX4ODsAAAAAAGAAAAPwEAPwAAgAAAAAAAPC/AnZhvkUYxRRAAuDkOt9uDgjAAAAAADwABAQABAAAAAAECAQABAAAAAAIDAQABAAAAAAMEAQABAAAAAAQFAQABAAAAAAUAAQABAAAAAAAGAQAAAAAAAAYHAQAAAAAAAAcIAQAAAAAAAAgJAQABAAAAAAkKAQABAAAAAAoLAQABAAAAAAsMAQABAAAAAAwNAQABAAAAAA0IAQABAAAAAAAAAAA</t>
        </r>
      </text>
    </comment>
    <comment ref="D309" authorId="0">
      <text>
        <r>
          <rPr>
            <sz val="9"/>
            <color indexed="81"/>
            <rFont val="Tahoma"/>
            <family val="2"/>
          </rPr>
          <t>Insight iXlW00004C0000309R0841462918S00000308P01648LAocjBAQBF1NjaVRlZ2ljLmRhdGEuTW9sZWN1bGUBbQF/ARJTY2lUZWdpYy5Nb2xlY3VsZQAAAQFkAv5qAQAAAAIAAgEXHAAAAPwIAPwAAgAAAAAAAPC/AkRv/4kxMQ9AAsUjQWyzBui/AAAAAAEQAAAA/AQA/AACAAAAAAAA8L8CnkOzb1TKBEACTOdO4asB+L8AAAAAIAAAAPwIAPwAAgAAAAAAAPC/Ao1BtBGOyQRAAsSYP4JvmgXAAAAAACAAAAD8CAD8AAIAAAAAAADwvwJSmnRiFxoNQAIu8J/jpM4AwAAAAAAYAAAA/AgA/AACAAAAAAAA8L8C7lqJnd7I9D8Ce8erYvz/578AAAAAGAAAAPwIAPwAAgAAAAAAAPC/AiqK0FrYyPQ/AtNhohISAOg/AAAAABgAAAD8CAD8AAIAAAAAAADwvwKBSZam6LHgvgI56m80AQD4PwAAAAAYAAAA/AgA/AACAAAAAAAA8L8CBLTFs+DI9L8CEssCKPX/5z8AAAAAGAAAAPwIAPwAAgAAAAAAAPC/AgPGDnHayPS/AtaS+9cKAOi/AAAAABgAAAD8BAD8AAIAAAAAAADwvwJqODRCUMoEwAKdk25+ugH4vwAAAAAkAAAA/AQA/AACAAAAAAAA8L8CEKGg2XAbDcAC/EGgDLDV7L8AAAAAJAAAAPwEAPwAAgAAAAAAAPC/AtVL/IOGyQTAAlUVidB2mgXAAAAAACQAAAD8BAD8AAIAAAAAAADwvwJ3zX2EERoNwAIcTWser84AwAAAAAAYAAAA/AgA/AACAAAAAAAA8L8CIIqKpuix0D4C8gBxNAEA+L8AAAAAGAAAAPwEAPwAAgAAAAAAAPC/AitsZleLyxRAAkaZ7nYHBfi/AAAAABgAAAD8BAD8AAIAAAAAAADwvwJcD5ClZP8ZQAL8RE7SOCDovwAAAAAYAAAA/AQA/AACAAAAAAAA8L8CgKw26wowH0ACdXcdie4a+L8AAAAAHAAAAPwEAPwAAgAAAAAAAPC/AoZ+ZCHrLB9AAqZiHKR1DQjAAAAAABgAAAD8BAD8AAIAAAAAAADwvwICZpsRJfkZQALo+x8oDAgOwAAAAAAYAAAA/AQA/AACAAAAAAAA8L8CEi/tRX7IFEACtHVD5qQCCMAAAAAAGAAAAPwEAPwAAgAAAAAAAPC/AtjMNZ8pMg9AAiM+oTdw/+c/AAAAABgAAAD8BAD8AAIAAAAAAADwvwKpfQvt2JcSQAIg2LcJYFX/PwAAAAAYAAAA/AQA/AACAAAAAAAA8L8C2oSzP7IvCUACgsOsyDNP/z8AAAAAARkABAQAAAAAAAAECAgAAAAAAAAEDAgAAAAAAAAEEAQAAAAAAAAQFAgABAQAAAAUGAQABAQAAAAYHAgABAQAAAAcIAQABAQAAAAgJAQAAAAAAAAkKAQAAAAAAAAkLAQAAAAAAAAkMAQAAAAAAAAgNAgABAQAAAA0EAQABAQAAAAAOAQAAAAAAAA4PAQABAAAAAA8ARAEAAQAAAAAARABEQQABAAAAAABEQESBAAEAAAAAAESARMEAAQAAAAAARM4BAAEAAAAAAABFAQAAAAAAAABFAEVBAAEAAAAAAEVARYEAAQAAAAAARYBFAQABAAAAAAAAAAA</t>
        </r>
      </text>
    </comment>
    <comment ref="D310" authorId="0">
      <text>
        <r>
          <rPr>
            <sz val="9"/>
            <color indexed="81"/>
            <rFont val="Tahoma"/>
            <family val="2"/>
          </rPr>
          <t>Insight iXlW00004C0000310R0841462918S00000309P01092LAocjBAQBF1NjaVRlZ2ljLmRhdGEuTW9sZWN1bGUBbQF/ARJTY2lUZWdpYy5Nb2xlY3VsZQAAAQFkAv5qAQAAAAIAAjwYAAAA/AQA/AACAAAAAAAA8L8C7lqJnd7I9D8Ce8erYvz/578AAAAAGAAAAPwIAPwAAgAAAAAAAPC/AsJ7fF0IgARAAiDYh2oeFpY/AAAAACAAAAD8CAD8AAIAAAAAAADwvwJS4EiDEYEEQAJ2EEKQi4vzPwAAAAAcAAAA/AgA/AACAAAAAAAA8L8CSmSDnj/QDEACfyz/l2WD4r8AAAAAGAAAAPwEAPwAAgAAAAAAAPC/AiqK0FrYyPQ/AtNhohISAOg/AAAAABgAAAD8BAD8AAIAAAAAAADwvwKBSZam6LHgvgI56m80AQD4PwAAAAAcAAAA/AQA/AACAAAAAAAA8L8CBLTFs+DI9L8CEssCKPX/5z8AAAAAGAAAAPwEAPwAAgAAAAAAAPC/AgPGDnHayPS/AtaS+9cKAOi/AAAAABgAAAD8BAD8AAIAAAAAAADwvwIgioqm6LHQPgLyAHE0AQD4vwAAAAAcAAAA/AQA/AACAAAAAAAA8L8C1EbpgEU09D8CmUSZeb/XAcAAAAAAGAAAAPwEAPwAAgAAAAAAAPC/AkXb7vIkWARAAgUhWTB6GAjAAAAAABgAAAD8BAD8AAIAAAAAAADwvwKpLELr3gwEQAJm3WQIxwsSwAAAAAAYAAAA/AQA/AACAAAAAAAA8L8CoCJMRTUH8z8CwDq9I/TqFMAAAAAAGAAAAPwEAPwAAgAAAAAAAPC/AgAqVaOVTLe/AsbsrZiXyhHAAAAAABgAAAD8BAD8AAIAAAAAAADwvwJAa3ngLsirvwJgQ9RDG5YHwAAAAAABEAAEBAAAAAAAAAQICAAAAAAAAAQMBAAAAAAAAAAQBAAEAAAAABAUBAAEAAAAABQYBAAEAAAAABgcBAAEAAAAABwgBAAEAAAAACAABAAEAAAAAAAkBAAAAAAAACQoBAAEAAAAACgsBAAEAAAAACwwBAAEAAAAADA0BAAEAAAAADQ4BAAEAAAAADgkBAAEAAAAAAAAAAA=</t>
        </r>
      </text>
    </comment>
    <comment ref="D311" authorId="0">
      <text>
        <r>
          <rPr>
            <sz val="9"/>
            <color indexed="81"/>
            <rFont val="Tahoma"/>
            <family val="2"/>
          </rPr>
          <t>Insight iXlW00004C0000311R0841462918S00000310P00688LAocjBAQBF1NjaVRlZ2ljLmRhdGEuTW9sZWN1bGUBbQF/ARJTY2lUZWdpYy5Nb2xlY3VsZQAAAQFkAv5qAQAAAAIAAiQYAAAA/AQA/AACAAAAAAAA8L8CTnb7SZMOFkAC04MnwJtlGEAAAAAAHAAAAPwEAPwAAgAAAAAAAPC/Al5dAURgRhlAAmDm7V+VqRdAAAAAABgAAAD8BAD8AAIAAAAAAADwvwL0jPGKWWYbQAKYLTOsgjIaQAAAAAAYAAAA/AQA/AACAAAAAAAA8L8CMgWKvEWmHkACrshMm+6gGUAAAAAAHAAAAPwEAPwAAgAAAAAAAPC/AjVtN/IoyB9AAjEMcG+thxZAAAAAABgAAAD8BAD8AAIAAAAAAADwvwIPgJ0uIKodQAL///////8TQAAAAAAYAAAA/AQA/AACAAAAAAAA8L8CSHbc4DNqGkACrfvyZ5ORFEAAAAAAAWkAAAD8BAD8AAIAAAAAAADwvwLJ0hVao1IVQAL3VKE7AJ0bQAAAAAABaQAAAPwEAPwAAgAAAAAAAPC/AgAAAAAAABRAAqwUeApN0RVAAAAAACQABAQAAAAAAAAECAQABAAAAAAIDAQABAAAAAAMEAQABAAAAAAQFAQABAAAAAAUGAQABAAAAAAYBAQABAAAAAAAHAQAAAAAAAAgAAQAAAAAAAAAAAAA</t>
        </r>
      </text>
    </comment>
    <comment ref="D312" authorId="0">
      <text>
        <r>
          <rPr>
            <sz val="9"/>
            <color indexed="81"/>
            <rFont val="Tahoma"/>
            <family val="2"/>
          </rPr>
          <t>Insight iXlW00004C0000312R0841462918S00000311P01160LAocjBAQBF1NjaVRlZ2ljLmRhdGEuTW9sZWN1bGUBbQF/ARJTY2lUZWdpYy5Nb2xlY3VsZQAAAQFkAv5qAQAAAAIAAgEQHAAAAPwIAPwAAgAAAAAAAPC/Au5aiZ3eyPQ/AnvHq2L8/+e/AAAAABgAAAD8BAD8AAIAAAAAAADwvwIqitBa2Mj0PwLTYaISEgDoPwAAAAAYAAAA/AQA/AACAAAAAAAA8L8CgUmWpuix4L4COepvNAEA+D8AAAAAHAAAAPwEAPwAAgAAAAAAAPC/AgS0xbPgyPS/AhLLAij1/+c/AAAAABgAAAD8BAD8AAIAAAAAAADwvwIDxg5x2sj0vwLWkvvXCgDovwAAAAAYAAAA/AQA/AACAAAAAAAA8L8CIIqKpuix0D4C8gBxNAEA+L8AAAAAGAAAAPwIAPwAAgAAAAAAAPC/AtgSh7guxwRAAmipXwejDPi/AAAAACAAAAD8CAD8AAIAAAAAAADwvwK62xwhqRkNQAKcxZeZ4/TsvwAAAAAYAAAA/AgA/AACAAAAAAAA8L8CX1DTmc/CBEAC8Cxv9gAICMAAAAAAGAAAAPwIAPwAAgAAAAAAAPC/AgLJ2n2JJQ9AAgopkqRRDg7AAAAAABgAAAD8CAD8AAIAAAAAAADwvwKIBidfKiEPQAKiwKiLAAgVwAAAAAAYAAAA/AgA/AACAAAAAAAA8L8CWVD5yh3AFEACVKdij7EMGMAAAAAAGAAAAPwIAPwAAgAAAAAAAPC/Aunf+a/NuhRAAjb0NDWvDB7AAAAAABgAAAD8CAD8AAIAAAAAAADwvwIyplWZ4QsPQAIAVkw5CoQgwAAAAAAYAAAA/AgA/AACAAAAAAAA8L8CANcP/casBEACQQ7QVnwDHsAAAAAAGAAAAPwIAPwAAgAAAAAAAPC/AiiP0hxltwRAAuhQEbB+AxjAAAAAAAERAAQEAAQAAAAABAgEAAQAAAAACAwEAAQAAAAADBAEAAQAAAAAEBQEAAQAAAAAFAAEAAQAAAAAABgEAAAAAAAAGBwIAAAAAAAAGCAEAAAAAAAAICQIDAAAAAAAJCgEAAAAAAAAKCwIAAQEAAAALDAEAAQEAAAAMDQIAAQEAAAANDgEAAQEAAAAODwIAAQEAAAAPCgEAAQEAAAAAAAAAA==</t>
        </r>
      </text>
    </comment>
    <comment ref="D313" authorId="0">
      <text>
        <r>
          <rPr>
            <sz val="9"/>
            <color indexed="81"/>
            <rFont val="Tahoma"/>
            <family val="2"/>
          </rPr>
          <t>Insight iXlW00004C0000313R0841462918S00000312P00752LAocjBAQBF1NjaVRlZ2ljLmRhdGEuTW9sZWN1bGUBbQF/ARJTY2lUZWdpYy5Nb2xlY3VsZQAAAQFkAv5qAQAAAAIAAigcAAAA/AgA/AACAAAAAAAA8L8C7lqJnd7I9D8Ce8erYvz/578AAAAAARAAAAD8BAD8AAIAAAAAAADwvwKeQ7NvVMoEQAJM507hqwH4vwAAAAAgAAAA/AgA/AACAAAAAAAA8L8C3up8V3MbDUACuv2GH4fV7L8AAAAAIAAAAPwIAPwAAgAAAAAAAPC/Ao1BtBGOyQRAAsSYP4JvmgXAAAAAABgAAAD8BAD8AAIAAAAAAADwvwJSmnRiFxoNQAIu8J/jpM4AwAAAAAAYAAAA/AQA/AACAAAAAAAA8L8CKorQWtjI9D8C02GiEhIA6D8AAAAAGAAAAPwEAPwAAgAAAAAAAPC/AoFJlqboseC+AjnqbzQBAPg/AAAAABwAAAD8BAD8AAIAAAAAAADwvwIEtMWz4Mj0vwISywIo9f/nPwAAAAAYAAAA/AQA/AACAAAAAAAA8L8CA8YOcdrI9L8C1pL71woA6L8AAAAAGAAAAPwEAPwAAgAAAAAAAPC/AiCKiqbosdA+AvIAcTQBAPi/AAAAACgABAQAAAAAAAAECAgAAAAAAAAEDAgAAAAAAAAEEAQAAAAAAAAAFAQABAAAAAAUGAQABAAAAAAYHAQABAAAAAAcIAQABAAAAAAgJAQABAAAAAAkAAQABAAAAAAAAAAA</t>
        </r>
      </text>
    </comment>
    <comment ref="D314" authorId="0">
      <text>
        <r>
          <rPr>
            <sz val="9"/>
            <color indexed="81"/>
            <rFont val="Tahoma"/>
            <family val="2"/>
          </rPr>
          <t>Insight iXlW00004C0000314R0841462918S00000313P00752LAocjBAQBF1NjaVRlZ2ljLmRhdGEuTW9sZWN1bGUBbQF/ARJTY2lUZWdpYy5Nb2xlY3VsZQAAAQFkAv5qAQAAAAIAAigYAAAA/AQA/AACAAAAAAAA8L8C7lqJnd7I9D8Ce8erYvz/578AAAAAGAAAAPwEAPwAAgAAAAAAAPC/Ap5Ds29UygRAAkznTuGrAfi/AAAAACQAAAD8BAD8AAIAAAAAAADwvwLe6nxXcxsNQAK6/YYfh9XsvwAAAAAkAAAA/AQA/AACAAAAAAAA8L8CjUG0EY7JBEACxJg/gm+aBcAAAAAAJAAAAPwEAPwAAgAAAAAAAPC/AlKadGIXGg1AAi7wn+OkzgDAAAAAABgAAAD8BAD8AAIAAAAAAADwvwIqitBa2Mj0PwLTYaISEgDoPwAAAAAcAAAA/AQA/AACAAAAAAAA8L8CgUmWpuix4L4COepvNAEA+D8AAAAAGAAAAPwEAPwAAgAAAAAAAPC/AgS0xbPgyPS/AhLLAij1/+c/AAAAABgAAAD8BAD8AAIAAAAAAADwvwIDxg5x2sj0vwLWkvvXCgDovwAAAAAYAAAA/AQA/AACAAAAAAAA8L8CIIqKpuix0D4C8gBxNAEA+L8AAAAAKAAEBAAAAAAAAAQIBAAAAAAAAAQMBAAAAAAAAAQQBAAAAAAAAAAUBAAEAAAAABQYBAAEAAAAABgcBAAEAAAAABwgBAAEAAAAACAkBAAEAAAAACQABAAEAAAAAAAAAAA=</t>
        </r>
      </text>
    </comment>
    <comment ref="D315" authorId="0">
      <text>
        <r>
          <rPr>
            <sz val="9"/>
            <color indexed="81"/>
            <rFont val="Tahoma"/>
            <family val="2"/>
          </rPr>
          <t>Insight iXlW00004C0000315R0841462918S00000314P00896LAocjBAQBF1NjaVRlZ2ljLmRhdGEuTW9sZWN1bGUBbQF/ARJTY2lUZWdpYy5Nb2xlY3VsZQAAAQFkAv5qAQAAAAIAAjAYAAAA/AgA/AACAAAAAAAA8L8C7lqJnd7I9D8Ce8erYvz/578AAAAAHAAAAPwIAPwAAgAAAAAAAPC/AiqK0FrYyPQ/AtNhohISAOg/AAAAABgAAAD8CAD8AAIAAAAAAADwvwKBSZam6LHgvgI56m80AQD4PwAAAAAYAAAA/AgA/AACAAAAAAAA8L8CBLTFs+DI9L8CEssCKPX/5z8AAAAAGAAAAPwIAPwAAgAAAAAAAPC/AgPGDnHayPS/AtaS+9cKAOi/AAAAABgAAAD8CAD8AAIAAAAAAADwvwIgioqm6LHQPgLyAHE0AQD4vwAAAAAYAAAA/AQA/AACAAAAAAAA8L8CHZuA6zLKBEACWrY67IIB+L8AAAAAHAAAAPwEAPwAAgAAAAAAAPC/AmV1sE5GMQ9AAmJKObVWFOi/AAAAABgAAAD8BAD8AAIAAAAAAADwvwLHuC/SockUQAK+g4GcmxL4vwAAAAAYAAAA/AQA/AACAAAAAAAA8L8Cfwo/RTLHFEACRCse0UwJCMAAAAAAGAAAAPwEAPwAAgAAAAAAAPC/AlyFcBqIJw9AAphSeucUBQ7AAAAAABgAAAD8BAD8AAIAAAAAAADwvwI4Xee4icUEQAJGRsWU3gAIwAAAAAA0AAQIAAQEAAAABAgEAAQEAAAACAwIAAQEAAAADBAEAAQEAAAAEBQIAAQEAAAAFAAEAAQEAAAAABgEAAAAAAAAGBwEAAQAAAAAHCAEAAQAAAAAICQEAAQAAAAAJCgEAAQAAAAAKCwEAAQAAAAALBgEAAQAAAAAAAAAAA==</t>
        </r>
      </text>
    </comment>
    <comment ref="D316" authorId="0">
      <text>
        <r>
          <rPr>
            <sz val="9"/>
            <color indexed="81"/>
            <rFont val="Tahoma"/>
            <family val="2"/>
          </rPr>
          <t>Insight iXlW00004C0000316R0841462918S00000315P00688LAocjBAQBF1NjaVRlZ2ljLmRhdGEuTW9sZWN1bGUBbQF/ARJTY2lUZWdpYy5Nb2xlY3VsZQAAAQFkAv5qAQAAAAIAAiQYAAAA/AQA/AACAAAAAAAA8L8C7lqJnd7I9D8Ce8erYvz/578AAAAAGAAAAPwEAPwAAgAAAAAAAPC/AtgSh7guxwRAAmipXwejDPi/AAAAACAAAAD8BAD8AAIAAAAAAADwvwJfUNOZz8IEQALwLG/2AAgIwAAAAAAYAAAA/AQA/AACAAAAAAAA8L8ChGEpmp8QDUACBV38ly3ZDMAAAAAAHAAAAPwEAPwAAgAAAAAAAPC/AiqK0FrYyPQ/AtNhohISAOg/AAAAABgAAAD8BAD8AAIAAAAAAADwvwKBSZam6LHgvgI56m80AQD4PwAAAAAYAAAA/AQA/AACAAAAAAAA8L8CBLTFs+DI9L8CEssCKPX/5z8AAAAAGAAAAPwEAPwAAgAAAAAAAPC/AgPGDnHayPS/AtaS+9cKAOi/AAAAABgAAAD8BAD8AAIAAAAAAADwvwIgioqm6LHQPgLyAHE0AQD4vwAAAAAkAAQEAAAAAAAABAgEAAAAAAAACAwEAAAAAAAAABAEAAQAAAAAEBQEAAQAAAAAFBgEAAQAAAAAGBwEAAQAAAAAHCAEAAQAAAAAIAAEAAQAAAAAAAAAAA==</t>
        </r>
      </text>
    </comment>
    <comment ref="D317" authorId="0">
      <text>
        <r>
          <rPr>
            <sz val="9"/>
            <color indexed="81"/>
            <rFont val="Tahoma"/>
            <family val="2"/>
          </rPr>
          <t>Insight iXlW00004C0000317R0841462918S00000316P01104LAocjBAQBF1NjaVRlZ2ljLmRhdGEuTW9sZWN1bGUBbQF/ARJTY2lUZWdpYy5Nb2xlY3VsZQAAAQFkAv5qAQAAAAIAAjwYAAAA/AgA/AACAAAAAAAA8L8CYVTZWAXaDEACiYKwQFCa8j4AAAAAHAAAAPwIAPwAAgAAAAAAAPC/AhLvuWVZzAVAAh6szuuPavO/AAAAABgAAAD8CAD8AAIAAAAAAADwvwLuWomd3sj0PwJ7x6ti/P/nvwAAAAAYAAAA/AgA/AACAAAAAAAA8L8CKorQWtjI9D8C02GiEhIA6D8AAAAAGAAAAPwIAPwAAgAAAAAAAPC/AubyGVVUzAVAAgnchaqmavM/AAAAABgAAAD8CAD8AAIAAAAAAADwvwIgioqm6LHQPgLyAHE0AQD4vwAAAAAYAAAA/AgA/AACAAAAAAAA8L8CA8YOcdrI9L8C1pL71woA6L8AAAAAGAAAAPwIAPwAAgAAAAAAAPC/AgS0xbPgyPS/AhLLAij1/+c/AAAAABgAAAD8CAD8AAIAAAAAAADwvwKBSZam6LHgvgI56m80AQD4PwAAAAAYAAAA/AQA/AACAAAAAAAA8L8CHybqJcdtFEACnCzYgFX0+j4AAAAAHAAAAPwEAPwAAgAAAAAAAPC/AjqhlD8VzBdAAudOUUbCw/O/AAAAABgAAAD8BAD8AAIAAAAAAADwvwIg9lBJuscdQAJ1kgY2aPXxvwAAAAAYAAAA/AQA/AACAAAAAAAA8L8CKY18fbkwIEACqkSbdFBczT8AAAAAGAAAAPwEAPwAAgAAAAAAAPC/ApxPvOWG/xxAAvHG0W4kfvc/AAAAABgAAAD8BAD8AAIAAAAAAADwvwKQHObH4QMXQALBbfmHzq/1PwAAAAABEQAEBAAEBAAAAAQIBAAEBAAAAAgMCAAEBAAAAAwQBAAEBAAAABAACAAEBAAAAAgUBAAEBAAAABQYCAAEBAAAABgcBAAEBAAAABwgCAAEBAAAACAMBAAEBAAAAAAkBAAAAAAAACQoBAAEAAAAACgsBAAEAAAAACwwBAAEAAAAADA0BAAEAAAAADQ4BAAEAAAAADgkBAAEAAAAAAAAAAA=</t>
        </r>
      </text>
    </comment>
    <comment ref="D318" authorId="0">
      <text>
        <r>
          <rPr>
            <sz val="9"/>
            <color indexed="81"/>
            <rFont val="Tahoma"/>
            <family val="2"/>
          </rPr>
          <t>Insight iXlW00004C0000318R0841462918S00000317P00948LAocjBAQBF1NjaVRlZ2ljLmRhdGEuTW9sZWN1bGUBbQF/ARJTY2lUZWdpYy5Nb2xlY3VsZQAAAQFkAv5qAQAAAAIAAjQYAAAA/AQ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gA/AACAAAAAAAA8L8C2BKHuC7HBEACaKlfB6MM+L8AAAAAIAAAAPwIAPwAAgAAAAAAAPC/ArrbHCGpGQ1AApzFl5nj9Oy/AAAAACAAAAD8BAD8AAIAAAAAAADwvwJfUNOZz8IEQALwLG/2AAgIwAAAAAAYAAAA/AQA/AACAAAAAAAA8L8CAsnafYklD0ACCimSpFEODsAAAAAAGAAAAPwEAPwAAgAAAAAAAPC/AgHt/q8KIg9AAgL5ok310xPAAAAAABgAAAD8BAD8AAIAAAAAAADwvwKN3AjN97kTQAKevuCuPW8RwAAAAAAYAAAA/AQA/AACAAAAAAAA8L8C8Ug48wG8E0ACukVIBzlFCcAAAAAANAAEBAAEAAAAAAQIBAAEAAAAAAgMBAAEAAAAAAwQBAAEAAAAABAUBAAEAAAAABQABAAEAAAAAAAYBAAAAAAAABgcCAAAAAAAABggBAAAAAAAACAkBAAAAAAAACQoBAAAAAAAACQsBAAAAAAAACQwBAAAAAAAAAAAAAA=</t>
        </r>
      </text>
    </comment>
    <comment ref="D319" authorId="0">
      <text>
        <r>
          <rPr>
            <sz val="9"/>
            <color indexed="81"/>
            <rFont val="Tahoma"/>
            <family val="2"/>
          </rPr>
          <t>Insight iXlW00004C0000319R0841462918S00000318P00960LAocjBAQBF1NjaVRlZ2ljLmRhdGEuTW9sZWN1bGUBbQF/ARJTY2lUZWdpYy5Nb2xlY3VsZQAAAQFkAv5qAQAAAAIAAjQcAAAA/AQA/AACAAAAAAAA8L8C7lqJnd7I9D8Ce8erYvz/578AAAAAGAAAAPwEAPwAAgAAAAAAAPC/AiqK0FrYyPQ/AtNhohISAOg/AAAAABgAAAD8BAD8AAIAAAAAAADwvwKBSZam6LHgvgI56m80AQD4PwAAAAAcAAAA/AQA/AACAAAAAAAA8L8CBLTFs+DI9L8CEssCKPX/5z8AAAAAGAAAAPwEAPwAAgAAAAAAAPC/AhMLjNDJtALAAsJo1VuPmfU/AAAAABgAAAD8BAD8AAIAAAAAAADwvwIDxg5x2sj0vwLWkvvXCgDovwAAAAAYAAAA/AQA/AACAAAAAAAA8L8CIIqKpuix0D4C8gBxNAEA+L8AAAAAGAAAAPwEAPwAAgAAAAAAAPC/Ah2bgOsyygRAAlq2OuyCAfi/AAAAABgAAAD8BAD8AAIAAAAAAADwvwJldbBORjEPQAJiSjm1VhTovwAAAAAYAAAA/AQA/AACAAAAAAAA8L8Cx7gv0qHJFEACvoOBnJsS+L8AAAAAHAAAAPwEAPwAAgAAAAAAAPC/An8KP0UyxxRAAkQrHtFMCQjAAAAAABgAAAD8BAD8AAIAAAAAAADwvwJchXAaiCcPQAKYUnrnFAUOwAAAAAAYAAAA/AQA/AACAAAAAAAA8L8COF3nuInFBEACRkbFlN4ACMAAAAAAOAAEBAAEAAAAAAQIBAAEAAAAAAgMBAAEAAAAAAwQBAAAAAAAAAwUBAAEAAAAABQYBAAEAAAAABgABAAEAAAAAAAcBAAAAAAAABwgBAAEAAAAACAkBAAEAAAAACQoBAAEAAAAACgsBAAEAAAAACwwBAAEAAAAADAcBAAEAAAAAAAAAAA=</t>
        </r>
      </text>
    </comment>
    <comment ref="D320" authorId="0">
      <text>
        <r>
          <rPr>
            <sz val="9"/>
            <color indexed="81"/>
            <rFont val="Tahoma"/>
            <family val="2"/>
          </rPr>
          <t>Insight iXlW00004C0000320R0841462918S00000319P01104LAocjBAQBF1NjaVRlZ2ljLmRhdGEuTW9sZWN1bGUBbQF/ARJTY2lUZWdpYy5Nb2xlY3VsZQAAAQFkAv5qAQAAAAIAAjwYAAAA/AgA/AACAAAAAAAA8L8C7lqJnd7I9D8Ce8erYvz/578AAAAAGAAAAPwIAPwAAgAAAAAAAPC/AiqK0FrYyPQ/AtNhohISAOg/AAAAABwAAAD8CAD8AAIAAAAAAADwvwKBSZam6LHgvgI56m80AQD4PwAAAAAYAAAA/AgA/AACAAAAAAAA8L8CBLTFs+DI9L8CEssCKPX/5z8AAAAAHAAAAPwIAPwAAgAAAAAAAPC/AgPGDnHayPS/AtaS+9cKAOi/AAAAABgAAAD8CAD8AAIAAAAAAADwvwIgioqm6LHQPgLyAHE0AQD4vwAAAAAcAAAA/AQA/AACAAAAAAAA8L8C3lNtk/my4D4CxAM0jYkBCMAAAAAAGAAAAPwEAPwAAgAAAAAAAPC/AgD4oeX1w/S/AsBtRIQBBg7AAAAAABgAAAD8BAD8AAIAAAAAAADwvwLnH067Lrr0vwKcoKdCAAMVwAAAAAAcAAAA/AQA/AACAAAAAAAA8L8C77/b7ZyOcz8COFGXXOIAGMAAAAAAGAAAAPwEAPwAAgAAAAAAAPC/Ak5ckOGG1/Q/AgmB50LF/hTAAAAAABgAAAD8BAD8AAIAAAAAAADwvwKyH7bjw830PwLItOqDi/0NwAAAAAAYAAAA/AgA/AACAAAAAAAA8L8C+sui+FTMBUAChZiokaVq8z8AAAAAGAAAAPwIAPwAAgAAAAAAAPC/AgpfLUwE2gxAAhIFbh7SGu4+AAAAAAEQAAAA/AQA/AACAAAAAAAA8L8C3n5CCVrMBUAC9b3w0o5q878AAAAAAREABAgABAQAAAAECAQABAQAAAAIDAgABAQAAAAMEAQABAQAAAAQFAgABAQAAAAUAAQABAQAAAAUGAQAAAAAAAAYHAQABAAAAAAcIAQABAAAAAAgJAQABAAAAAAkKAQABAAAAAAoLAQABAAAAAAsGAQABAAAAAAEMAQABAQAAAAwNAgABAQAAAA0OAQABAQAAAA4AAQABAQAAAAAAAAA</t>
        </r>
      </text>
    </comment>
    <comment ref="D321" authorId="0">
      <text>
        <r>
          <rPr>
            <sz val="9"/>
            <color indexed="81"/>
            <rFont val="Tahoma"/>
            <family val="2"/>
          </rPr>
          <t>Insight iXlW00004C0000321R0841462918S00000320P00960LAocjBAQBF1NjaVRlZ2ljLmRhdGEuTW9sZWN1bGUBbQF/ARJTY2lUZWdpYy5Nb2xlY3VsZQAAAQFkAv5qAQAAAAIAAjQYAAAA/AQA/AACAAAAAAAA8L8C7lqJnd7I9D8Ce8erYvz/578AAAAAHAAAAPwEAPwAAgAAAAAAAPC/AiqK0FrYyPQ/AtNhohISAOg/AAAAABgAAAD8BAD8AAIAAAAAAADwvwKBSZam6LHgvgI56m80AQD4PwAAAAAYAAAA/AQA/AACAAAAAAAA8L8CBLTFs+DI9L8CEssCKPX/5z8AAAAAHAAAAPwEAPwAAgAAAAAAAPC/AgPGDnHayPS/AtaS+9cKAOi/AAAAABgAAAD8BAD8AAIAAAAAAADwvwJ0uxouxLQCwAKqRpvgopn1vwAAAAAYAAAA/AQA/AACAAAAAAAA8L8CIIqKpuix0D4C8gBxNAEA+L8AAAAAGAAAAPwIAPwAAgAAAAAAAPC/Ah2bgOsyygRAAlq2OuyCAfi/AAAAABgAAAD8CAD8AAIAAAAAAADwvwJldbBORjEPQAJiSjm1VhTovwAAAAAYAAAA/AgA/AACAAAAAAAA8L8Cx7gv0qHJFEACvoOBnJsS+L8AAAAAGAAAAPwIAPwAAgAAAAAAAPC/An8KP0UyxxRAAkQrHtFMCQjAAAAAABgAAAD8CAD8AAIAAAAAAADwvwJchXAaiCcPQAKYUnrnFAUOwAAAAAAYAAAA/AgA/AACAAAAAAAA8L8COF3nuInFBEACRkbFlN4ACMAAAAAAOAAEBAAEAAAAAAQIBAAEAAAAAAgMBAAEAAAAAAwQBAAEAAAAABAUBAAAAAAAABAYBAAEAAAAABgABAAEAAAAAAAcBAAAAAAAABwgCAAEBAAAACAkBAAEBAAAACQoCAAEBAAAACgsBAAEBAAAACwwCAAEBAAAADAcBAAEBAAAAAAAAAA=</t>
        </r>
      </text>
    </comment>
    <comment ref="D322" authorId="0">
      <text>
        <r>
          <rPr>
            <sz val="9"/>
            <color indexed="81"/>
            <rFont val="Tahoma"/>
            <family val="2"/>
          </rPr>
          <t>Insight iXlW00004C0000322R0841462918S00000321P01296LAocjBAQBF1NjaVRlZ2ljLmRhdGEuTW9sZWN1bGUBbQF/ARJTY2lUZWdpYy5Nb2xlY3VsZQAAAQFkAv5qAQAAAAIAAgESHAAAAPwEAPwAAgAAAAAAAPC/Au5aiZ3eyPQ/AnvHq2L8/+e/AAAAABgAAAD8BAD8AAIAAAAAAADwvwIqitBa2Mj0PwLTYaISEgDoPwAAAAAYAAAA/AQA/AACAAAAAAAA8L8CgUmWpuix4L4COepvNAEA+D8AAAAAHAAAAPwEAPwAAgAAAAAAAPC/AgS0xbPgyPS/AhLLAij1/+c/AAAAABgAAAD8BAD8AAIAAAAAAADwvwIDxg5x2sj0vwLWkvvXCgDovwAAAAAYAAAA/AQA/AACAAAAAAAA8L8CIIqKpuix0D4C8gBxNAEA+L8AAAAAGAAAAPwEAPwAAgAAAAAAAPC/AtgSh7guxwRAAmipXwejDPi/AAAAABgAAAD8CAD8AAIAAAAAAADwvwJfUNOZz8IEQALwLG/2AAgIwAAAAAAgAAAA/AgA/AACAAAAAAAA8L8C+Q57Yqrg+D8CPRC5kxnRDMAAAAAAHAAAAPwIAPwAAgAAAAAAAPC/AgLJ2n2JJQ9AAgopkqRRDg7AAAAAABgAAAD8BAD8AAIAAAAAAADwvwKIBidfKiEPQAKiwKiLAAgVwAAAAAAYAAAA/AQA/AACAAAAAAAA8L8Clj+XIfLBFEACsD664igLGMAAAAAAGAAAAPwIAPwAAgAAAAAAAPC/AllePZLCvxRAAs7qGZwADB7AAAAAABgAAAD8CAD8AAIAAAAAAADwvwJvK6MtS+8ZQAK/6OnPWIggwAAAAAAYAAAA/AgA/AACAAAAAAAA8L8CALujEvvpGUACMA/ToleII8AAAAAAGAAAAPwIAPwAAgAAAAAAAPC/AjKuVC8etRRAAhbrhEEKBiXAAAAAABgAAAD8CAD8AAIAAAAAAADwvwIwjWPCIQsPQAI3nKAzvoMjwAAAAAAYAAAA/AgA/AACAAAAAAAA8L8CVEUm4r8VD0ACiz1BYL+DIMAAAAAAARMABAQABAAAAAAECAQABAAAAAAIDAQABAAAAAAMEAQABAAAAAAQFAQABAAAAAAUAAQABAAAAAAAGAQAAAAAAAAYHAQAAAAAAAAcIAgAAAAAAAAcJAQAAAAAAAAkKAQAAAAAAAAoLAQAAAAAAAAsMAQAAAAAAAAwNAgABAQAAAA0OAQABAQAAAA4PAgABAQAAAA8ARAEAAQEAAAAARABEQgABAQAAAABETAEAAQEAAAAAAAAAA==</t>
        </r>
      </text>
    </comment>
    <comment ref="D323" authorId="0">
      <text>
        <r>
          <rPr>
            <sz val="9"/>
            <color indexed="81"/>
            <rFont val="Tahoma"/>
            <family val="2"/>
          </rPr>
          <t>Insight iXlW00004C0000323R0841462918S00000322P01228LAocjBAQBF1NjaVRlZ2ljLmRhdGEuTW9sZWN1bGUBbQF/ARJTY2lUZWdpYy5Nb2xlY3VsZQAAAQFkAv5qAQAAAAIBAgERGAwAAPwEAPwAAgAAAAAAAPC/Au5aiZ3eyPQ/AnvHq2L8/+e/AAAAABgAAAD8BAD8AAIAAAAAAADwvwIqitBa2Mj0PwLTYaISEgDoPwAAAAAcAAAA/AQA/AACAAAAAAAA8L8CgUmWpuix4L4COepvNAEA+D8AAAAAGAAAAPwEAPwAAgAAAAAAAPC/AgS0xbPgyPS/AhLLAij1/+c/AAAAABgAAAD8BAD8AAIAAAAAAADwvwIDxg5x2sj0vwLWkvvXCgDovwAAAAAYAAAA/AQA/AACAAAAAAAA8L8CIIqKpuix0D4C8gBxNAEA+L8AAAAAHAAAAPwIAPwAAgAAAAAAAPC/Ao52jRqBzQRAAiMgJsO89ve/AAAAABgAAAD8CAD8AAIAAAAAAADwvwJiY5zWMzEPQAIYfszu69rnvwAAAAAgAAAA/AgA/AACAAAAAAAA8L8CgZ4HOOssD0ACKNbiSe0W3T8AAAAAIAAAAPwEAPwAAgAAAAAAAPC/AiijcqwgzRRAAq8P/ccs5Pe/AAAAABgAAAD8BAD8AAIAAAAAAADwvwKTGXoK+v4ZQAIxXXr4y7XnvwAAAAAYAAAA/AgA/AACAAAAAAAA8L8CCouey4AzH0ACPP/TzJzR978AAAAAGAAAAPwIAPwAAgAAAAAAAPC/ArKo2RPjMiJAAkyHVXh4o+e/AAAAABgAAAD8CAD8AAIAAAAAAADwvwJOjVvoAMwkQALJYJ5CnNH3vwAAAAAYAAAA/AgA/AACAAAAAAAA8L8CBgNasgXMJEACKuY/Ic7oB8AAAAAAGAAAAPwIAPwAAgAAAAAAAPC/AjwP16fsMiJAAgAUaFLf6A3AAAAAABgAAAD8CAD8AAIAAAAAAADwvwK+jhwhnTMfQAJD6dkd8egHwAAAAAABEgAEBAAEAAAAAAQIBAAEAAAAAAgMBAAEAAAAAAwQBAAEAAAAABAUBAAEAAAAABQABAAEAAAAAAAYBBAAAAAAABgcBAAAAAAAABwgCAAAAAAAABwkBAAAAAAAACQoBAAAAAAAACgsBAAAAAAAACwwCAAEBAAAADA0BAAEBAAAADQ4CAAEBAAAADg8BAAEBAAAADwBEAgABAQAAAABECwEAAQEAAAAAAAAAA==</t>
        </r>
      </text>
    </comment>
    <comment ref="D324" authorId="0">
      <text>
        <r>
          <rPr>
            <sz val="9"/>
            <color indexed="81"/>
            <rFont val="Tahoma"/>
            <family val="2"/>
          </rPr>
          <t>Insight iXlW00004C0000324R0841462918S00000323P00896LAocjBAQBF1NjaVRlZ2ljLmRhdGEuTW9sZWN1bGUBbQF/ARJTY2lUZWdpYy5Nb2xlY3VsZQAAAQFkAv5qAQAAAAIAAjAYAAAA/AQA/AACAAAAAAAA8L8C7lqJnd7I9D8Ce8erYvz/578AAAAAHAAAAPwEAPwAAgAAAAAAAPC/AiqK0FrYyPQ/AtNhohISAOg/AAAAABgAAAD8BAD8AAIAAAAAAADwvwKBSZam6LHgvgI56m80AQD4PwAAAAAYAAAA/AQA/AACAAAAAAAA8L8CBLTFs+DI9L8CEssCKPX/5z8AAAAAGAAAAPwEAPwAAgAAAAAAAPC/AgPGDnHayPS/AtaS+9cKAOi/AAAAABgAAAD8BAD8AAIAAAAAAADwvwIgioqm6LHQPgLyAHE0AQD4vwAAAAAYAAAA/AQA/AACAAAAAAAA8L8C2BKHuC7HBEACaKlfB6MM+L8AAAAAHAAAAPwEAPwAAgAAAAAAAPC/Al9Q05nPwgRAAvAsb/YACAjAAAAAABgAAAD8BAD8AAIAAAAAAADwvwL6mUMY8nEOQAL6C4a5jPEOwAAAAAAYAAAA/AQA/AACAAAAAAAA8L8CBOIqwn+yCkACbhLFhPArFcAAAAAAGAAAAPwEAPwAAgAAAAAAAPC/AoncugEJZf0/ArYwO5aaJhXAAAAAABgAAAD8BAD8AAIAAAAAAADwvwKFjAr1vA72PwIRKJd4SOAOwAAAAAA0AAQEAAQAAAAABAgEAAQAAAAACAwEAAQAAAAADBAEAAQAAAAAEBQEAAQAAAAAFAAEAAQAAAAAABgEAAAAAAAAGBwEAAAAAAAAHCAEAAQAAAAAICQEAAQAAAAAJCgEAAQAAAAAKCwEAAQAAAAALBwEAAQAAAAAAAAAAA==</t>
        </r>
      </text>
    </comment>
    <comment ref="D325" authorId="0">
      <text>
        <r>
          <rPr>
            <sz val="9"/>
            <color indexed="81"/>
            <rFont val="Tahoma"/>
            <family val="2"/>
          </rPr>
          <t>Insight iXlW00004C0000325R0841462918S00000324P01212LAocjBAQBF1NjaVRlZ2ljLmRhdGEuTW9sZWN1bGUBbQF/ARJTY2lUZWdpYy5Nb2xlY3VsZQAAAQFkAv5qAQAAAAIBAgERHAAAAPwIAPwAAgAAAAAAAPC/Au5aiZ3eyPQ/AnvHq2L8/+e/AAAAABgAAAD8BAD8AAIAAAAAAADwvwIqitBa2Mj0PwLTYaISEgDoPwAAAAAYAAAA/AQA/AACAAAAAAAA8L8CgUmWpuix4L4COepvNAEA+D8AAAAAHAAAAPwEAPwAAgAAAAAAAPC/AgS0xbPgyPS/AhLLAij1/+c/AAAAABgAAAD8BAD8AAIAAAAAAADwvwIDxg5x2sj0vwLWkvvXCgDovwAAAAAYCAAABAQA/AACAAAAAAAA8L8CIIqKpuix0D4C8gBxNAEA+L8AAAAAGAAAAPwEAPwAAgAAAAAAAPC/Ao2wLA7aOGm/AvvX7N60AQjAAAAAABgAAAD8BAD8AAIAAAAAAADwvwIcTxdewtz0vwKs7gT5w/4NwAAAAAAYAAAA/AQA/AACAAAAAAAA8L8CKnyFAN3m9L8CWR4oHy7ME8AAAAAAGAAAAPwEAPwAAgAAAAAAAPC/AsK6R4iVvALAAoArmmNELgnAAAAAABgAAAD8CAD8AAIAAAAAAADwvwKOdo0agc0EQAIjICbDvPb3vwAAAAAgAAAA/AgA/AACAAAAAAAA8L8CcDsiucnRBEACXIqCBveUBcAAAAAAIAAAAPwEAPwAAgAAAAAAAPC/AmJjnNYzMQ9AAhh+zO7r2ue/AAAAABgAAAD8BAD8AAIAAAAAAADwvwIoo3KsIM0UQAKvD/3HLOT3vwAAAAAYAAAA/AQA/AACAAAAAAAA8L8ChNg6KGz0GEACGAqh/AOJ7L8AAAAAGAAAAPwEAPwAAgAAAAAAAPC/AphzQ5VF9hhAAlejHH2DuwDAAAAAABgAAAD8BAD8AAIAAAAAAADwvwKXBb37RM8UQAIiAu4Ir4sFwAAAAAABEQAEBAAEAAAAAAQIBAAEAAAAAAgMBAAEAAAAAAwQBAAEAAAAABAUBAAEAAAAABQABAAEAAAAABQYBBAAAAAAABgcBAAAAAAAABwgBAAAAAAAABwkBAAAAAAAAAAoBAAAAAAAACgsCAAAAAAAACgwBAAAAAAAADA0BAAAAAAAADQ4BAAAAAAAADQ8BAAAAAAAADQBEAQAAAAAAAAAAAAA</t>
        </r>
      </text>
    </comment>
    <comment ref="D326" authorId="0">
      <text>
        <r>
          <rPr>
            <sz val="9"/>
            <color indexed="81"/>
            <rFont val="Tahoma"/>
            <family val="2"/>
          </rPr>
          <t>Insight iXlW00004C0000326R0841462918S00000325P00764LAocjBAQBF1NjaVRlZ2ljLmRhdGEuTW9sZWN1bGUBbQF/ARJTY2lUZWdpYy5Nb2xlY3VsZQAAAQFkAv5qAQAAAAIBAigYCAAAAAQA/AACAAAAAAAA8L8C7lqJnd7I9D8Ce8erYvz/578AAAAABAAAAAAEAPwAAgAAAAAAAPC/Ake5G4Z1UfY/AjafZqAi7fu/AAAAABwAAAD8BAD8AAIAAAAAAADwvwIqitBa2Mj0PwLTYaISEgDoPwAAAAAYAAAA/AQA/AACAAAAAAAA8L8CgUmWpuix4L4COepvNAEA+D8AAAAAGAAAAPwEAPwAAgAAAAAAAPC/AgS0xbPgyPS/AhLLAij1/+c/AAAAABwAAAD8BAD8AAIAAAAAAADwvwIDxg5x2sj0vwLWkvvXCgDovwAAAAAYAAAA/AQA/AACAAAAAAAA8L8CIIqKpuix0D4C8gBxNAEA+L8AAAAAGAAAAPwEAPwAAgAAAAAAAPC/Apg6wWNX0QVAAtRLmrWhDPM/AAAAABgAAAD8BAD8AAIAAAAAAADwvwIauxRKGc8MQALAcZtJfTydvwAAAAAYAAAA/AQA/AACAAAAAAAA8L8CjByzeZSxBUACAKpPul7I878AAAAALAAEBBQAAAAAAAAIBAAEAAAAAAgMBAAEAAAAAAwQBAAEAAAAABAUBAAEAAAAABQYBAAEAAAAABgABAAEAAAAAAgcBAAEAAAAABwgBAAEAAAAACAkBAAEAAAAACQABAAEAAAAAAAAAAA=</t>
        </r>
      </text>
    </comment>
    <comment ref="D327" authorId="0">
      <text>
        <r>
          <rPr>
            <sz val="9"/>
            <color indexed="81"/>
            <rFont val="Tahoma"/>
            <family val="2"/>
          </rPr>
          <t>Insight iXlW00004C0000327R0841462918S00000326P01024LAocjBAQBF1NjaVRlZ2ljLmRhdGEuTW9sZWN1bGUBbQF/ARJTY2lUZWdpYy5Nb2xlY3VsZQAAAQFkAv5qAQAAAAIAAjgcAAAA/AgA/AACAAAAAAAA8L8C7lqJnd7I9D8Ce8erYvz/578AAAAAGAAAAPwEAPwAAgAAAAAAAPC/AiqK0FrYyPQ/AtNhohISAOg/AAAAABgAAAD8BAD8AAIAAAAAAADwvwKBSZam6LHgvgI56m80AQD4PwAAAAAYAAAA/AQA/AACAAAAAAAA8L8CBLTFs+DI9L8CEssCKPX/5z8AAAAAGAAAAPwEAPwAAgAAAAAAAPC/AgPGDnHayPS/AtaS+9cKAOi/AAAAABgAAAD8BAD8AAIAAAAAAADwvwIgioqm6LHQPgLyAHE0AQD4vwAAAAAYAAAA/AgA/AACAAAAAAAA8L8C2BKHuC7HBEACaKlfB6MM+L8AAAAAIAAAAPwIAPwAAgAAAAAAAPC/ArrbHCGpGQ1AApzFl5nj9Oy/AAAAABwAAAD8CAD8AAIAAAAAAADwvwJfUNOZz8IEQALwLG/2AAgIwAAAAAAYAAAA/AQA/AACAAAAAAAA8L8C21UcS+EhD0ACM/AsQWIRDsAAAAAAGAAAAPwEAPwAAgAAAAAAAPC/AlPgqvhBFw9AAjOAzcauCBXAAAAAABwAAAD8BAD8AAIAAAAAAADwvwIPDyWjiK0EQALDCuxmFAQYwAAAAAAYAAAA/AQA/AACAAAAAAAA8L8CdFDUKNuc9D8Cfo55rXz/FMAAAAAAGAAAAPwEAPwAAgAAAAAAAPC/AsrpPqEVsvQ/Am5TrAz+/g3AAAAAADwABAQABAAAAAAECAQABAAAAAAIDAQABAAAAAAMEAQABAAAAAAQFAQABAAAAAAUAAQABAAAAAAAGAQAAAAAAAAYHAgAAAAAAAAYIAQAAAAAAAAgJAQABAAAAAAkKAQABAAAAAAoLAQABAAAAAAsMAQABAAAAAAwNAQABAAAAAA0IAQABAAAAAAAAAAA</t>
        </r>
      </text>
    </comment>
    <comment ref="D328" authorId="0">
      <text>
        <r>
          <rPr>
            <sz val="9"/>
            <color indexed="81"/>
            <rFont val="Tahoma"/>
            <family val="2"/>
          </rPr>
          <t>Insight iXlW00004C0000328R0841462918S00000327P01028LAocjBAQBF1NjaVRlZ2ljLmRhdGEuTW9sZWN1bGUBbQF/ARJTY2lUZWdpYy5Nb2xlY3VsZQAAAQFkAv5qAQAAAAIAAjgBEAAAAPwEAPwAAgAAAAAAAPC/Ap5Ds29UygRAAkrnTuGrAfi/AAAAACAAAAD8CAD8AAIAAAAAAADwvwKPQbQRjskEQALEmD+Cb5oFwAAAAAAgAAAA/AgA/AACAAAAAAAA8L8CUpp0YhcaDUACLfCf46TOAMAAAAAAGAAAAPwIAPwAAgAAAAAAAPC/AkRv/4kxMQ9AAr4jQWyzBui/AAAAAAEQAAAA/AQA/AACAAAAAAAA8L8CKI9LefH/FEACcmkRysn29b8AAAAAGAAAAPwIAPwAAgAAAAAAAPC/AsYg4UByBBlAAhlc/Xz7jdC/AAAAABgAAAD8CAD8AAIAAAAAAADwvwK815cLSQUWQAKw9e78TKfwPwAAAAAYAAAA/AgA/AACAAAAAAAA8L8CCGr8MKYmEEACHBUFMmBb5z8AAAAAHAAAAPwIAPwAAgAAAAAAAPC/Au5aiZ3eyPQ/AnvHq2L8/+e/AAAAABgAAAD8BAD8AAIAAAAAAADwvwIqitBa2Mj0PwLTYaISEgDoPwAAAAAYAAAA/AQA/AACAAAAAAAA8L8CgUmWpuix4L4COepvNAEA+D8AAAAAHAAAAPwEAPwAAgAAAAAAAPC/AgS0xbPgyPS/AhLLAij1/+c/AAAAABgAAAD8BAD8AAIAAAAAAADwvwIDxg5x2sj0vwLWkvvXCgDovwAAAAAYAAAA/AQA/AACAAAAAAAA8L8CIIqKpuix0D4C8gBxNAEA+L8AAAAAPAAECAAAAAAAAAAICAAAAAAAAAAMBAAAAAAAAAwQBAAEBAAAABAUBAAEBAAAABQYCAAEBAAAABgcBAAEBAAAABwMCAAEBAAAAAAgBAAAAAAAACAkBAAEAAAAACQoBAAEAAAAACgsBAAEAAAAACwwBAAEAAAAADA0BAAEAAAAADQgBAAEAAAAAAAAAAA=</t>
        </r>
      </text>
    </comment>
    <comment ref="D329" authorId="0">
      <text>
        <r>
          <rPr>
            <sz val="9"/>
            <color indexed="81"/>
            <rFont val="Tahoma"/>
            <family val="2"/>
          </rPr>
          <t>Insight iXlW00004C0000329R0841462918S00000328P01160LAocjBAQBF1NjaVRlZ2ljLmRhdGEuTW9sZWN1bGUBbQF/ARJTY2lUZWdpYy5Nb2xlY3VsZQAAAQFkAv5qAQAAAAIAAgEQARAAAAD8BAD8AAIAAAAAAADwvwKeQ7NvVMoEQAJK507hqwH4vwAAAAAYAAAA/AQA/AACAAAAAAAA8L8Cj0G0EY7JBEACxJg/gm+aBcAAAAAAIAAAAPwIAPwAAgAAAAAAAPC/At7qfFdzGw1AArT9hh+H1ey/AAAAACAAAAD8CAD8AAIAAAAAAADwvwJSmnRiFxoNQAIt8J/jpM4AwAAAAAAYAAAA/AgA/AACAAAAAAAA8L8C7lqJnd7I9D8Ce8erYvz/578AAAAAGAAAAPwIAPwAAgAAAAAAAPC/AiqK0FrYyPQ/AtNhohISAOg/AAAAABgAAAD8CAD8AAIAAAAAAADwvwKBSZam6LHgvgI56m80AQD4PwAAAAAYAAAA/AgA/AACAAAAAAAA8L8CIIqKpuix0D4C8gBxNAEA+L8AAAAAGAAAAPwIAPwAAgAAAAAAAPC/AgPGDnHayPS/AtaS+9cKAOi/AAAAABgAAAD8CAD8AAIAAAAAAADwvwIEtMWz4Mj0vwISywIo9f/nPwAAAAAYAAAA/AQA/AACAAAAAAAA8L8CpuI+fDTKBMACVtYAgH0B+D8AAAAAGAAAAPwEAPwAAgAAAAAAAPC/AvIBIRBMzwTAAkbUlTnfAAhAAAAAABgAAAD8BAD8AAIAAAAAAADwvwIE2qDGKzYPwAJZjl6eofwNQAAAAAAYAAAA/AQA/AACAAAAAAAA8L8CzlfPm2QsD8ACf+len4ny5z8AAAAAGAAAAPwEAPwAAgAAAAAAAPC/AtCq9qOhyRTAAi83bjfN8Pc/AAAAABwAAAD8BAD8AAIAAAAAAADwvwLXoItuE8wUwAIQ78GcZfgHQAAAAAABEQAEBAAAAAAAAAAICAAAAAAAAAAMCAAAAAAAAAAQBAAAAAAAABAUCAAEBAAAABQYBAAEBAAAABAcBAAEBAAAABwgCAAEBAAAACAkBAAEBAAAACQYCAAEBAAAACQoBAAAAAAAACgsBAAEAAAAACwwBAAEAAAAACg0BAAEAAAAADQ4BAAEAAAAADg8BAAEAAAAADwwBAAEAAAAAAAAAAA=</t>
        </r>
      </text>
    </comment>
    <comment ref="D330" authorId="0">
      <text>
        <r>
          <rPr>
            <sz val="9"/>
            <color indexed="81"/>
            <rFont val="Tahoma"/>
            <family val="2"/>
          </rPr>
          <t>Insight iXlW00004C0000330R0841462918S00000329P00620LAocjBAQBF1NjaVRlZ2ljLmRhdGEuTW9sZWN1bGUBbQF/ARJTY2lUZWdpYy5Nb2xlY3VsZQAAAQFkAv5qAQAAAAIAAiAcAAAA/AQA/AACAAAAAAAA8L8C7lqJnd7I9D8Ce8erYvz/578AAAAAGAAAAPwEAPwAAgAAAAAAAPC/AiqK0FrYyPQ/AtNhohISAOg/AAAAABgAAAD8BAD8AAIAAAAAAADwvwKBSZam6LHgvgI56m80AQD4PwAAAAAYAAAA/AQA/AACAAAAAAAA8L8CIIqKpuix0D4C8gBxNAEA+L8AAAAAGAAAAPwEAPwAAgAAAAAAAPC/AgPGDnHayPS/AtaS+9cKAOi/AAAAABgAAAD8BAD8AAIAAAAAAADwvwIEtMWz4Mj0vwISywIo9f/nPwAAAAAgAAAA/AQA/AACAAAAAAAA8L8CLQw+zzDHBMACoO6k85sM+D8AAAAAGAAAAPwEAPwAAgAAAAAAAPC/AtJDh6OzwwTAAoVbHvHmnwVAAAAAACAABAQABAAAAAAECAQABAAAAAAADAQABAAAAAAMEAQABAAAAAAQFAQABAAAAAAUCAQABAAAAAAUGAQAAAAAAAAYHAQAAAAAAAAAAAAA</t>
        </r>
      </text>
    </comment>
    <comment ref="D331" authorId="0">
      <text>
        <r>
          <rPr>
            <sz val="9"/>
            <color indexed="81"/>
            <rFont val="Tahoma"/>
            <family val="2"/>
          </rPr>
          <t>Insight iXlW00004C0000331R0841462918S00000330P01228LAocjBAQBF1NjaVRlZ2ljLmRhdGEuTW9sZWN1bGUBbQF/ARJTY2lUZWdpYy5Nb2xlY3VsZQAAAQFkAv5qAQAAAAIAAgERHAAAAPwIAPwAAgAAAAAAAPC/Au5aiZ3eyPQ/AnvHq2L8/+e/AAAAABgAAAD8BAD8AAIAAAAAAADwvwIqitBa2Mj0PwLTYaISEgDoPwAAAAAYAAAA/AQA/AACAAAAAAAA8L8CgUmWpuix4L4COepvNAEA+D8AAAAAGAAAAPwEAPwAAgAAAAAAAPC/AiCKiqbosdA+AvIAcTQBAPi/AAAAABgAAAD8BAD8AAIAAAAAAADwvwIflieACA3ePgLp9NEzmpkFwAAAAAAYAAAA/AQA/AACAAAAAAAA8L8CA8YOcdrI9L8C1pL71woA6L8AAAAAHAAAAPwEAPwAAgAAAAAAAPC/AgS0xbPgyPS/AhLLAij1/+c/AAAAABgAAAD8CAD8AAIAAAAAAADwvwKOdo0agc0EQAIjICbDvPb3vwAAAAAgAAAA/AgA/AACAAAAAAAA8L8CcDsiucnRBEACXIqCBveUBcAAAAAAIAAAAPwEAPwAAgAAAAAAAPC/AmJjnNYzMQ9AAhh+zO7r2ue/AAAAABgAAAD8BAD8AAIAAAAAAADwvwIoo3KsIM0UQAKvD/3HLOT3vwAAAAAYAAAA/AgA/AACAAAAAAAA8L8Ckxl6Cvr+GUACMV16+Mu1578AAAAAGAAAAPwIAPwAAgAAAAAAAPC/AjrAp7DqMx9AAofn+hM1yPe/AAAAABgAAAD8CAD8AAIAAAAAAADwvwK+Oh52uzEiQALkQI6LmmvnvwAAAAAYAAAA/AgA/AACAAAAAAAA8L8CUAxC3RIvIkACHOlMm1KU6D8AAAAAGAAAAPwIAPwAAgAAAAAAAPC/AgBbrkxIKR9AAn/dwXu6N/g/AAAAABgAAAD8CAD8AAIAAAAAAADwvwIZob2Ku/kZQAJgWw6SrEroPwAAAAABEgAEBAAEAAAAAAQIBAAEAAAAAAAMBAAEAAAAAAwQBAAAAAAAAAwUBAAEAAAAABQYBAAEAAAAABgIBAAEAAAAAAAcBAAAAAAAABwgCAAAAAAAABwkBAAAAAAAACQoBAAAAAAAACgsBAAAAAAAACwwCAAEBAAAADA0BAAEBAAAADQ4CAAEBAAAADg8BAAEBAAAADwBEAgABAQAAAABECwEAAQEAAAAAAAAAA==</t>
        </r>
      </text>
    </comment>
    <comment ref="D332" authorId="0">
      <text>
        <r>
          <rPr>
            <sz val="9"/>
            <color indexed="81"/>
            <rFont val="Tahoma"/>
            <family val="2"/>
          </rPr>
          <t>Insight iXlW00004C0000332R0841462918S00000331P01212LAocjBAQBF1NjaVRlZ2ljLmRhdGEuTW9sZWN1bGUBbQF/ARJTY2lUZWdpYy5Nb2xlY3VsZQAAAQFkAv5qAQAAAAIBAgERHAAAAPwIAPwAAgAAAAAAAPC/Au5aiZ3eyPQ/AnvHq2L8/+e/AAAAABgAAAD8BAD8AAIAAAAAAADwvwIqitBa2Mj0PwLTYaISEgDoPwAAAAAYAAAA/AQA/AACAAAAAAAA8L8CgUmWpuix4L4COepvNAEA+D8AAAAAHAAAAPwEAPwAAgAAAAAAAPC/AgS0xbPgyPS/AhLLAij1/+c/AAAAABgAAAD8BAD8AAIAAAAAAADwvwIDxg5x2sj0vwLWkvvXCgDovwAAAAAYDAAABAQA/AACAAAAAAAA8L8CIIqKpuix0D4C8gBxNAEA+L8AAAAAGAAAAPwIAPwAAgAAAAAAAPC/AnOClj1AWmk/Ajjzudy0AQjAAAAAACAAAAD8BAD8AAIAAAAAAADwvwIe+ps719z0PwJvUjlYwP4NwAAAAAAYAAAA/AQA/AACAAAAAAAA8L8CoCaZi/jm9D8CnhvhTSzME8AAAAAAIAAAAPwIAPwAAgAAAAAAAPC/At/I/Ti4j/C/AvoGqVU30gzAAAAAABgAAAD8CAD8AAIAAAAAAADwvwKOdo0agc0EQAIjICbDvPb3vwAAAAAgAAAA/AgA/AACAAAAAAAA8L8CcDsiucnRBEACXIqCBveUBcAAAAAAIAAAAPwEAPwAAgAAAAAAAPC/AmJjnNYzMQ9AAhh+zO7r2ue/AAAAABgAAAD8BAD8AAIAAAAAAADwvwIoo3KsIM0UQAKvD/3HLOT3vwAAAAAYAAAA/AQA/AACAAAAAAAA8L8ChNg6KGz0GEACGAqh/AOJ7L8AAAAAGAAAAPwEAPwAAgAAAAAAAPC/AphzQ5VF9hhAAlejHH2DuwDAAAAAABgAAAD8BAD8AAIAAAAAAADwvwKXBb37RM8UQAIiAu4Ir4sFwAAAAAABEQAEBAAEAAAAAAQIBAAEAAAAAAgMBAAEAAAAAAwQBAAEAAAAABAUBAAEAAAAABQABAAEAAAAABQYBBQAAAAAABgcBAAAAAAAABwgBAAAAAAAABgkCAAAAAAAAAAoBAAAAAAAACgsCAAAAAAAACgwBAAAAAAAADA0BAAAAAAAADQ4BAAAAAAAADQ8BAAAAAAAADQBEAQAAAAAAAAAAAAA</t>
        </r>
      </text>
    </comment>
    <comment ref="D333" authorId="0">
      <text>
        <r>
          <rPr>
            <sz val="9"/>
            <color indexed="81"/>
            <rFont val="Tahoma"/>
            <family val="2"/>
          </rPr>
          <t>Insight iXlW00004C0000333R0841462918S00000332P00816LAocjBAQBF1NjaVRlZ2ljLmRhdGEuTW9sZWN1bGUBbQF/ARJTY2lUZWdpYy5Nb2xlY3VsZQAAAQFkAv5qAQAAAAIAAiwYAAAA/AgA/AACAAAAAAAA8L8CNFDTmc/CBEACBy1v9gAICMAAAAAAIAAAAPwEAPwAAgAAAAAAAPC/AsrI2n2JJQ9AAjopkqRRDg7AAAAAABgAAAD8BAD8AAIAAAAAAADwvwKy7P6vCiIPQAIa+aJN9dMTwAAAAAAYAAAA/AQA/AACAAAAAAAA8L8CyRKHuC7HBEACmKlfB6MM+L8AAAAAGAAAAPwEAPwAAgAAAAAAAPC/Au5aiZ3eyPQ/AnvHq2L8/+e/AAAAABgAAAD8BAD8AAIAAAAAAADwvwIqitBa2Mj0PwLTYaISEgDoPwAAAAAYAAAA/AQA/AACAAAAAAAA8L8CgUmWpuix4L4COepvNAEA+D8AAAAAHAAAAPwEAPwAAgAAAAAAAPC/AgS0xbPgyPS/AhLLAij1/+c/AAAAABgAAAD8BAD8AAIAAAAAAADwvwIgioqm6LHQPgLyAHE0AQD4vwAAAAAYAAAA/AQA/AACAAAAAAAA8L8CA8YOcdrI9L8C1pL71woA6L8AAAAAIAAAAPwIAPwAAgAAAAAAAPC/AosOe2Kq4Pg/Aj8QuZMZ0QzAAAAAACwABAQAAAAAAAAECAQAAAAAAAAADAQAAAAAAAAMEAQAAAAAAAAQFAQABAAAAAAUGAQABAAAAAAYHAQABAAAAAAQIAQABAAAAAAgJAQABAAAAAAkHAQABAAAAAAAKAgAAAAAAAAAAAAA</t>
        </r>
      </text>
    </comment>
    <comment ref="D334" authorId="0">
      <text>
        <r>
          <rPr>
            <sz val="9"/>
            <color indexed="81"/>
            <rFont val="Tahoma"/>
            <family val="2"/>
          </rPr>
          <t>Insight iXlW00004C0000334R0841462918S00000333P01360LAocjBAQBF1NjaVRlZ2ljLmRhdGEuTW9sZWN1bGUBbQF/ARJTY2lUZWdpYy5Nb2xlY3VsZQAAAQFkAv5qAQAAAAIAAgETGAAAAPwIAPwAAgAAAAAAAPC/AogGJ18qIQ9AAqLAqIsACBXAAAAAABwAAAD8CAD8AAIAAAAAAADwvwICydp9iSUPQAIKKZKkUQ4OwAAAAAAYAAAA/AQA/AACAAAAAAAA8L8CX1DTmc/CBEAC8Cxv9gAICMAAAAAAGAAAAPwEAPwAAgAAAAAAAPC/AtgSh7guxwRAAmipXwejDPi/AAAAABwAAAD8BAD8AAIAAAAAAADwvwLuWomd3sj0PwJ7x6ti/P/nvwAAAAAYAAAA/AQA/AACAAAAAAAA8L8CKorQWtjI9D8C02GiEhIA6D8AAAAAGAAAAPwEAPwAAgAAAAAAAPC/AoFJlqboseC+AjnqbzQBAPg/AAAAABgAAAD8BAD8AAIAAAAAAADwvwIgioqm6LHQPgLyAHE0AQD4vwAAAAAYAAAA/AQA/AACAAAAAAAA8L8CA8YOcdrI9L8C1pL71woA6L8AAAAAHAAAAPwEAPwAAgAAAAAAAPC/AgS0xbPgyPS/AhLLAij1/+c/AAAAACAAAAD8BAD8AAIAAAAAAADwvwKWP5ch8sEUQAKwPrriKAsYwAAAAAAYAAAA/AQA/AACAAAAAAAA8L8CWV49ksK/FEACzuoZnAAMHsAAAAAAGAAAAPwIAPwAAgAAAAAAAPC/AqsaQYQf8RlAAm60lXmUhyDAAAAAABgAAAD8CAD8AAIAAAAAAADwvwITjZXqLvEZQAJHw2a1mIcjwAAAAAAYAAAA/AgA/AACAAAAAAAA8L8CEBqKEGIjH0AClzNWFZwHJcAAAAAAGAAAAPwIAPwAAgAAAAAAAPC/AutJGZfOKiJAAthy1pufhyPAAAAAABgAAAD8CAD8AAIAAAAAAADwvwLCErvV0ioiQAKSc9mbn4cgwAAAAAAYAAAA/AgA/AACAAAAAAAA8L8CoRcSC3MjH0ACycZ/kDcPHsAAAAAAIAAAAPwIAPwAAgAAAAAAAPC/AqY9kfavzgZAAkiyTdqMbBfAAAAAAAEUAAQEAAAAAAAABAgEAAAAAAAACAwEAAAAAAAADBAEAAAAAAAAEBQEAAQAAAAAFBgEAAQAAAAAEBwEAAQAAAAAHCAEAAQAAAAAICQEAAQAAAAAJBgEAAQAAAAAACgEAAAAAAAAKCwEAAAAAAAALDAEAAAAAAAAMDQIAAQEAAAANDgEAAQEAAAAODwIAAQEAAAAPAEQBAAEBAAAAAEQAREIAAQEAAAAAREwBAAEBAAAAAABEggAAAAAAAAAAAAA</t>
        </r>
      </text>
    </comment>
    <comment ref="D335" authorId="0">
      <text>
        <r>
          <rPr>
            <sz val="9"/>
            <color indexed="81"/>
            <rFont val="Tahoma"/>
            <family val="2"/>
          </rPr>
          <t>Insight iXlW00004C0000335R0841462918S00000334P01040LAocjBAQBF1NjaVRlZ2ljLmRhdGEuTW9sZWN1bGUBbQF/ARJTY2lUZWdpYy5Nb2xlY3VsZQAAAQFkAv5qAQAAAAIAAjgYAAAA/AgA/AACAAAAAAAA8L8C7lqJnd7I9D8Ce8erYvz/578AAAAAHAAAAPwIAPwAAgAAAAAAAPC/AiqK0FrYyPQ/AtNhohISAOg/AAAAABgAAAD8BAD8AAIAAAAAAADwvwKBSZam6LHgvgI56m80AQD4PwAAAAAYAAAA/AQA/AACAAAAAAAA8L8CBLTFs+DI9L8CEssCKPX/5z8AAAAAHAAAAPwEAPwAAgAAAAAAAPC/AgPGDnHayPS/AtaS+9cKAOi/AAAAABgAAAD8BAD8AAIAAAAAAADwvwIgioqm6LHQPgLyAHE0AQD4vwAAAAAYAAAA/AgA/AACAAAAAAAA8L8C3lNtk/my4D4CxAM0jYkBCMAAAAAAGAAAAPwIAPwAAgAAAAAAAPC/Amet+q77ZPO/Aro+MJJ05g7AAAAAABgAAAD8CAD8AAIAAAAAAADwvwKOS6OHLuLnvwIODdEtSycVwAAAAAAYAAAA/AgA/AACAAAAAAAA8L8CCEsGf80d6D8C3OkvJ9okFcAAAAAAARAAAAD8BAD8AAIAAAAAAADwvwLHz0+wN3DzPwL2bjbxjd4OwAAAAAAYAAAA/AgA/AACAAAAAAAA8L8C+sui+FTMBUAChZiokaVq8z8AAAAAGAAAAPwIAPwAAgAAAAAAAPC/AgpfLUwE2gxAAhIFbh7SGu4+AAAAABgAAAD8CAD8AAIAAAAAAADwvwLefkIJWswFQAL1vfDSjmrzvwAAAAABEAAEBAAEBAAAAAQIBAAEAAAAAAgMBAAEAAAAAAwQBAAEAAAAABAUBAAEAAAAABQABAAEAAAAABQYBAAAAAAAABgcCAAEBAAAABwgBAAEBAAAACAkCAAEBAAAACQoBAAEBAAAACgYBAAEBAAAAAQsBAAEBAAAACwwCAAEBAAAADA0BAAEBAAAADQACAAEBAAAAAAAAAA=</t>
        </r>
      </text>
    </comment>
    <comment ref="D336" authorId="0">
      <text>
        <r>
          <rPr>
            <sz val="9"/>
            <color indexed="81"/>
            <rFont val="Tahoma"/>
            <family val="2"/>
          </rPr>
          <t>Insight iXlW00004C0000336R0841462918S00000335P01092LAocjBAQBF1NjaVRlZ2ljLmRhdGEuTW9sZWN1bGUBbQF/ARJTY2lUZWdpYy5Nb2xlY3VsZQAAAQFkAv5qAQAAAAIAAjwYAAAA/AQA/AACAAAAAAAA8L8Cb/NfxG7KHUACOJ3FkY2h2L8AAAAAHAAAAPwIAPwAAgAAAAAAAPC/AoOzIh1yBBlAAvj2XRIPjtC/AAAAABwAAAD8CAD8AAIAAAAAAADwvwIqegbMSAUWQALlX/J4TqfwPwAAAAAYAAAA/AgA/AACAAAAAAAA8L8CgJKVCfD/FEACfEpGAsr29b8AAAAAGAAAAPwIAPwAAgAAAAAAAPC/AkRv/4kxMQ9AAr4jQWyzBui/AAAAAAEQAAAA/AQA/AACAAAAAAAA8L8CnkOzb1TKBEACSudO4asB+L8AAAAAHAAAAPwIAPwAAgAAAAAAAPC/Au5aiZ3eyPQ/AnvHq2L8/+e/AAAAABgAAAD8BAD8AAIAAAAAAADwvwIqitBa2Mj0PwLTYaISEgDoPwAAAAAYAAAA/AQA/AACAAAAAAAA8L8CgUmWpuix4L4COepvNAEA+D8AAAAAHAAAAPwEAPwAAgAAAAAAAPC/AgS0xbPgyPS/AhLLAij1/+c/AAAAABgAAAD8BAD8AAIAAAAAAADwvwIDxg5x2sj0vwLWkvvXCgDovwAAAAAYAAAA/AQA/AACAAAAAAAA8L8CIIqKpuix0D4C8gBxNAEA+L8AAAAAIAAAAPwIAPwAAgAAAAAAAPC/Ao9BtBGOyQRAAsSYP4JvmgXAAAAAACAAAAD8CAD8AAIAAAAAAADwvwJSmnRiFxoNQAIt8J/jpM4AwAAAAAAYAAAA/AgA/AACAAAAAAAA8L8CJaqCA6YmEEACqOL8fmBb5z8AAAAAARAABAQAAAAAAAAECAQABAQAAAAEDAQABAQAAAAMEAgABAQAAAAQFAQAAAAAAAAUGAQAAAAAAAAYHAQABAAAAAAcIAQABAAAAAAgJAQABAAAAAAkKAQABAAAAAAoLAQABAAAAAAsGAQABAAAAAAUMAgAAAAAAAAUNAgAAAAAAAAQOAQABAQAAAA4CAgABAQAAAAAAAAA</t>
        </r>
      </text>
    </comment>
    <comment ref="D337" authorId="0">
      <text>
        <r>
          <rPr>
            <sz val="9"/>
            <color indexed="81"/>
            <rFont val="Tahoma"/>
            <family val="2"/>
          </rPr>
          <t>Insight iXlW00004C0000337R0841462918S00000336P01668LAocjBAQBF1NjaVRlZ2ljLmRhdGEuTW9sZWN1bGUBbQF/ARJTY2lUZWdpYy5Nb2xlY3VsZQAAAQFkAv5qAQAAAAIBAgEXGAAAAPwIAPwAAgAAAAAAAPC/AhWuR+F6FPK/AqRwPQrXowBAAAAAABwAAAD8CAD8AAIAAAAAAADwvwIVrkfhehTyvwJnZmZmZmbyPwAAAAAYAAAA/AgA/AACAAAAAAAA8L8CpHA9Ctej9D8Cw/UoXI/C5T8AAAAAHAAAAPwIAPwAAgAAAAAAAPC/AlK4HoXrUQJAAs3MzMzMzNy/AAAAABgAAAD8CAD8AAIAAAAAAADwvwLD9Shcj8L1PwK5HoXrUbjOvwAAAAAYCAAA/AQA/AACAAAAAAAA8L8CexSuR+F61L8Cw/UoXI/C5T8AAAAAGAAAAPwEAPwAAgAAAAAAAPC/Al2PwvUoXN8/AmdmZmZmZvI/AAAAABgAAAD8CAD8AAIAAAAAAADwvwIfhetRuB4BQAL2KFyPwvXwPwAAAAAgAAAA/AQA/AACAAAAAAAA8L8CC9ejcD0K/78CZ2ZmZmZmBEAAAAAAGAAAAPwIAPwAAgAAAAAAAPC/Ailcj8L1KAZAAsP1KFyPwtU/AAAAACAAAAD8CAD8AAIAAAAAAADwvwJ7FK5H4XrUvwJSuB6F61EEQAAAAAAcAAAA/AQA/AACAAAAAAAA8L8CFa5H4XoU8r8CXI/C9Shc578AAAAAGAAAAPwEAPwAAgAAAAAAAPC/AgAAAAAAAAbAArkehetRuABAAAAAABgAAAD8BAD8AAIAAAAAAADwvwJ7FK5H4XrUvwKkcD0K16PQvwAAAAAYAAAA/AQA/AACAAAAAAAA8L8CC9ejcD0K/78Cw/UoXI/C5T8AAAAAGAAAAPwIAPwAAgAAAAAAAPC/AoXrUbgehQNAAjQzMzMzM/8/AAAAABgAAAD8BAD8AAIAAAAAAADwvwIL16NwPQr/vwKkcD0K16PQvwAAAAAYAAAA/AgA/AACAAAAAAAA8L8CcT0K16NwDUAC9ihcj8L14D8AAAAAGAAAAPwEAPwAAgAAAAAAAPC/AlK4HoXrUQLAAs3MzMzMzPQ/AAAAABgAAAD8BAD8AAIAAAAAAADwvwKuR+F6FK4JwAJ7FK5H4Xr0PwAAAAAYAAAA/AQA/AACAAAAAAAA8L8CpHA9CtejDMACUrgehetRBEAAAAAAGAAAAPwIAPwAAgAAAAAAAPC/AuJ6FK5H4QpAAgrXo3A9CgFAAAAAABgAAAD8CAD8AAIAAAAAAADwvwLXo3A9CtcPQAK5HoXrUbj2PwAAAAABGQQABAAAAAAAAAgYBAAAAAAAAAwQBAAEBAAAABAICAwEBAAAABQEBAAEAAAAABQYBBAAAAAAABwIBAAEBAAAACAABAAAAAAAACQcCAwEBAAAACgACAAAAAAAACwBEAQABAAAAAAwIAQAAAAAAAA0FAQABAAAAAA4BAQABAAAAAA8HAQABAQAAAABEDgEAAQAAAAAAREkBAAEBAAAAAESMAQAAAAAAAABEzAEAAAAAAAAARQwBAAAAAAAAAEVPAgIBAQAAAABFgEVBAAEBAAAADQsBAAEAAAAACQMBAAEBAAAAAEWAREICAQEAAAAAAABAAAAAAAAAAAAAAAAAAAAAAAAAAAA</t>
        </r>
      </text>
    </comment>
    <comment ref="D338" authorId="0">
      <text>
        <r>
          <rPr>
            <sz val="9"/>
            <color indexed="81"/>
            <rFont val="Tahoma"/>
            <family val="2"/>
          </rPr>
          <t>Insight iXlW00004C0000338R0841462918S00000337P00884LAocjBAQBF1NjaVRlZ2ljLmRhdGEuTW9sZWN1bGUBbQF/ARJTY2lUZWdpYy5Nb2xlY3VsZQAAAQFkAv5qAQAAAAIAAjABEAAAAPwEAPwAAgAAAAAAAPC/ApxDs29UygRAAlTnTuGrAfi/AAAAACAAAAD8CAD8AAIAAAAAAADwvwJ8GL4lSBoNQAIY81x+bc3svwAAAAAgAAAA/AgA/AACAAAAAAAA8L8CvAnCqEIbDUACKz4zh57MAMAAAAAAHAAAAPwIAPwAAgAAAAAAAPC/ApIi8/BIzARAAvy7YgaGAgjAAAAAABgAAAD8BAD8AAIAAAAAAADwvwKmG6OWoRwNQAJsT0HUUc8MwAAAAAAYAAAA/AQA/AACAAAAAAAA8L8CYpvQdar4+D8C4PJylwDQDMAAAAAAHAAAAPwIAPwAAgAAAAAAAPC/Au5aiZ3eyPQ/AnvHq2L8/+e/AAAAABgAAAD8BAD8AAIAAAAAAADwvwIqitBa2Mj0PwLTYaISEgDoPwAAAAAYAAAA/AQA/AACAAAAAAAA8L8CgUmWpuix4L4COepvNAEA+D8AAAAAHAAAAPwEAPwAAgAAAAAAAPC/AgS0xbPgyPS/AhLLAij1/+c/AAAAABgAAAD8BAD8AAIAAAAAAADwvwIgioqm6LHQPgLyAHE0AQD4vwAAAAAYAAAA/AQA/AACAAAAAAAA8L8CA8YOcdrI9L8C1pL71woA6L8AAAAAMAAECAAAAAAAAAAICAAAAAAAAAAMBAAAAAAAAAwQBAAAAAAAAAwUBAAAAAAAAAAYBAAAAAAAABgcBAAEAAAAABwgBAAEAAAAACAkBAAEAAAAABgoBAAEAAAAACgsBAAEAAAAACwkBAAEAAAAAAAAAAA=</t>
        </r>
      </text>
    </comment>
    <comment ref="D339" authorId="0">
      <text>
        <r>
          <rPr>
            <sz val="9"/>
            <color indexed="81"/>
            <rFont val="Tahoma"/>
            <family val="2"/>
          </rPr>
          <t>Insight iXlW00004C0000339R0841462918S00000338P01092LAocjBAQBF1NjaVRlZ2ljLmRhdGEuTW9sZWN1bGUBbQF/ARJTY2lUZWdpYy5Nb2xlY3VsZQAAAQFkAv5qAQAAAAIAAjwBEAAAAPwEAPwAAgAAAAAAAPC/Ap5Ds29UygRAAkznTuGrAfi/AAAAACAAAAD8CAD8AAIAAAAAAADwvwKNQbQRjskEQALEmD+Cb5oFwAAAAAAgAAAA/AgA/AACAAAAAAAA8L8CzXwBIpbz+D8C5jiuVk3NAMAAAAAAHAAAAPwIAPwAAgAAAAAAAPC/Au5aiZ3eyPQ/AnvHq2L8/+e/AAAAABgAAAD8BAD8AAIAAAAAAADwvwIqitBa2Mj0PwLTYaISEgDoPwAAAAAYAAAA/AQA/AACAAAAAAAA8L8CgUmWpuix4L4COepvNAEA+D8AAAAAGAAAAPwEAPwAAgAAAAAAAPC/AgS0xbPgyPS/AhLLAij1/+c/AAAAABgAAAD8BAD8AAIAAAAAAADwvwIDxg5x2sj0vwLWkvvXCgDovwAAAAAYAAAA/AQA/AACAAAAAAAA8L8CIIqKpuix0D4C8gBxNAEA+L8AAAAAHAAAAPwIAPwAAgAAAAAAAPC/AkRv/4kxMQ9AAsUjQWyzBui/AAAAABgAAAD8BAD8AAIAAAAAAADwvwJwcPUmVcoUQALIEgIpuAb4vwAAAAAYAAAA/AQA/AACAAAAAAAA8L8C3zUPyAf9GUACeQsc/yEU6L8AAAAAHAAAAPwEAPwAAgAAAAAAAPC/AvhNp27//RlAAomvLGHd6+c/AAAAABgAAAD8BAD8AAIAAAAAAADwvwLKnXWbIjMPQAL1U74oTPnnPwAAAAAYAAAA/AQA/AACAAAAAAAA8L8CIn4+dETMFEACeC0poEn59z8AAAAAARAABAgAAAAAAAAACAgAAAAAAAAADAQAAAAAAAAMEAQABAAAAAAQFAQABAAAAAAUGAQABAAAAAAYHAQABAAAAAAcIAQABAAAAAAgDAQABAAAAAAAJAQAAAAAAAAkKAQABAAAAAAoLAQABAAAAAAsMAQABAAAAAAkNAQABAAAAAA0OAQABAAAAAA4MAQABAAAAAAAAAAA</t>
        </r>
      </text>
    </comment>
    <comment ref="D340" authorId="0">
      <text>
        <r>
          <rPr>
            <sz val="9"/>
            <color indexed="81"/>
            <rFont val="Tahoma"/>
            <family val="2"/>
          </rPr>
          <t>Insight iXlW00004C0000340R0841462918S00000339P00884LAocjBAQBF1NjaVRlZ2ljLmRhdGEuTW9sZWN1bGUBbQF/ARJTY2lUZWdpYy5Nb2xlY3VsZQAAAQFkAv5qAQAAAAIAAjAYAAAA/AgA/AACAAAAAAAA8L8C1BKHuC7HBEACcalfB6MM+L8AAAAAIAAAAPwIAPwAAgAAAAAAAPC/ArjbHCGpGQ1AAsDFl5nj9Oy/AAAAABgAAAD8BAD8AAIAAAAAAADwvwJVUNOZz8IEQAL0LG/2AAgIwAAAAAAYAAAA/AQA/AACAAAAAAAA8L8CeGEpmp8QDUACDl38ly3ZDMAAAAAAGAAAAPwEAPwAAgAAAAAAAPC/Au1mhoUlvgRAAj58+bbM0BDAAAAAABgAAAD8BAD8AAIAAAAAAADwvwLgDntiquD4PwI8ELmTGdEMwAAAAAAcAAAA/AgA/AACAAAAAAAA8L8C7lqJnd7I9D8Ce8erYvz/578AAAAAGAAAAPwEAPwAAgAAAAAAAPC/AiqK0FrYyPQ/AtNhohISAOg/AAAAABgAAAD8BAD8AAIAAAAAAADwvwKBSZam6LHgvgI56m80AQD4PwAAAAAcAAAA/AQA/AACAAAAAAAA8L8CBLTFs+DI9L8CEssCKPX/5z8AAAAAGAAAAPwEAPwAAgAAAAAAAPC/AiCKiqbosdA+AvIAcTQBAPi/AAAAABgAAAD8BAD8AAIAAAAAAADwvwIDxg5x2sj0vwLWkvvXCgDovwAAAAAwAAQIAAAAAAAAAAgEAAAAAAAACAwEAAAAAAAACBAEAAAAAAAACBQEAAAAAAAAABgEAAAAAAAAGBwEAAQAAAAAHCAEAAQAAAAAICQEAAQAAAAAGCgEAAQAAAAAKCwEAAQAAAAALCQEAAQAAAAAAAAAAA==</t>
        </r>
      </text>
    </comment>
    <comment ref="D341" authorId="0">
      <text>
        <r>
          <rPr>
            <sz val="9"/>
            <color indexed="81"/>
            <rFont val="Tahoma"/>
            <family val="2"/>
          </rPr>
          <t>Insight iXlW00004C0000341R0841462918S00000340P00816LAocjBAQBF1NjaVRlZ2ljLmRhdGEuTW9sZWN1bGUBbQF/ARJTY2lUZWdpYy5Nb2xlY3VsZQAAAQFkAv5qAQAAAAIAAiwYAAAA/AgA/AACAAAAAAAA8L8C1BKHuC7HBEACcalfB6MM+L8AAAAAGAAAAPwEAPwAAgAAAAAAAPC/AlVQ05nPwgRAAvQsb/YACAjAAAAAABgAAAD8BAD8AAIAAAAAAADwvwJ4YSmanxANQAIOXfyXLdkMwAAAAAAYAAAA/AQA/AACAAAAAAAA8L8C4A57Yqrg+D8CPBC5kxnRDMAAAAAAIAAAAPwIAPwAAgAAAAAAAPC/ArjbHCGpGQ1AAsDFl5nj9Oy/AAAAABwAAAD8CAD8AAIAAAAAAADwvwLuWomd3sj0PwJ7x6ti/P/nvwAAAAAYAAAA/AQA/AACAAAAAAAA8L8CKorQWtjI9D8C02GiEhIA6D8AAAAAGAAAAPwEAPwAAgAAAAAAAPC/AoFJlqboseC+AjnqbzQBAPg/AAAAABgAAAD8BAD8AAIAAAAAAADwvwIgioqm6LHQPgLyAHE0AQD4vwAAAAAYAAAA/AQA/AACAAAAAAAA8L8CA8YOcdrI9L8C1pL71woA6L8AAAAAHAAAAPwEAPwAAgAAAAAAAPC/AgS0xbPgyPS/AhLLAij1/+c/AAAAACwABAQAAAAAAAAECAQAAAAAAAAEDAQAAAAAAAAAEAgAAAAAAAAAFAQAAAAAAAAUGAQABAAAAAAYHAQABAAAAAAUIAQABAAAAAAgJAQABAAAAAAkKAQABAAAAAAoHAQABAAAAAAAAAAA</t>
        </r>
      </text>
    </comment>
    <comment ref="D342" authorId="0">
      <text>
        <r>
          <rPr>
            <sz val="9"/>
            <color indexed="81"/>
            <rFont val="Tahoma"/>
            <family val="2"/>
          </rPr>
          <t>Insight iXlW00004C0000342R0841462918S00000341P00752LAocjBAQBF1NjaVRlZ2ljLmRhdGEuTW9sZWN1bGUBbQF/ARJTY2lUZWdpYy5Nb2xlY3VsZQAAAQFkAv5qAQAAAAIAAigcAAAA/AgA/AACAAAAAAAA8L8C7lqJnd7I9D8Ce8erYvz/578AAAAAGAAAAPwEAPwAAgAAAAAAAPC/AiqK0FrYyPQ/AtNhohISAOg/AAAAABgAAAD8BAD8AAIAAAAAAADwvwKBSZam6LHgvgI56m80AQD4PwAAAAAYAAAA/AQA/AACAAAAAAAA8L8CIIqKpuix0D4C8gBxNAEA+L8AAAAAGAAAAPwEAPwAAgAAAAAAAPC/AgPGDnHayPS/AtaS+9cKAOi/AAAAABwAAAD8BAD8AAIAAAAAAADwvwIEtMWz4Mj0vwISywIo9f/nPwAAAAAYAAAA/AgA/AACAAAAAAAA8L8C2BKHuC7HBEACaKlfB6MM+L8AAAAAGAAAAPwEAPwAAgAAAAAAAPC/Al9Q05nPwgRAAvAsb/YACAjAAAAAABgAAAD8BAD8AAIAAAAAAADwvwKEYSmanxANQAIFXfyXLdkMwAAAAAAgAAAA/AgA/AACAAAAAAAA8L8CutscIakZDUACnMWXmeP07L8AAAAAKAAEBAAEAAAAAAQIBAAEAAAAAAAMBAAEAAAAAAwQBAAEAAAAABAUBAAEAAAAABQIBAAEAAAAAAAYBAAAAAAAABgcBAAAAAAAABwgBAAAAAAAABgkCAAAAAAAAAAAAAA=</t>
        </r>
      </text>
    </comment>
    <comment ref="D343" authorId="0">
      <text>
        <r>
          <rPr>
            <sz val="9"/>
            <color indexed="81"/>
            <rFont val="Tahoma"/>
            <family val="2"/>
          </rPr>
          <t>Insight iXlW00004C0000343R0841462918S00000342P00620LAocjBAQBF1NjaVRlZ2ljLmRhdGEuTW9sZWN1bGUBbQF/ARJTY2lUZWdpYy5Nb2xlY3VsZQAAAQFkAv5qAQAAAAIAAiAYAAAA/AQA/AACAAAAAAAA8L8C7lqJnd7I9D8Ce8erYvz/578AAAAAGAAAAPwEAPwAAgAAAAAAAPC/AiqK0FrYyPQ/AtNhohISAOg/AAAAABgAAAD8DAD8AAIAAAAAAADwvwKI44ksTsoEQAIkkMuSwQH4PwAAAAAcAAAA/AwA/AACAAAAAAAA8L8CKEcjUaQaDUACfKuo7bDNAEAAAAAAGAAAAPwEAPwAAgAAAAAAAPC/AoFJlqboseC+AjnqbzQBAPg/AAAAABgAAAD8BAD8AAIAAAAAAADwvwIEtMWz4Mj0vwISywIo9f/nPwAAAAAcAAAA/AQA/AACAAAAAAAA8L8CA8YOcdrI9L8C1pL71woA6L8AAAAAGAAAAPwEAPwAAgAAAAAAAPC/AiCKiqbosdA+AvIAcTQBAPi/AAAAACAABAQABAAAAAAECAQAAAAAAAAIDAwAAAAAAAAEEAQABAAAAAAQFAQABAAAAAAUGAQABAAAAAAAHAQABAAAAAAcGAQABAAAAAAAAAAA</t>
        </r>
      </text>
    </comment>
    <comment ref="D344" authorId="0">
      <text>
        <r>
          <rPr>
            <sz val="9"/>
            <color indexed="81"/>
            <rFont val="Tahoma"/>
            <family val="2"/>
          </rPr>
          <t>Insight iXlW00004C0000344R0841462918S00000343P01024LAocjBAQBF1NjaVRlZ2ljLmRhdGEuTW9sZWN1bGUBbQF/ARJTY2lUZWdpYy5Nb2xlY3VsZQAAAQFkAv5qAQAAAAIAAjgcAAAA/AQA/AACAAAAAAAA8L8C7lqJnd7I9D8Ce8erYvz/578AAAAAGAAAAPwEAPwAAgAAAAAAAPC/AiqK0FrYyPQ/AtNhohISAOg/AAAAABgAAAD8BAD8AAIAAAAAAADwvwKBSZam6LHgvgI56m80AQD4PwAAAAAYAAAA/AQA/AACAAAAAAAA8L8CBLTFs+DI9L8CEssCKPX/5z8AAAAAGAAAAPwEAPwAAgAAAAAAAPC/AtwMWy+DzQTAAlIEcK219vc/AAAAABgAAAD8BAD8AAIAAAAAAADwvwLj9VTlNDEPwAIci5ax1trnPwAAAAAYAAAA/AgA/AACAAAAAAAA8L8CFjAPtiHNFMACnoCqnh7k9z8AAAAAGAAAAPwIAPwAAgAAAAAAAPC/ApzJf49m/xnAAvrWpQl1yOc/AAAAABgAAAD8CAD8AAIAAAAAAADwvwJHkye7ojEfwALMbx4CF+T3PwAAAAAYAAAA/AgA/AACAAAAAAAA8L8CWF5vVK0xH8ACAH/8gAvyB0AAAAAAGAAAAPwIAPwAAgAAAAAAAPC/AipwEMJ7/xnAApJKtXYe8g1AAAAAABgAAAD8CAD8AAIAAAAAAADwvwJYB9sQP80UwAKwWbsGMvIHQAAAAAAYAAAA/AQA/AACAAAAAAAA8L8CIIqKpuix0D4C8gBxNAEA+L8AAAAAGAAAAPwEAPwAAgAAAAAAAPC/AgPGDnHayPS/AtaS+9cKAOi/AAAAADwABAQABAAAAAAECAQABAAAAAAIDAQABAAAAAAMEAQAAAAAAAAQFAQAAAAAAAAUGAQAAAAAAAAYHAgABAQAAAAcIAQABAQAAAAgJAgABAQAAAAkKAQABAQAAAAoLAgABAQAAAAsGAQABAQAAAAAMAQABAAAAAAwNAQABAAAAAA0DAQABAAAAAAAAAAA</t>
        </r>
      </text>
    </comment>
    <comment ref="D345" authorId="0">
      <text>
        <r>
          <rPr>
            <sz val="9"/>
            <color indexed="81"/>
            <rFont val="Tahoma"/>
            <family val="2"/>
          </rPr>
          <t>Insight iXlW00004C0000345R0841462918S00000344P01024LAocjBAQBF1NjaVRlZ2ljLmRhdGEuTW9sZWN1bGUBbQF/ARJTY2lUZWdpYy5Nb2xlY3VsZQAAAQFkAv5qAQAAAAIAAjgYAAAA/AgA/AACAAAAAAAA8L8C7lqJnd7I9D8Ce8erYvz/578AAAAAGAAAAPwIAPwAAgAAAAAAAPC/AiqK0FrYyPQ/AtNhohISAOg/AAAAABgAAAD8CAD8AAIAAAAAAADwvwKBSZam6LHgvgI56m80AQD4PwAAAAAYAAAA/AgA/AACAAAAAAAA8L8CBLTFs+DI9L8CEssCKPX/5z8AAAAAGAAAAPwIAPwAAgAAAAAAAPC/AgPGDnHayPS/AtaS+9cKAOi/AAAAABgAAAD8BAD8AAIAAAAAAADwvwITC4zQybQCwALCaNVbj5n1PwAAAAAYAAAA/AgA/AACAAAAAAAA8L8CIIqKpuix0D4C8gBxNAEA+L8AAAAAGAAAAPwEAPwAAgAAAAAAAPC/AtgSh7guxwRAAmipXwejDPi/AAAAABgAAAD8BAD8AAIAAAAAAADwvwJfUNOZz8IEQALwLG/2AAgIwAAAAAAYAAAA/AQA/AACAAAAAAAA8L8C21UcS+EhD0ACM/AsQWIRDsAAAAAAGAAAAPwEAPwAAgAAAAAAAPC/AlPgqvhBFw9AAjOAzcauCBXAAAAAABwAAAD8BAD8AAIAAAAAAADwvwIPDyWjiK0EQALDCuxmFAQYwAAAAAAYAAAA/AQA/AACAAAAAAAA8L8CdFDUKNuc9D8Cfo55rXz/FMAAAAAAGAAAAPwEAPwAAgAAAAAAAPC/AsrpPqEVsvQ/Am5TrAz+/g3AAAAAADwABAgABAQAAAAECAQABAQAAAAIDAgABAQAAAAMEAQABAQAAAAMFAQAAAAAAAAAGAQABAQAAAAYEAgABAQAAAAAHAQAAAAAAAAcIAQAAAAAAAAgJAQABAAAAAAkKAQABAAAAAAoLAQABAAAAAAsMAQABAAAAAAwNAQABAAAAAA0IAQABAAAAAAAAAAA</t>
        </r>
      </text>
    </comment>
    <comment ref="D346" authorId="0">
      <text>
        <r>
          <rPr>
            <sz val="9"/>
            <color indexed="81"/>
            <rFont val="Tahoma"/>
            <family val="2"/>
          </rPr>
          <t>Insight iXlW00004C0000346R0841462918S00000345P01104LAocjBAQBF1NjaVRlZ2ljLmRhdGEuTW9sZWN1bGUBbQF/ARJTY2lUZWdpYy5Nb2xlY3VsZQAAAQFkAv5qAQAAAAIAAjwBEAAAAPwEAPwAAgAAAAAAAPC/AhHvuWVZzAVAAh+szuuPavO/AAAAABgAAAD8CAD8AAIAAAAAAADwvwJhVNlYBdoMQAKJgqxAUJryPgAAAAAcAAAA/AgA/AACAAAAAAAA8L8C5/IZVVTMBUACCdyFqqZq8z8AAAAAGAAAAPwEAPwAAgAAAAAAAPC/AiAm6iXHbRRAAofTzoBV9Po+AAAAABgAAAD8BAD8AAIAAAAAAADwvwI7oZQ/FcwXQALzTlFGwsPzvwAAAAAYAAAA/AQA/AACAAAAAAAA8L8CIvZQSbrHHUAChZIGNmj18b8AAAAAGAAAAPwEAPwAAgAAAAAAAPC/AiqNfH25MCBAAjZEm3RQXM0/AAAAABgAAAD8BAD8AAIAAAAAAADwvwKeT7zlhv8cQALnxtFuJH73PwAAAAAcAAAA/AQA/AACAAAAAAAA8L8Ckhzmx+EDF0ACum35h86v9T8AAAAAGAAAAPwIAPwAAgAAAAAAAPC/Au5aiZ3eyPQ/AnvHq2L8/+e/AAAAABgAAAD8CAD8AAIAAAAAAADwvwIqitBa2Mj0PwLTYaISEgDoPwAAAAAYAAAA/AgA/AACAAAAAAAA8L8CgUmWpuix4L4COepvNAEA+D8AAAAAGAAAAPwIAPwAAgAAAAAAAPC/AiCKiqbosdA+AvIAcTQBAPi/AAAAABgAAAD8CAD8AAIAAAAAAADwvwIDxg5x2sj0vwLWkvvXCgDovwAAAAAYAAAA/AgA/AACAAAAAAAA8L8CBLTFs+DI9L8CEssCKPX/5z8AAAAAAREABAQABAQAAAAECAgABAQAAAAEDAQAAAAAAAAMEAQABAAAAAAQFAQABAAAAAAUGAQABAAAAAAYHAQABAAAAAAcIAQABAAAAAAgDAQABAAAAAAAJAQABAQAAAAkKAgABAQAAAAoCAQABAQAAAAoLAQABAQAAAAkMAQABAQAAAAwNAgABAQAAAA0OAQABAQAAAA4LAgABAQAAAAAAAAA</t>
        </r>
      </text>
    </comment>
    <comment ref="D347" authorId="0">
      <text>
        <r>
          <rPr>
            <sz val="9"/>
            <color indexed="81"/>
            <rFont val="Tahoma"/>
            <family val="2"/>
          </rPr>
          <t>Insight iXlW00004C0000347R0841462918S00000346P00960LAocjBAQBF1NjaVRlZ2ljLmRhdGEuTW9sZWN1bGUBbQF/ARJTY2lUZWdpYy5Nb2xlY3VsZQAAAQFkAv5qAQAAAAIAAjQYAAAA/AQA/AACAAAAAAAA8L8C7lqJnd7I9D8Ce8erYvz/578AAAAAGAAAAPwEAPwAAgAAAAAAAPC/AiqK0FrYyPQ/AtNhohISAOg/AAAAABwAAAD8BAD8AAIAAAAAAADwvwKBSZam6LHgvgI56m80AQD4PwAAAAAYAAAA/AQA/AACAAAAAAAA8L8CBLTFs+DI9L8CEssCKPX/5z8AAAAAGAAAAPwEAPwAAgAAAAAAAPC/AtwMWy+DzQTAAlIEcK219vc/AAAAABwAAAD8BAD8AAIAAAAAAADwvwLj9VTlNDEPwAIci5ax1trnPwAAAAAYAAAA/AQA/AACAAAAAAAA8L8C0MJzaIvNFMACbmnFb7ja9z8AAAAAGAAAAPwEAPwAAgAAAAAAAPC/AkDV4lgX/RnAAqoZJjqdkOc/AAAAACAAAAD8BAD8AAIAAAAAAADwvwJ6n8SRxfcZwAKgqpHoT2/ovwAAAAAYAAAA/AQA/AACAAAAAAAA8L8Cwpyu2efCFMACrPXTGzcl+L8AAAAAGAAAAPwEAPwAAgAAAAAAAPC/AnLexsW2Jg/AAij4NMmhJei/AAAAABgAAAD8BAD8AAIAAAAAAADwvwIDxg5x2sj0vwLWkvvXCgDovwAAAAAYAAAA/AQA/AACAAAAAAAA8L8CIIqKpuix0D4C8gBxNAEA+L8AAAAAOAAEBAAEAAAAAAQIBAAEAAAAAAgMBAAEAAAAAAwQBAAAAAAAABAUBAAAAAAAABQYBAAEAAAAABgcBAAEAAAAABwgBAAEAAAAACAkBAAEAAAAABQoBAAEAAAAACgkBAAEAAAAAAwsBAAEAAAAACwwBAAEAAAAADAABAAEAAAAAAAAAAA=</t>
        </r>
      </text>
    </comment>
    <comment ref="D348" authorId="0">
      <text>
        <r>
          <rPr>
            <sz val="9"/>
            <color indexed="81"/>
            <rFont val="Tahoma"/>
            <family val="2"/>
          </rPr>
          <t>Insight iXlW00004C0000348R0841462918S00000347P00688LAocjBAQBF1NjaVRlZ2ljLmRhdGEuTW9sZWN1bGUBbQF/ARJTY2lUZWdpYy5Nb2xlY3VsZQAAAQFkAv5qAQAAAAIAAiQYAAAA/AgA/AACAAAAAAAA8L8C0hKHuC7HBEACeKlfB6MM+L8AAAAAHAAAAPwIAPwAAgAAAAAAAPC/ArjbHCGpGQ1AAtzFl5nj9Oy/AAAAACAAAAD8CAD8AAIAAAAAAADwvwLKNqvqr8MEQAK2nWN66p8FwAAAAAAYAAAA/AQA/AACAAAAAAAA8L8C7lqJnd7I9D8Ce8erYvz/578AAAAAGAAAAPwEAPwAAgAAAAAAAPC/AiqK0FrYyPQ/AtNhohISAOg/AAAAABgAAAD8BAD8AAIAAAAAAADwvwKBSZam6LHgvgI56m80AQD4PwAAAAAYAAAA/AQA/AACAAAAAAAA8L8CBLTFs+DI9L8CEssCKPX/5z8AAAAAGAAAAPwEAPwAAgAAAAAAAPC/AgPGDnHayPS/AtaS+9cKAOi/AAAAABwAAAD8BAD8AAIAAAAAAADwvwIgioqm6LHQPgLyAHE0AQD4vwAAAAAkAAQEAAAAAAAAAAgIAAAAAAAAAAwEAAAAAAAADBAEAAQAAAAAEBQEAAQAAAAAFBgEAAQAAAAAGBwEAAQAAAAAHCAEAAQAAAAAIAwEAAQAAAAAAAAAAA==</t>
        </r>
      </text>
    </comment>
    <comment ref="D349" authorId="0">
      <text>
        <r>
          <rPr>
            <sz val="9"/>
            <color indexed="81"/>
            <rFont val="Tahoma"/>
            <family val="2"/>
          </rPr>
          <t>Insight iXlW00004C0000349R0841462918S00000348P00752LAocjBAQBF1NjaVRlZ2ljLmRhdGEuTW9sZWN1bGUBbQF/ARJTY2lUZWdpYy5Nb2xlY3VsZQAAAQFkAv5qAQAAAAIAAigYAAAA/AgA/AACAAAAAAAA8L8C1BKHuC7HBEACcalfB6MM+L8AAAAAIAAAAPwEAPwAAgAAAAAAAPC/AlVQ05nPwgRAAvQsb/YACAjAAAAAABgAAAD8BAD8AAIAAAAAAADwvwJ4YSmanxANQAIOXfyXLdkMwAAAAAAgAAAA/AgA/AACAAAAAAAA8L8CuNscIakZDUACwMWXmeP07L8AAAAAHAAAAPwIAPwAAgAAAAAAAPC/Au5aiZ3eyPQ/AnvHq2L8/+e/AAAAABgAAAD8BAD8AAIAAAAAAADwvwIqitBa2Mj0PwLTYaISEgDoPwAAAAAYAAAA/AQA/AACAAAAAAAA8L8CgUmWpuix4L4COepvNAEA+D8AAAAAHAAAAPwEAPwAAgAAAAAAAPC/AgS0xbPgyPS/AhLLAij1/+c/AAAAABgAAAD8BAD8AAIAAAAAAADwvwIgioqm6LHQPgLyAHE0AQD4vwAAAAAYAAAA/AQA/AACAAAAAAAA8L8CA8YOcdrI9L8C1pL71woA6L8AAAAAKAAEBAAAAAAAAAQIBAAAAAAAAAAMCAAAAAAAAAAQBAAAAAAAABAUBAAEAAAAABQYBAAEAAAAABgcBAAEAAAAABAgBAAEAAAAACAkBAAEAAAAACQcBAAEAAAAAAAAAAA=</t>
        </r>
      </text>
    </comment>
    <comment ref="D350" authorId="0">
      <text>
        <r>
          <rPr>
            <sz val="9"/>
            <color indexed="81"/>
            <rFont val="Tahoma"/>
            <family val="2"/>
          </rPr>
          <t>Insight iXlW00004C0000350R0841462918S00000349P01024LAocjBAQBF1NjaVRlZ2ljLmRhdGEuTW9sZWN1bGUBbQF/ARJTY2lUZWdpYy5Nb2xlY3VsZQAAAQFkAv5qAQAAAAIAAjgYAAAA/AQA/AACAAAAAAAA8L8CjnaNGoHNBEACIyAmw7z2978AAAAAGAAAAPwIAPwAAgAAAAAAAPC/Au5aiZ3eyPQ/AnvHq2L8/+e/AAAAABwAAAD8CAD8AAIAAAAAAADwvwIqitBa2Mj0PwLTYaISEgDoPwAAAAAYAAAA/AgA/AACAAAAAAAA8L8CgUmWpuix4L4COepvNAEA+D8AAAAAGAAAAPwIAPwAAgAAAAAAAPC/AgS0xbPgyPS/AhLLAij1/+c/AAAAABgAAAD8CAD8AAIAAAAAAADwvwIDxg5x2sj0vwLWkvvXCgDovwAAAAAYAAAA/AgA/AACAAAAAAAA8L8CIIqKpuix0D4C8gBxNAEA+L8AAAAAGAAAAPwEAPwAAgAAAAAAAPC/Ah+WJ4AIDd4+Aun00TOamQXAAAAAABgAAAD8BAD8AAIAAAAAAADwvwJiY5zWMzEPQAIYfszu69rnvwAAAAAYAAAA/AQA/AACAAAAAAAA8L8CavkWYIrNFEAC+uu3ksba978AAAAAGAAAAPwEAPwAAgAAAAAAAPC/AkqkANMW/RlAAlnNo4HAkOe/AAAAABgAAAD8BAD8AAIAAAAAAADwvwLeVEkPxvcZQAKbH0OoLG/oPwAAAAAcAAAA/AQA/AACAAAAAAAA8L8CQDa0vbcmD0ACPalHk4wl6D8AAAAAGAAAAPwEAPwAAgAAAAAAAPC/Ahy6H9jowhRAAiqcEAApJfg/AAAAADwABAQAAAAAAAAECAgABAQAAAAIDAQABAQAAAAMEAgABAQAAAAQFAQABAQAAAAUGAgABAQAAAAYBAQABAQAAAAYHAQAAAAAAAAAIAQAAAAAAAAgJAQABAAAAAAkKAQABAAAAAAoLAQABAAAAAAgMAQABAAAAAAwNAQABAAAAAA0LAQABAAAAAAAAAAA</t>
        </r>
      </text>
    </comment>
    <comment ref="D351" authorId="0">
      <text>
        <r>
          <rPr>
            <sz val="9"/>
            <color indexed="81"/>
            <rFont val="Tahoma"/>
            <family val="2"/>
          </rPr>
          <t>Insight iXlW00004C0000351R0841462918S00000350P01024LAocjBAQBF1NjaVRlZ2ljLmRhdGEuTW9sZWN1bGUBbQF/ARJTY2lUZWdpYy5Nb2xlY3VsZQAAAQFkAv5qAQAAAAIBAjgcAAAA/AQA/AACAAAAAAAA8L8C7lqJnd7I9D8Ce8erYvz/578AAAAAGAAAAPwEAPwAAgAAAAAAAPC/AiqK0FrYyPQ/AtNhohISAOg/AAAAABgAAAD8CAD8AAIAAAAAAADwvwKBSZam6LHgvgI56m80AQD4PwAAAAAYAAAA/AgA/AACAAAAAAAA8L8CAAAts4nK8r4CeDp/NwQACEAAAAAAGAAAAPwIAPwAAgAAAAAAAPC/AozxbpT1yPS/AlB6e37+/w1AAAAAABgAAAD8CAD8AAIAAAAAAADwvwJ6Zo7s5cgEwAJdA7Jf+f8HQAAAAAAYAAAA/AgA/AACAAAAAAAA8L8CjOEQteDIBMACTktmv/L/9z8AAAAAGAAAAPwIAPwAAgAAAAAAAPC/AgS0xbPgyPS/AhLLAij1/+c/AAAAABgAAAD8BAD8AAIAAAAAAADwvwIDxg5x2sj0vwLWkvvXCgDovwAAAAAYCAAA/AQA/AACAAAAAAAA8L8CIIqKpuix0D4C8gBxNAEA+L8AAAAAGAAAAPwIAPwAAgAAAAAAAPC/AnOClj1AWmk/Ajjzudy0AQjAAAAAACAAAAD8BAD8AAIAAAAAAADwvwIe+ps719z0PwJvUjlYwP4NwAAAAAAYAAAA/AQA/AACAAAAAAAA8L8CoCaZi/jm9D8CnhvhTSzME8AAAAAAIAAAAPwIAPwAAgAAAAAAAPC/At/I/Ti4j/C/AvoGqVU30gzAAAAAADwABAQABAAAAAAECAQABAAAAAAIDAgABAQAAAAMEAQABAQAAAAQFAgABAQAAAAUGAQABAQAAAAIHAQABAQAAAAcGAgABAQAAAAcIAQABAAAAAAgJAQABAAAAAAkAAQABAAAAAAkKAQQAAAAAAAoLAQAAAAAAAAsMAQAAAAAAAAoNAgAAAAAAAAAAAAA</t>
        </r>
      </text>
    </comment>
    <comment ref="D352" authorId="0">
      <text>
        <r>
          <rPr>
            <sz val="9"/>
            <color indexed="81"/>
            <rFont val="Tahoma"/>
            <family val="2"/>
          </rPr>
          <t>Insight iXlW00004C0000352R0841462918S00000351P01104LAocjBAQBF1NjaVRlZ2ljLmRhdGEuTW9sZWN1bGUBbQF/ARJTY2lUZWdpYy5Nb2xlY3VsZQAAAQFkAv5qAQAAAAIAAjwcAAAA/AgA/AACAAAAAAAA8L8C7lqJnd7I9D8Ce8erYvz/578AAAAAGAAAAPwEAPwAAgAAAAAAAPC/AiqK0FrYyPQ/AtNhohISAOg/AAAAABgAAAD8BAD8AAIAAAAAAADwvwKBSZam6LHgvgI56m80AQD4PwAAAAAYAAAA/AgA/AACAAAAAAAA8L8CIIqKpuix0D4C8gBxNAEA+L8AAAAAGAAAAPwEAPwAAgAAAAAAAPC/AgPGDnHayPS/AtaS+9cKAOi/AAAAABwAAAD8BAD8AAIAAAAAAADwvwIEtMWz4Mj0vwISywIo9f/nPwAAAAAcAAAA/AgA/AACAAAAAAAA8L8CmrdEwNHu0z8CWj4J1V67B8AAAAAAGAAAAPwIAPwAAgAAAAAAAPC/Ako/QJMM2vw/AhdODzd5/AjAAAAAABgAAAD8CAD8AAIAAAAAAADwvwIfnYHKg04DQAIjenGXHgz8vwAAAAAYAAAA/AgA/AACAAAAAAAA8L8CrMJgHtQMD0AC9Eli9IgN978AAAAAGAAAAPwIAPwAAgAAAAAAAPC/Ar1oqPj92BNAAmXKYtuZygPAAAAAABgAAAD8CAD8AAIAAAAAAADwvwKUDuwpFpsZQAJ3cxdjQWsAwAAAAAAYAAAA/AgA/AACAAAAAAAA8L8Cps+8qEsGG0ACJXaSvIEJ478AAAAAGAAAAPwIAPwAAgAAAAAAAPC/AoGswRpprxZAApympsFJOdw/AAAAABgAAAD8CAD8AAIAAAAAAADwvwICG2yeUO0QQAKAejxPYOmTPwAAAAABEQAEBAAEAAAAAAQIBAAEAAAAAAAMBAAEBAAAAAwQBAAEAAAAABAUBAAEAAAAABQIBAAEAAAAAAwYCAAEBAAAABgcBAAEBAAAABwgCAAEBAAAACAABAAEBAAAACAkBAAAAAAAACQoCAAEBAAAACgsBAAEBAAAACwwCAAEBAAAADA0BAAEBAAAADQ4CAAEBAAAADgkBAAEBAAAAAAAAAA=</t>
        </r>
      </text>
    </comment>
    <comment ref="D353" authorId="0">
      <text>
        <r>
          <rPr>
            <sz val="9"/>
            <color indexed="81"/>
            <rFont val="Tahoma"/>
            <family val="2"/>
          </rPr>
          <t>Insight iXlW00004C0000353R0841462918S00000352P00620LAocjBAQBF1NjaVRlZ2ljLmRhdGEuTW9sZWN1bGUBbQF/ARJTY2lUZWdpYy5Nb2xlY3VsZQAAAQFkAv5qAQAAAAIAAiAcAAAA/AQA/AACAAAAAAAA8L8C7lqJnd7I9D8Ce8erYvz/578AAAAAGAAAAPwEAPwAAgAAAAAAAPC/AiqK0FrYyPQ/AtNhohISAOg/AAAAABgAAAD8BAD8AAIAAAAAAADwvwKBSZam6LHgvgI56m80AQD4PwAAAAAcAAAA/AQA/AACAAAAAAAA8L8CBLTFs+DI9L8CEssCKPX/5z8AAAAAGAAAAPwEAPwAAgAAAAAAAPC/AgPGDnHayPS/AtaS+9cKAOi/AAAAABgAAAD8BAD8AAIAAAAAAADwvwIgioqm6LHQPgLyAHE0AQD4vwAAAAAYAAAA/AQA/AACAAAAAAAA8L8C/aUYnX3Z8L8Cwhbg+zmaAMAAAAAAGAAAAPwEAPwAAgAAAAAAAPC/AsMdXklB2fA/AvRghtR4mgDAAAAAACAABAQABAAAAAAECAQABAAAAAAIDAQABAAAAAAMEAQABAAAAAAQFAQABAAAAAAUAAQABAAAAAAUGAQAAAAAAAAUHAQAAAAAAAAAAAAA</t>
        </r>
      </text>
    </comment>
    <comment ref="D354" authorId="0">
      <text>
        <r>
          <rPr>
            <sz val="9"/>
            <color indexed="81"/>
            <rFont val="Tahoma"/>
            <family val="2"/>
          </rPr>
          <t>Insight iXlW00004C0000354R0841462918S00000353P00688LAocjBAQBF1NjaVRlZ2ljLmRhdGEuTW9sZWN1bGUBbQF/ARJTY2lUZWdpYy5Nb2xlY3VsZQAAAQFkAv5qAQAAAAIAAiQcAAAA/AgA/AACAAAAAAAA8L8C7lqJnd7I9D8Ce8erYvz/578AAAAAGAAAAPwEAPwAAgAAAAAAAPC/AiqK0FrYyPQ/AtNhohISAOg/AAAAABgAAAD8BAD8AAIAAAAAAADwvwKBSZam6LHgvgI56m80AQD4PwAAAAAcAAAA/AQA/AACAAAAAAAA8L8CBLTFs+DI9L8CEssCKPX/5z8AAAAAGAAAAPwEAPwAAgAAAAAAAPC/AgPGDnHayPS/AtaS+9cKAOi/AAAAABgAAAD8CAD8AAIAAAAAAADwvwIgioqm6LHQPgLyAHE0AQD4vwAAAAAgAAAA/AgA/AACAAAAAAAA8L8CH5YngAgN3j4C6fTRM5qZBcAAAAAAGAAAAPwEAPwAAgAAAAAAAPC/Ao52jRqBzQRAAiMgJsO89ve/AAAAABgAAAD8BAD8AAIAAAAAAADwvwJG4R0SGBwNQAL7KvPyI67svwAAAAAkAAQEAAQAAAAABAgEAAQAAAAACAwEAAQAAAAADBAEAAQAAAAAEBQEAAQAAAAAFAAEAAQAAAAAFBgIAAAAAAAAABwEAAAAAAAAHCAEAAAAAAAAAAAAAA==</t>
        </r>
      </text>
    </comment>
    <comment ref="D355" authorId="0">
      <text>
        <r>
          <rPr>
            <sz val="9"/>
            <color indexed="81"/>
            <rFont val="Tahoma"/>
            <family val="2"/>
          </rPr>
          <t>Insight iXlW00004C0000355R0841462918S00000354P01444LAocjBAQBF1NjaVRlZ2ljLmRhdGEuTW9sZWN1bGUBbQF/ARJTY2lUZWdpYy5Nb2xlY3VsZQAAAQFkAv5qAQAAAAIAAgEUHAAAAPwEAPwAAgAAAAAAAPC/Au5aiZ3eyPQ/AnvHq2L8/+e/AAAAABgAAAD8BAD8AAIAAAAAAADwvwIqitBa2Mj0PwLTYaISEgDoPwAAAAAYAAAA/AQA/AACAAAAAAAA8L8CgUmWpuix4L4COepvNAEA+D8AAAAAGAAAAPwEAPwAAgAAAAAAAPC/AtgSh7guxwRAAmipXwejDPi/AAAAABgAAAD8CAD8AAIAAAAAAADwvwJfUNOZz8IEQALwLG/2AAgIwAAAAAAYAAAA/AgA/AACAAAAAAAA8L8C21UcS+EhD0ACM/AsQWIRDsAAAAAAGAAAAPwIAPwAAgAAAAAAAPC/AlPgqvhBFw9AAjOAzcauCBXAAAAAABgAAAD8CAD8AAIAAAAAAADwvwIPDyWjiK0EQALDCuxmFAQYwAAAAAAYAAAA/AgA/AACAAAAAAAA8L8CdFDUKNuc9D8Cfo55rXz/FMAAAAAAGAAAAPwIAPwAAgAAAAAAAPC/AsrpPqEVsvQ/Am5TrAz+/g3AAAAAABgAAAD8BAD8AAIAAAAAAADwvwIgioqm6LHQPgLyAHE0AQD4vwAAAAAYAAAA/AQA/AACAAAAAAAA8L8CA8YOcdrI9L8C1pL71woA6L8AAAAAHAAAAPwEAPwAAgAAAAAAAPC/AgS0xbPgyPS/AhLLAij1/+c/AAAAABgAAAD8BAD8AAIAAAAAAADwvwLwsQ3vfM0EwAKE0T5iy/b3vwAAAAAYAAAA/AgA/AACAAAAAAAA8L8CXxDOyDExD8ACvaClyRfb578AAAAAGAAAAPwIAPwAAgAAAAAAAPC/Aos58kuIzRTAAoxzd9nj2ve/AAAAABgAAAD8CAD8AAIAAAAAAADwvwLRJHXPFf0ZwAKKsGGyCZHnvwAAAAAYAAAA/AgA/AACAAAAAAAA8L8C0iuxKcf3GcAC1j6DhuNu6D8AAAAAGAAAAPwIAPwAAgAAAAAAAPC/AoDd4f/qwhTAAsEXT8gLJfg/AAAAABgAAAD8CAD8AAIAAAAAAADwvwIknwbsuSYPwAK+7wTHYCXoPwAAAAABFgAEBAAEAAAAAAQIBAAEAAAAAAAMBAAAAAAAAAwQBAAAAAAAABAUCAAEBAAAABQYBAAEBAAAABgcCAAEBAAAABwgBAAEBAAAACAkCAAEBAAAACQQBAAEBAAAAAAoBAAEAAAAACgsBAAEAAAAACwwBAAEAAAAADAIBAAEAAAAACw0BAAAAAAAADQ4BAAAAAAAADg8CAAEBAAAADwBEAQABAQAAAABEAERCAAEBAAAAAERARIEAAQEAAAAARIBEwgABAQAAAABEzgEAAQEAAAAAAAAAA==</t>
        </r>
      </text>
    </comment>
    <comment ref="D356" authorId="0">
      <text>
        <r>
          <rPr>
            <sz val="9"/>
            <color indexed="81"/>
            <rFont val="Tahoma"/>
            <family val="2"/>
          </rPr>
          <t>Insight iXlW00004C0000356R0841462918S00000355P00960LAocjBAQBF1NjaVRlZ2ljLmRhdGEuTW9sZWN1bGUBbQF/ARJTY2lUZWdpYy5Nb2xlY3VsZQAAAQFkAv5qAQAAAAIAAjQcAAAA/AQA/AACAAAAAAAA8L8C7lqJnd7I9D8Ce8erYvz/578AAAAAGAAAAPwEAPwAAgAAAAAAAPC/AiqK0FrYyPQ/AtNhohISAOg/AAAAABgAAAD8BAD8AAIAAAAAAADwvwKBSZam6LHgvgI56m80AQD4PwAAAAAYAAAA/AQA/AACAAAAAAAA8L8CIIqKpuix0D4C8gBxNAEA+L8AAAAAGAAAAPwEAPwAAgAAAAAAAPC/AgPGDnHayPS/AtaS+9cKAOi/AAAAABwAAAD8BAD8AAIAAAAAAADwvwIEtMWz4Mj0vwISywIo9f/nPwAAAAAYAAAA/AQA/AACAAAAAAAA8L8CjbAsDto4ab8C+9fs3rQBCMAAAAAAGAAAAPwIAPwAAgAAAAAAAPC/AhxPF17C3PS/AqzuBPnD/g3AAAAAABgAAAD8CAD8AAIAAAAAAADwvwJxcjSnXPL0vwLSImALaP8UwAAAAAAYAAAA/AgA/AACAAAAAAAA8L8Cw569sOfiBMACUrvYpM36F8AAAAAAGAAAAPwIAPwAAgAAAAAAAPC/AlB1w7cCQg/AAn8Ux+Q19hTAAAAAABgAAAD8CAD8AAIAAAAAAADwvwJQgztsZTcPwAIm7VR7cOwNwAAAAAAYAAAA/AgA/AACAAAAAAAA8L8CquacGK3NBMAC+jDOeKP1B8AAAAAAOAAEBAAEAAAAAAQIBAAEAAAAAAAMBAAEAAAAAAwQBAAEAAAAABAUBAAEAAAAABQIBAAEAAAAAAwYBAAAAAAAABgcBAAAAAAAABwgCAAEBAAAACAkBAAEBAAAACQoCAAEBAAAACgsBAAEBAAAACwwCAAEBAAAADAcBAAEBAAAAAAAAAA=</t>
        </r>
      </text>
    </comment>
    <comment ref="D357" authorId="0">
      <text>
        <r>
          <rPr>
            <sz val="9"/>
            <color indexed="81"/>
            <rFont val="Tahoma"/>
            <family val="2"/>
          </rPr>
          <t>Insight iXlW00004C0000357R0841462918S00000356P00960LAocjBAQBF1NjaVRlZ2ljLmRhdGEuTW9sZWN1bGUBbQF/ARJTY2lUZWdpYy5Nb2xlY3VsZQAAAQFkAv5qAQAAAAIAAjQYAAAA/AgA/AACAAAAAAAA8L8C5vIZVVTMBUACCdyFqqZq8z8AAAAAHAAAAPwIAPwAAgAAAAAAAPC/AnlB2lgF2gxAAhIFOuwFAec+AAAAABwAAAD8CAD8AAIAAAAAAADwvwIS77llWcwFQAIerM7rj2rzvwAAAAAYAAAA/AgA/AACAAAAAAAA8L8C7lqJnd7I9D8Ce8erYvz/578AAAAAHAAAAPwIAPwAAgAAAAAAAPC/AiqK0FrYyPQ/AtNhohISAOg/AAAAABgAAAD8BAD8AAIAAAAAAADwvwKBSZam6LHgvgI56m80AQD4PwAAAAAYAAAA/AQA/AACAAAAAAAA8L8CIIqKpuix0D4C8gBxNAEA+L8AAAAAHAAAAPwEAPwAAgAAAAAAAPC/AgPGDnHayPS/AtaS+9cKAOi/AAAAABgAAAD8BAD8AAIAAAAAAADwvwIEtMWz4Mj0vwISywIo9f/nPwAAAAAYAAAA/AQA/AACAAAAAAAA8L8CEimRLu5/CUACjBrAfr4bBUAAAAAAJAAAAPwEAPwAAgAAAAAAAPC/Ah6bj76ycRFAAqBMznC5HAdAAAAAACQAAAD8BAD8AAIAAAAAAADwvwIQMGSzhRIDQAJA24QQPT0MQAAAAAAkAAAA/AQA/AACAAAAAAAA8L8ChE9Qusd1DEACWg+4ppM9DkAAAAAAOAAECAAEBAAAAAQIBAAEBAAAAAgMCAAEBAAAAAwQBAAEBAAAABAABAAEBAAAABAUBAAEAAAAAAwYBAAEAAAAABgcBAAEAAAAABwgBAAEAAAAACAUBAAEAAAAAAAkBAAAAAAAACQoBAAAAAAAACQsBAAAAAAAACQwBAAAAAAAAAAAAAA=</t>
        </r>
      </text>
    </comment>
    <comment ref="D358" authorId="0">
      <text>
        <r>
          <rPr>
            <sz val="9"/>
            <color indexed="81"/>
            <rFont val="Tahoma"/>
            <family val="2"/>
          </rPr>
          <t>Insight iXlW00004C0000358R0841462918S00000357P01580LAocjBAQBF1NjaVRlZ2ljLmRhdGEuTW9sZWN1bGUBbQF/ARJTY2lUZWdpYy5Nb2xlY3VsZQAAAQFkAv5qAQAAAAIBAgEWHAAAAPwEAPwAAgAAAAAAAPC/Au5aiZ3eyPQ/AnvHq2L8/+e/AAAAABgAAAD8BAD8AAIAAAAAAADwvwIqitBa2Mj0PwLTYaISEgDoPwAAAAAYAAAA/AQA/AACAAAAAAAA8L8CgUmWpuix4L4COepvNAEA+D8AAAAAGAAAAPwEAPwAAgAAAAAAAPC/AtgSh7guxwRAAmipXwejDPi/AAAAABgAAAD8CAD8AAIAAAAAAADwvwJfUNOZz8IEQALwLG/2AAgIwAAAAAAYAAAA/AgA/AACAAAAAAAA8L8C21UcS+EhD0ACM/AsQWIRDsAAAAAAGAAAAPwIAPwAAgAAAAAAAPC/AlPgqvhBFw9AAjOAzcauCBXAAAAAABgAAAD8CAD8AAIAAAAAAADwvwIPDyWjiK0EQALDCuxmFAQYwAAAAAAYAAAA/AgA/AACAAAAAAAA8L8CdFDUKNuc9D8Cfo55rXz/FMAAAAAAGAAAAPwIAPwAAgAAAAAAAPC/AsrpPqEVsvQ/Am5TrAz+/g3AAAAAABgAAAD8BAD8AAIAAAAAAADwvwIgioqm6LHQPgLyAHE0AQD4vwAAAAAYCAAA/AQA/AACAAAAAAAA8L8CA8YOcdrI9L8C1pL71woA6L8AAAAAHAAAAPwEAPwAAgAAAAAAAPC/AgS0xbPgyPS/AhLLAij1/+c/AAAAABgAAAD8BAD8AAIAAAAAAADwvwJhQDqJKscEwALbDduhsQz4vwAAAAAgAAAA/AQA/AACAAAAAAAA8L8CzlvmMcfCBMACVK0iQggICMAAAAAAGAAAAPwEAPwAAgAAAAAAAPC/AgiVsPd+JQ/AAir0AZdcDg7AAAAAABgAAAD8CAD8AAIAAAAAAADwvwJ0sFygGyEPwAJIjRsEBggVwAAAAAAYAAAA/AgA/AACAAAAAAAA8L8C8HfrWxXAFMACgvGO2rgMGMAAAAAAGAAAAPwIAPwAAgAAAAAAAPC/Ah2i6CTDuhTAAjyygn62DB7AAAAAABgAAAD8CAD8AAIAAAAAAADwvwI+bWxqygsPwAJDdKbzDIQgwAAAAAAYAAAA/AgA/AACAAAAAAAA8L8CknVm7bGsBMACYibJ+H8DHsAAAAAAGAAAAPwIAPwAAgAAAAAAAPC/AiX5L0VUtwTAAkmX6FOCAxjAAAAAAAEYAAQEAAQAAAAABAgEAAQAAAAAAAwEAAAAAAAADBAEAAAAAAAAEBQIAAQEAAAAFBgEAAQEAAAAGBwIAAQEAAAAHCAEAAQEAAAAICQIAAQEAAAAJBAEAAQEAAAAACgEAAQAAAAAKCwEAAQAAAAALDAEAAQAAAAAMAgEAAQAAAAALDQEFAAAAAAANDgEAAAAAAAAODwEAAAAAAAAPAEQBAAAAAAAAAEQAREIAAQEAAAAAREBEgQABAQAAAABEgETCAAEBAAAAAETARQEAAQEAAAAARQBFQgABAQAAAABFQEQBAAEBAAAAAAAAAA=</t>
        </r>
      </text>
    </comment>
    <comment ref="D359" authorId="0">
      <text>
        <r>
          <rPr>
            <sz val="9"/>
            <color indexed="81"/>
            <rFont val="Tahoma"/>
            <family val="2"/>
          </rPr>
          <t>Insight iXlW00004C0000359R0841462918S00000358P01932LAocjBAQBF1NjaVRlZ2ljLmRhdGEuTW9sZWN1bGUBbQF/ARJTY2lUZWdpYy5Nb2xlY3VsZQAAAQFkAv5qAQAAAAIAAgEbIAAAAPwIAPwAAgAAAAAAAPC/AlVt4NPcnhVAAq6i9pMSkBnAAAAAABgAAAD8CAD8AAIAAAAAAADwvwILyYycI9gQQAKMfVbhHwoawAAAAAAYAAAA/AgA/AACAAAAAAAA8L8C4+vwvoGyCkAC+Iskyu8rFcAAAAAAHAAAAPwIAPwAAgAAAAAAAPC/AqSWJzoHZf0/AiChQo6aJhXAAAAAABwAAAD8CAD8AAIAAAAAAADwvwJN3oJ5vA72PwLvYFczSOAOwAAAAAAcAAAA/AgA/AACAAAAAAAA8L8CT1DTmc/CBEAC9yxv9gAICMAAAAAAGAAAAPwEAPwAAgAAAAAAAPC/AtISh7guxwRAAnipXwejDPi/AAAAABgAAAD8CAD8AAIAAAAAAADwvwLuWomd3sj0PwJ7x6ti/P/nvwAAAAAYAAAA/AgA/AACAAAAAAAA8L8CKorQWtjI9D8C02GiEhIA6D8AAAAAGAAAAPwIAPwAAgAAAAAAAPC/AoFJlqboseC+AjnqbzQBAPg/AAAAABgAAAD8CAD8AAIAAAAAAADwvwIEtMWz4Mj0vwISywIo9f/nPwAAAAAYAAAA/AgA/AACAAAAAAAA8L8CA8YOcdrI9L8C1pL71woA6L8AAAAAGAAAAPwIAPwAAgAAAAAAAPC/AiCKiqbosdA+AvIAcTQBAPi/AAAAABgAAAD8CAD8AAIAAAAAAADwvwKfRajD8HEOQALcQwYtivEOwAAAAAAYAAAA/AQA/AACAAAAAAAA8L8CvOinkVjtFEACns11+ow0C8AAAAAAGAAAAPwEAPwAAgAAAAAAAPC/AlyaILvunBZAAiRY+/v3dv+/AAAAABgAAAD8BAD8AAIAAAAAAADwvwI29kZv8nEcQAIFoME+ntP5vwAAAAAcAAAA/AQA/AACAAAAAAAA8L8CGKukknlKIEACXF9aTPKaBcAAAAAAGAAAAPwEAPwAAgAAAAAAAPC/AjJ5eZHw4h5AAr1ZrZvhjhDAAAAAABgAAAD8BAD8AAIAAAAAAADwvwLUoxMc7Q0ZQAK1iaAOufcRwAAAAAAcAAAA/AgA/AACAAAAAAAA8L8C29VFVlHADEACmjXdkQODH8AAAAAAGAAAAPwIAPwAAgAAAAAAAPC/Ai2a4T6V4BFAAgkO1lCrMSLAAAAAABgAAAD8CAD8AAIAAAAAAADwvwIm33Zj99UOQALHQsR7NO4kwAAAAAAcAAAA/AgA/AACAAAAAAAA8L8COGmFPXTtEkACXBoXWBxdJ8AAAAAAGAAAAPwIAPwAAgAAAAAAAPC/Aj3rnA6Y5RhAAsT1UNODDyfAAAAAABgAAAD8CAD8AAIAAAAAAADwvwKxDlntQ1sbQAIifW1qA1MkwAAAAAAYAAAA/AgA/AACAAAAAAAA8L8CrXg2OszYF0ACFsr6PxvkIcAAAAAAAR4ABAgAAAAAAAAECAQAAAAAAAAIDAQABAQAAAAMEAgABAQAAAAQFAQABAQAAAAUGAQAAAAAAAAYHAQAAAAAAAAcIAgABAQAAAAgJAQABAQAAAAkKAgABAQAAAAoLAQABAQAAAAsMAgABAQAAAAwHAQABAQAAAAUNAQABAQAAAA0CAgABAQAAAA0OAQAAAAAAAA4PAQABAAAAAA8ARAEAAQAAAAAARABEQQABAAAAAABEQESBAAEAAAAAAESARMEAAQAAAAAARM4BAAEAAAAAAQBFAQAAAAAAAABFAEVBAAAAAAAAAEVARYIAAQEAAAAARYBFwQABAQAAAABFwEYCAAEBAAAAAEYARkEAAQEAAAAARkBGggABAQAAAABGgEVBAAEBAAAAAAAAAA=</t>
        </r>
      </text>
    </comment>
    <comment ref="D360" authorId="0">
      <text>
        <r>
          <rPr>
            <sz val="9"/>
            <color indexed="81"/>
            <rFont val="Tahoma"/>
            <family val="2"/>
          </rPr>
          <t>Insight iXlW00004C0000360R0841462918S00000359P00896LAocjBAQBF1NjaVRlZ2ljLmRhdGEuTW9sZWN1bGUBbQF/ARJTY2lUZWdpYy5Nb2xlY3VsZQAAAQFkAv5qAQAAAAIAAjAYAAAA/AQA/AACAAAAAAAA8L8C7lqJnd7I9D8Ce8erYvz/578AAAAAGAAAAPwEAPwAAgAAAAAAAPC/AiqK0FrYyPQ/AtNhohISAOg/AAAAABgAAAD8BAD8AAIAAAAAAADwvwKBSZam6LHgvgI56m80AQD4PwAAAAAYAAAA/AQA/AACAAAAAAAA8L8CBLTFs+DI9L8CEssCKPX/5z8AAAAAGAAAAPwEAPwAAgAAAAAAAPC/AgPGDnHayPS/AtaS+9cKAOi/AAAAABwAAAD8BAD8AAIAAAAAAADwvwIgioqm6LHQPgLyAHE0AQD4vwAAAAAYAAAA/AgA/AACAAAAAAAA8L8CYPlzk/my8L4C+ewyjYkBCEAAAAAAGAAAAPwIAPwAAgAAAAAAAPC/ApEBWnTrw/Q/AvTagFIDBg5AAAAAABgAAAD8CAD8AAIAAAAAAADwvwJEjowdILr0PwLa61gpAQMVQAAAAAAYAAAA/AgA/AACAAAAAAAA8L8CIuAhc0+fc78C5Ei9W+IAGEAAAAAAGAAAAPwIAPwAAgAAAAAAAPC/AjjxX3yV1/S/AkD57lrE/hRAAAAAABgAAAD8CAD8AAIAAAAAAADwvwIeGQxSzs30vwIEH9O0if0NQAAAAAA0AAQEAAQAAAAABAgEAAQAAAAACAwEAAQAAAAADBAEAAQAAAAAEBQEAAQAAAAAFAAEAAQAAAAACBgEAAAAAAAAGBwIAAQEAAAAHCAEAAQEAAAAICQIAAQEAAAAJCgEAAQEAAAAKCwIAAQEAAAALBgEAAQEAAAAAAAAAA==</t>
        </r>
      </text>
    </comment>
    <comment ref="D361" authorId="0">
      <text>
        <r>
          <rPr>
            <sz val="9"/>
            <color indexed="81"/>
            <rFont val="Tahoma"/>
            <family val="2"/>
          </rPr>
          <t>Insight iXlW00004C0000361R0841462918S00000360P01296LAocjBAQBF1NjaVRlZ2ljLmRhdGEuTW9sZWN1bGUBbQF/ARJTY2lUZWdpYy5Nb2xlY3VsZQAAAQFkAv5qAQAAAAIAAgESARAAAAD8BAD8AAIAAAAAAADwvwK7ifpW0DYiQAJPy9qMYDEgQAAAAAAgAAAA/AgA/AACAAAAAAAA8L8C0z6N/N6FIUACFex0/JpiIUAAAAAAHAAAAPwIAPwAAgAAAAAAAPC/AuE1v+C9WiFAAuTUQYPYZR1AAAAAABgAAAD8CAD8AAIAAAAAAADwvwKv+0phfkQfQAIPi2lnAmQdQAAAAAAYAAAA/AgA/AACAAAAAAAA8L8CKUYwow4+HUACNXwvoW+aGkAAAAAAGAAAAPwIAPwAAgAAAAAAAPC/AnO+2MHgTx5AAlE7z5YTVRdAAAAAACAAAAD8CAD8AAIAAAAAAADwvwKeckSLjHgcQAIGiI4o90cVQAAAAAAgAAAA/AQA/AACAAAAAAAA8L8CahYmhKnXIEACoV9PMaueFkAAAAAAAWkAAAD8BAD8AAIAAAAAAADwvwJZwnDsUEUhQAL///////8TQAAAAAAYAAAA/AgA/AACAAAAAAAA8L8ChpxierT3GUACvdsHmf2qG0AAAAAAGAAAAPwIAPwAAgAAAAAAAPC/AsjxQ3qz9xlAAtK+xVEDHR9AAAAAABgAAAD8BAD8AAIAAAAAAADwvwIbdJ0g2fsWQAIfWPtWAmsgQAAAAAAcAAAA/AQA/AACAAAAAAAA8L8CAAAAAAAAFEACVWmIUQEdH0AAAAAAGAAAAPwEAPwAAgAAAAAAAPC/AlR7qeMAABRAApQBdHz8qhtAAAAAABgAAAD8BAD8AAIAAAAAAADwvwLCavDn2vsWQALogePK+vEZQAAAAAABEAAAAPwEAPwAAgAAAAAAAPC/AsHdPDENPh1AAsvyPXrJFiBAAAAAACAAAAD8CAD8AAIAAAAAAADwvwIDCTDDAdYgQALafUFtzzAgQAAAAAABaQAAAPwEAPwAAgAAAAAAAPC/Ati4B5AQ8CNAAlm3dsVLMiBAAAAAAAETAAQIAAAAAAAAAAgEAAAAAAAACAwEAAAAAAAADBAICAQEAAAAEBQEAAAAAAAAFBgIAAAAAAAAFBwEAAAAAAAAHCAEAAAAAAAAECQEAAQEAAAAJCgIDAQEAAAAKCwEAAQAAAAALDAEAAQAAAAAMDQEAAQAAAAANDgEAAQAAAAAOCQEAAQAAAAAKDwEAAQEAAAAPAwEAAQEAAAAAAEQCAAAAAAAAAABEQQAAAAAAAAAAAAA</t>
        </r>
      </text>
    </comment>
    <comment ref="D362" authorId="0">
      <text>
        <r>
          <rPr>
            <sz val="9"/>
            <color indexed="81"/>
            <rFont val="Tahoma"/>
            <family val="2"/>
          </rPr>
          <t>Insight iXlW00004C0000362R0841462918S00000361P02068LAocjBAQBF1NjaVRlZ2ljLmRhdGEuTW9sZWN1bGUBbQF/ARJTY2lUZWdpYy5Nb2xlY3VsZQAAAQFkAv5qAQAAAAIAAgEdIAAAAPwIAPwAAgAAAAAAAPC/Au1WA1NvARVAAqQ2wxi4vAJAAAAAABgAAAD8CAD8AAIAAAAAAADwvwKEB8xhtmkXQAIL9RxYGN30PwAAAAAcAAAA/AgA/AACAAAAAAAA8L8CmIaqpo1qHUAC8PYDbuXp9D8AAAAAGAAAAPwEAPwAAgAAAAAAAPC/ArnL4jB9bSBAArfCmFtEKgRAAAAAABgAAAD8BAD8AAIAAAAAAADwvwL69hBA6EcjQAKg6GXsDHUAQAAAAAAYAAAA/AQA/AACAAAAAAAA8L8CNnvQFu5HI0ACKIzysTPU4T8AAAAAGAAAAPwEAPwAAgAAAAAAAPC/AjkzcaOGbSBAArB9UxIi9bc/AAAAABwAAAD8CAD8AAIAAAAAAADwvwIsZWjvN2sUQAL7tDnk5LppPwAAAAAYAAAA/AgA/AACAAAAAAAA8L8CYVTZWAXaDEACiYKwQFCa8j4AAAAAGAAAAPwIAPwAAgAAAAAAAPC/AhLvuWVZzAVAAh6szuuPavO/AAAAABgAAAD8CAD8AAIAAAAAAADwvwLuWomd3sj0PwJ7x6ti/P/nvwAAAAAYAAAA/AgA/AACAAAAAAAA8L8CKorQWtjI9D8C02GiEhIA6D8AAAAAGAAAAPwEAPwAAgAAAAAAAPC/AoFJlqboseC+AjnqbzQBAPg/AAAAABwAAAD8BAD8AAIAAAAAAADwvwIEtMWz4Mj0vwISywIo9f/nPwAAAAAYAAAA/AQA/AACAAAAAAAA8L8CA8YOcdrI9L8C1pL71woA6L8AAAAAGAAAAPwEAPwAAgAAAAAAAPC/AiCKiqbosdA+AvIAcTQBAPi/AAAAABgAAAD8CAD8AAIAAAAAAADwvwLozQg2C4YJQALSauPJvBkFwAAAAAAYAAAA/AgA/AACAAAAAAAA8L8Cqq6G2q2iEkACVH79gQyVB8AAAAAAGAAAAPwIAPwAAgAAAAAAAPC/AhApPlk4ghRAAttGG4rIfRHAAAAAABgAAAD8CAD8AAIAAAAAAADwvwK2A7kMsmEaQAIA+AAqM7gSwAAAAAAYAAAA/AgA/AACAAAAAAAA8L8CNG7MFbphHkACeBYf5rh+DMAAAAAAGAAAAPwIAPwAAgAAAAAAAPC/AmESxWpXISJAAqYGsVq47Q7AAAAAACAAAAD8BAD8AAIAAAAAAADwvwJTV3uc0iAkQAIygseF3vcFwAAAAAAYAAAA/AQA/AACAAAAAAAA8L8CU6/FZHh6JkACP4RAgPzpB8AAAAAAIAAAAPwIAPwAAgAAAAAAAPC/AgEFpH8i4iJAApyh64qYBRTAAAAAABgAAAD8CAD8AAIAAAAAAADwvwJ5OTbSSIIcQAKFCYxSNRgBwAAAAAAYAAAA/AgA/AACAAAAAAAA8L8CBzxpVc+iFkACvGOnD7xG/b8AAAAAIAAAAPwIAPwAAgAAAAAAAPC/AoCdEqFxHANAAoQRRj6oPgzAAAAAAAEQAAAA/AQA/AACAAAAAAAA8L8C5vIZVVTMBUACCdyFqqZq8z8AAAAAASAABAgAAAAAAAAECAQAAAAAAAAIDAQABAAAAAAMEAQABAAAAAAQFAQABAAAAAAUGAQABAAAAAAYCAQABAAAAAAEHAQAAAAAAAAcIAQAAAAAAAAgJAgABAQAAAAkKAQABAQAAAAoLAgABAQAAAAsMAQABAAAAAAwNAQABAAAAAA0OAQABAAAAAA4PAQABAAAAAA8KAQABAAAAAAkARAEAAAAAAAAARABEQQAAAAAAAABEQESCAAEBAAAAAESARMEAAQEAAAAARMBFAgABAQAAAABFAEVBAAAAAAAAAEVARYEAAAAAAAAARYBFwQAAAAAAAABFQEYCAAAAAAAAAEUARkEAAQEAAAAARkBGggABAQAAAABGgERBAAEBAAAAAEQARsIAAAAAAAAIAEcBAAEBAAAAAEcLAQABAQAAAAAAAAA</t>
        </r>
      </text>
    </comment>
    <comment ref="D363" authorId="0">
      <text>
        <r>
          <rPr>
            <sz val="9"/>
            <color indexed="81"/>
            <rFont val="Tahoma"/>
            <family val="2"/>
          </rPr>
          <t>Insight iXlW00004C0000363R0841462918S00000362P02412LAocjBAQBF1NjaVRlZ2ljLmRhdGEuTW9sZWN1bGUBbQF/ARJTY2lUZWdpYy5Nb2xlY3VsZQAAAQFkAv5qAQAAAAIBAgEiGAAAAPwIAPwAAgAAAAAAAPC/Ak29ob4FAOg/AlbWXOg9hPC/AAAAABgAAAD8CAD8AAIAAAAAAADwvwK0X5AAmGrzPwLnURi0UDzZPwAAAAABEAAAAPwEAPwAAgAAAAAAAPC/ArbMWyo1Z9y+AqI5pgJnavQ/AAAAABgAAAD8CAD8AAIAAAAAAADwvwK17wdknGrzvwK83XCtGjzZPwAAAAAYAAAA/AQA/AACAAAAAAAA8L8CvsChfIQdBcACRBy/BoNW6z8AAAAAGAAAAPwEAPwAAgAAAAAAAPC/AibNH3m8Bg7AAiQPudn1ZcO/AAAAABgAAAD8BAD8AAIAAAAAAADwvwLDblWO+rkUwAIsU9N07MrTPwAAAAAYAAAA/AQA/AACAAAAAAAA8L8CAwiZQ30vGcACGNGon9o45r8AAAAAGAAAAPwEAPwAAgAAAAAAAPC/Ath/YztV5B7AAgikZbOpkM2/AAAAABwAAAD8BAD8AAIAAAAAAADwvwKvX3dS4BEgwAJ0CWBNmcfzPwAAAAAYAAAA/AQA/AACAAAAAAAA8L8C273BNlSuG8AC9pWVCXnrAUAAAAAAGAAAAPwEAPwAAgAAAAAAAPC/AnTcbux7+RXAAk+79fGdbPw/AAAAABgAAAD8CAD8AAIAAAAAAADwvwLiiF1B+v/nvwJWytYUQoTwvwAAAAABEAAAAPwEAPwAAgAAAAAAAPC/AsdUjCMwsQVAAhE9Z4YPR9k/AAAAABgAAAD8CAD8AAIAAAAAAADwvwJn6jjFf2YJQAKDMpnehIHwvwAAAAAYAAAA/AgA/AACAAAAAAAA8L8CzC5chGJlEkACyOZVvQL2978AAAAAIAAAAPwIAPwAAgAAAAAAAPC/Apy5HrMA+BVAAvPLYssHR+a/AAAAABwAAAD8CAD8AAIAAAAAAADwvwLoR15BwKITQAKGfwcrcboHwAAAAAAYAAAA/AQA/AACAAAAAAAA8L8Cio7TuGNXGUACJjudsFF2C8AAAAAAGAgAAPwEAPwAAgAAAAAAAPC/Aqan1XXBlBpAAqTjfL7gmhPAAAAAABgAAAD8CAD8AAIAAAAAAADwvwKYk3XC9R4WQAK4Q8tVlJ8XwAAAAAAgAAAA/AgA/AACAAAAAAAA8L8CyE4VTQseF0AC9fABl5xRHMAAAAAAIAAAAPwEAPwAAgAAAAAAAPC/Al5ZJKpOjhFAArE0maLXIxbAAAAAABwAAAD8CAD8AAIAAAAAAADwvwIjd6V2siQgQAJ1wUcB0XgVwAAAAAABEAAAAPwEAPwAAgAAAAAAAPC/ArKDJlVhwyBAAoUHdueIWBvAAAAAACAAAAD8CAD8AAIAAAAAAADwvwKTfIp7JPQdQAK4J1+dKI0ewAAAAAAgAAAA/AgA/AACAAAAAAAA8L8CenL3trX2HEAChzrgF/PaGcAAAAAAGAAAAPwIAPwAAgAAAAAAAPC/AgIn4RCznSNAAlXlQCp5Nh3AAAAAABgAAAD8CAD8AAIAAAAAAADwvwJV2HkT0jskQAKmxSVCyYohwAAAAAAcAAAA/AgA/AACAAAAAAAA8L8C2FQHUr0VJ0ACdNhIIZ95IsAAAAAAGAAAAPwIAPwAAgAAAAAAAPC/AlLfBnmJUSlAAjkHwFfpeCDAAAAAABgAAAD8CAD8AAIAAAAAAADwvwJvJeKaarMoQAJZWDP3uhIbwAAAAAAYAAAA/AgA/AACAAAAAAAA8L8C3Z7dhX/ZJUACOHcNOw41GcAAAAAAGAAAAPwIAPwAAgAAAAAAAPC/ArAvN0BqYv8/ArA04zXlnP6/AAAAAAElAAQIAAQEAAAABAgEAAQEAAAACAwEAAQEAAAADBAEAAAAAAAAEBQEAAAAAAAAFBgEAAAAAAAAGBwEAAQAAAAAHCAEAAQAAAAAICQEAAQAAAAAJCgEAAQAAAAAKCwEAAQAAAAALBgEAAQAAAAADDAIAAQEAAAAMAAEAAQEAAAABDQEAAQEAAAANDgEAAQEAAAAODwEAAAAAAAAPAEQCAAAAAAAADwBEQQAAAAAAAABEQESBAAAAAAAAAETARIEFAAAAAAAARMBFAQAAAAAAAABFAEVCAAAAAAAAAEUARYEAAAAAAAAARMBFwQAAAAAAAABFwEYBAAAAAAAAAEYARkIAAAAAAAAARgBGggAAAAAAAABGAEbBAAAAAAAAAEbARwIAAQEAAAAARwBHQQABAQAAAABHQEeCAAEBAAAAAEeAR8EAAQEAAAAAR8BIAgABAQAAAABIAEbBAAEBAAAADgBIQgABAQAAAABIQAEAAQEAAAAAAAAAA==</t>
        </r>
      </text>
    </comment>
    <comment ref="D364" authorId="0">
      <text>
        <r>
          <rPr>
            <sz val="9"/>
            <color indexed="81"/>
            <rFont val="Tahoma"/>
            <family val="2"/>
          </rPr>
          <t>Insight iXlW00004C0000364R0841462918S00000363P01984LAocjBAQBF1NjaVRlZ2ljLmRhdGEuTW9sZWN1bGUBbQF/ARJTY2lUZWdpYy5Nb2xlY3VsZQAAAQFkAv5qAQAAAAIBAgEcGAgAAAAEAPwAAgAAAAAAAPC/Au5aiZ3eyPQ/AnvHq2L8/+e/AAAAACAAAAD8BAD8AAIAAAAAAADwvwKAXg73clD0PwJw+Qe0tzH/vwAAAAAgAAAA/AQA/AACAAAAAAAA8L8CKorQWtjI9D8C02GiEhIA6D8AAAAAGAAAAPwEAPwAAgAAAAAAAPC/AoFJlqboseC+AjnqbzQBAPg/AAAAABgIAAAEBAD8AAIAAAAAAADwvwIEtMWz4Mj0vwISywIo9f/nPwAAAAAgAAAA/AQA/AACAAAAAAAA8L8CEwuM0Mm0AsACwmjVW4+Z9T8AAAAAGAAAAPwEAPwAAgAAAAAAAPC/AgPGDnHayPS/AtaS+9cKAOi/AAAAACAAAAD8BAD8AAIAAAAAAADwvwJhQDqJKscEwALbDduhsQz4vwAAAAAYDAAABAQA/AACAAAAAAAA8L8CzlvmMcfCBMACVK0iQggICMAAAAAAGAwAAAQEAPwAAgAAAAAAAPC/Am6518HWIQ/AAgZedDVtEQ7AAAAAACAAAAD8BAD8AAIAAAAAAADwvwIFkpgaO7sTwAIEr6NVEUwJwAAAAAAYDAAABAQA/AACAAAAAAAA8L8C3E2bMzMXD8ACjCcRP7QIFcAAAAAAGAwAAAQEAPwAAgAAAAAAAPC/AmpIb8N3rQTAAqDv8wgYBBjAAAAAACAAAAD8BAD8AAIAAAAAAADwvwIEnPDA9aQEwAKq0jHz4tAcwAAAAAAYCAAABAQA/AACAAAAAAAA8L8Cutqxq72c9L8CN5Ele37/FMAAAAAAGAAAAPwEAPwAAgAAAAAAAPC/AgC0I31Qsok/AtpAAlAN/hfAAAAAACAAAAD8BAD8AAIAAAAAAADwvwK4V3BM0bOOPwKVEsB12cocwAAAAAAgAAAA/AQA/AACAAAAAAAA8L8Cc2GymwCy9L8Ch7vDqwH/DcAAAAAAIAAAAPwEAPwAAgAAAAAAAPC/AofEsVyjsRPAAoTy2wzJchfAAAAAABgIAAAEBAD8AAIAAAAAAADwvwIgioqm6LHQPgLyAHE0AQD4vwAAAAAgAAAA/AQA/AACAAAAAAAA8L8CH5YngAgN3j4C6fTRM5qZBcAAAAAAGAAAAPwEAPwAAgAAAAAAAPC/AsJ7fF0IgARAAgDZh2oeFpY/AAAAABwAAAD8BAD8AAIAAAAAAADwvwIaXF77U4EEQALUi9nSuFv4PwAAAAAYAAAA/AQA/AACAAAAAAAA8L8CIiO/et7GDkACOq4diIddAkAAAAAAGAAAAPwEAPwAAgAAAAAAAPC/AofyKa+sjQ5AAgAjKTj/XA5AAAAAABwAAAD8BAD8AAIAAAAAAADwvwISDi4VHA0EQAIUFbDAmRUSQAAAAAAYAAAA/AQA/AACAAAAAAAA8L8CTm+rcXiL8z8CeHLEr/D5DUAAAAAAGAAAAPwEAPwAAgAAAAAAAPC/AvpDi9zX/fM/AqHhxvV4+gFAAAAAAAEeAAQEFAAAAAAAAAgEAAQAAAAACAwEAAQAAAAADBAEAAQAAAAAEBQEFAAAAAAAEBgEAAQAAAAAGBwEAAAAAAAAIBwEEAAAAAAAICQEAAQAAAAAJCgEEAAAAAAAJCwEAAQAAAAALDAEAAQAAAAAMDQEEAAAAAAAMDgEAAQAAAAAODwEFAAAAAAAPAEQBAAAAAAAADgBEQQABAAAAAABESAEAAQAAAAALAESBBQAAAAAABgBEwQABAAAAAABEwAEAAQAAAAAARMBFAQQAAAAAAAAARUEAAAAAAAAARUBFgQAAAAAAAABFgEXBAAEAAAAAAEXARgEAAQAAAAAARgBGQQABAAAAAABGQEaBAAEAAAAAAEaARsEAAQAAAAAARsBFgQABAAAAAAAAAAA</t>
        </r>
      </text>
    </comment>
    <comment ref="D365" authorId="0">
      <text>
        <r>
          <rPr>
            <sz val="9"/>
            <color indexed="81"/>
            <rFont val="Tahoma"/>
            <family val="2"/>
          </rPr>
          <t>Insight iXlW00004C0000365R0841462918S00000364P01868LAocjBAQBF1NjaVRlZ2ljLmRhdGEuTW9sZWN1bGUBbQF/ARJTY2lUZWdpYy5Nb2xlY3VsZQAAAQFkAv5qAQAAAAIBAgEaGAAAAPwEAPwAAgAAAAAAAPC/AivQcNPeoCfAAhQFOZ0pHf+/AAAAABgAAAD8BAD8AAIAAAAAAADwvwJjJj/18/klwAJ/IdRISoUGwAAAAAAYAAAA/AQA/AACAAAAAAAA8L8C1WNfGqaoJsACQMN8wXO5D8AAAAAAGAAAAPwEAPwAAgAAAAAAAPC/AiqhyvdmTyjAAvHrNPmVwgjAAAAAABwAAAD8BAD8AAIAAAAAAADwvwJeIbtu7g8jwAK0ZQcC7roDwAAAAAAYAAAA/AQA/AACAAAAAAAA8L8C49kj9pDpIcACqQaWIA9L8b8AAAAAGAgAAPwEAPwAAgAAAAAAAPC/Ascc+1ny1x3AAkwZCskeMfO/AAAAABgAAAD8CAD8AAIAAAAAAADwvwJgCASmM+oZwAIgnSlQBpWwvwAAAAAYAAAA/AgA/AACAAAAAAAA8L8COgM6eyUhFMACVMmZ7CYI3r8AAAAAGAAAAPwIAPwAAgAAAAAAAPC/Ajy23n22tQ/AAlDQJun2quI/AAAAABgAAAD8CAD8AAIAAAAAAADwvwL43gqALl0RwAK96zbb/EcAQAAAAAAkAAAA/AQA/AACAAAAAAAA8L8C7t7bPH/jC8ACcImp75cEB0AAAAAAGAAAAPwIAPwAAgAAAAAAAPC/Aub3OiTMJRfAAuMszo56eQNAAAAAABgAAAD8CAD8AAIAAAAAAADwvwJJnvgbF2wbwAJwQBnnchv2PwAAAAAkAAAA/AQA/AACAAAAAAAA8L8CnzXLgVcGIMACNK6uS/k1+z8AAAAAGAgAAPwEAPwAAgAAAAAAAPC/AgT0cgIIhxzAAhbH8LkIMwXAAAAAABgAAAD8BAD8AAIAAAAAAADwvwIfZxa6Q8ggwAIW/bcXjocLwAAAAAAYAAAA/AgA/AACAAAAAAAA8L8CIEI1v1b6FsACugkSSUDHCcAAAAAAIAAAAPwIAPwAAgAAAAAAAPC/AshR1uuaWBbAAgXo40S8pRHAAAAAABwAAAD8CAD8AAIAAAAAAADwvwIEdr+oREASwAKPl3KRVYMCwAAAAAAYAAAA/AQA/AACAAAAAAAA8L8C1HWRQsvpDsACyOiUz33Q8b8AAAAAGAwAAPwEAPwAAgAAAAAAAPC/ArkdPzSZjwPAAiflToF/c+i/AAAAABgAAAD8BAD8AAIAAAAAAADwvwK0QgoFL9kJwALtkyxDVybZPwAAAAAYDAAA/AQA/AACAAAAAAAA8L8CtEIKBS/ZCcAChuEIM4EW/78AAAAAGAAAAPwEAPwAAgAAAAAAAPC/Ar8yK3GpY/6/Ao+XcpFVgwLAAAAAABwAAAD8BAD8AAIAAAAAAADwvwK5HT80mY/zvwLI6JTPfdDxvwAAAAABHQAEBAAAAAAAAAQIBAAAAAAAAAQMBAAAAAAAAAQQBAAAAAAAABAUBAAEAAAAABQYBAAEAAAAABgcBBAAAAAAABwgCAAEBAAAACAkBAAEBAAAACQoCAAEBAAAACgsBAAAAAAAACgwBAAEBAAAADA0CAAEBAAAADQcBAAEBAAAADQ4BAAAAAAAABg8BAAEAAAAADwBEAQABAAAAAABEBAEAAQAAAAAPAERBBQAAAAAAAERARIIAAAAAAAAAREBEwQAAAAAAAABEwEUBAAEAAAAAAEVARQEFAQAAAAAARUBFgQABAAAAAABFwEWBBAEAAAAAAEXARMEAAQAAAAAARcBGAQABAAAAAABFQEZBAAEAAAAAAEZARgEAAQAAAAAAAAAAA==</t>
        </r>
      </text>
    </comment>
    <comment ref="D366" authorId="0">
      <text>
        <r>
          <rPr>
            <sz val="9"/>
            <color indexed="81"/>
            <rFont val="Tahoma"/>
            <family val="2"/>
          </rPr>
          <t>Insight iXlW00004C0000366R0841462918S00000365P02216LAocjBAQBF1NjaVRlZ2ljLmRhdGEuTW9sZWN1bGUBbQF/ARJTY2lUZWdpYy5Nb2xlY3VsZQAAAQFkAv5qAQAAAAIAAgEfGAAAAPwEAPwAAgAAAAAAAPC/AiLDB0HinRJAAjgYdf5eaiDAAAAAABgAAAD8BAD8AAIAAAAAAADwvwJUKIM0lMAJQAL3ZSUe2UAhwAAAAAAYAAAA/AQA/AACAAAAAAAA8L8Cmu1/jlLpBkACKkG0SQQrJMAAAAAAHAAAAPwEAPwAAgAAAAAAAPC/Ao4LVBF/lg9AAn6gW6SOPSbAAAAAABgAAAD8BAD8AAIAAAAAAADwvwI8tpcMd40VQAIq6bgI7mUlwAAAAAAYAAAA/AQA/AACAAAAAAAA8L8CYu8f4xj5FkACdG/I/MJ7IsAAAAAAGAAAAPwIAPwAAgAAAAAAAPC/AnnN/kADeRRAAuCubJhEHxvAAAAAABgAAAD8CAD8AAIAAAAAAADwvwJ0fE2yYPIQQAIm6zmddkQWwAAAAAAYAAAA/AgA/AACAAAAAAAA8L8CUKdnQ1uAFEAC8BDGFT5/EcAAAAAAHAAAAPwIAPwAAgAAAAAAAPC/AtwzFm+xohJAAlBs0CgHlQfAAAAAABgAAAD8CAD8AAIAAAAAAADwvwIlBVuwEYYJQAIs5CesuhkFwAAAAAAgAAAA/AgA/AACAAAAAAAA8L8C0TucEnocA0ACtTs35Kc+DMAAAAAAGAAAAPwIAPwAAgAAAAAAAPC/AkhzR8VczAVAAoLJILiNavO/AAAAABgAAAD8CAD8AAIAAAAAAADwvwLuWomd3sj0PwJ7x6ti/P/nvwAAAAAcAAAA/AgA/AACAAAAAAAA8L8CKorQWtjI9D8C02GiEhIA6D8AAAAAHAAAAPwIAPwAAgAAAAAAAPC/Ar+laFRUzAVAAs0zdqymavM/AAAAABgAAAD8CAD8AAIAAAAAAADwvwLwWBJYBdoMQAKJglEXIZzyPgAAAAAcAAAA/AgA/AACAAAAAAAA8L8CIIqKpuix0D4C8gBxNAEA+L8AAAAAGAAAAPwIAPwAAgAAAAAAAPC/AgPGDnHayPS/AtaS+9cKAOi/AAAAABgAAAD8CAD8AAIAAAAAAADwvwIEtMWz4Mj0vwISywIo9f/nPwAAAAAYAAAA/AgA/AACAAAAAAAA8L8CgUmWpuix4L4COepvNAEA+D8AAAAAHAAAAPwIAPwAAgAAAAAAAPC/Ai+VjOHpLRpAAvx4/LPbRBnAAAAAABwAAAD8CAD8AAIAAAAAAADwvwI2Plz/Ki4aQAKR0V2120QTwAAAAAAYAAAA/AgA/AACAAAAAAAA8L8CFhhl6jMEH0ACkwz9qM9sD8AAAAAAGAAAAPwIAPwAAgAAAAAAAPC/An7S4uPO0x5AAmjXMSUQeQPAAAAAABgAAAD8CAD8AAIAAAAAAADwvwISIuYHyvYhQAK439YNrE76vwAAAAAYAAAA/AgA/AACAAAAAAAA8L8CGCFS8HqbJEACKK9eZiHUAsAAAAAAIAAAAPwEAPwAAgAAAAAAAPC/AsxJBSuPKSdAAnx8Xu3ADfm/AAAAABgAAAD8BAD8AAIAAAAAAADwvwLx85x1f0YpQAKIs5ulMRQBwAAAAAAYAAAA/AgA/AACAAAAAAAA8L8CVMK6hkmzJEACyEv2dafSDsAAAAAAGAAAAPwIAPwAAgAAAAAAAPC/AgRRGzdnJiJAArD+Mq0xkhLAAAAAAAEjAAQEAAQAAAAABAgEAAQAAAAACAwEAAQAAAAADBAEAAQAAAAAEBQEAAQAAAAAFAAEAAQAAAAAABgEAAAAAAAAGBwEAAQEAAAAHCAIAAQEAAAAICQEAAAAAAAAJCgEAAAAAAAAKCwIAAAAAAAAKDAEAAAAAAAAMDQIAAQEAAAANDgEAAQEAAAAODwEAAQEAAAAPAEQCAAEBAAAAAEQMAQABAQAAAA0AREEAAQEAAAAAREBEggABAQAAAABEgETBAAEBAAAAAETARQIAAQEAAAAARQ4BAAEBAAAABgBFQgABAQAAAABFQEWBAAEBAAAAAEWIAQABAQAAAABFgEXBAAAAAAAAAEXARgIAAQEAAAAARgBGQQABAQAAAABGQEaCAAEBAAAAAEaARsEAAAAAAAAARsBHAQAAAAAAAABGgEdBAAEBAAAAAEdAR4IAAQEAAAAAR4BFwQABAQAAAAAAAAA</t>
        </r>
      </text>
    </comment>
    <comment ref="D367" authorId="0">
      <text>
        <r>
          <rPr>
            <sz val="9"/>
            <color indexed="81"/>
            <rFont val="Tahoma"/>
            <family val="2"/>
          </rPr>
          <t>Insight iXlW00004C0000367R0841462918S00000366P02220LAocjBAQBF1NjaVRlZ2ljLmRhdGEuTW9sZWN1bGUBbQF/ARJTY2lUZWdpYy5Nb2xlY3VsZQAAAQFkAv5qAQAAAAIAAgEfHAAAAPwEAPwAAgAAAAAAAPC/AtgSh7guxwRAAmipXwejDPi/AAAAABgAAAD8CAD8AAIAAAAAAADwvwLuWomd3sj0PwJ7x6ti/P/nvwAAAAAcAAAA/AgA/AACAAAAAAAA8L8CKorQWtjI9D8C02GiEhIA6D8AAAAAGAAAAPwIAPwAAgAAAAAAAPC/AoFJlqboseC+AjnqbzQBAPg/AAAAABgAAAD8CAD8AAIAAAAAAADwvwIEtMWz4Mj0vwISywIo9f/nPwAAAAAYAAAA/AgA/AACAAAAAAAA8L8CA8YOcdrI9L8C1pL71woA6L8AAAAAIAAAAPwEAPwAAgAAAAAAAPC/AmFAOokqxwTAAtsN26GxDPi/AAAAABgAAAD8BAD8AAIAAAAAAADwvwLOW+Yxx8IEwAJUrSJCCAgIwAAAAAAYAAAA/AQA/AACAAAAAAAA8L8CbrnXwdYhD8ACBl50NW0RDsAAAAAAGAAAAPwEAPwAAgAAAAAAAPC/AtxNmzMzFw/AAownET+0CBXAAAAAABwAAAD8BAD8AAIAAAAAAADwvwJqSG/Dd60EwAKg7/MIGAQYwAAAAAAYAAAA/AQA/AACAAAAAAAA8L8Cutqxq72c9L8CN5Ele37/FMAAAAAAGAAAAPwEAPwAAgAAAAAAAPC/AnNhspsAsvS/Aoe7w6sB/w3AAAAAABwAAAD8CAD8AAIAAAAAAADwvwIgioqm6LHQPgLyAHE0AQD4vwAAAAAYAAAA/AgA/AACAAAAAAAA8L8CX1DTmc/CBEAC8Cxv9gAICMAAAAAAGAAAAPwIAPwAAgAAAAAAAPC/AttVHEvhIQ9AAjPwLEFiEQ7AAAAAABgAAAD8CAD8AAIAAAAAAADwvwJT4Kr4QRcPQAIzgM3GrggVwAAAAAAYAAAA/AgA/AACAAAAAAAA8L8CK3I3ENi7FEAC8OHgxqkNGMAAAAAAARAAAAD8BAD8AAIAAAAAAADwvwIeVCNM4iYaQAIjjBkruZgVwAAAAAAYAAAA/AgA/AACAAAAAAAA8L8C3o91f+UkHkACguBXXF0TGsAAAAAAGAAAAPwEAPwAAgAAAAAAAPC/Anyf8aTBDSJAAo4PK7HHehnAAAAAACAAAAD8BAD8AAIAAAAAAADwvwLGxGNvXXMjQAILjsqX/GEdwAAAAAAYAAAA/AQA/AACAAAAAAAA8L8Ci0H3kjTrIEACxgVydIM0FMAAAAAAGAAAAPwEAPwAAgAAAAAAAPC/Aju2K7fbuSNAAq7JmBbOFhLAAAAAABgAAAD8BAD8AAIAAAAAAADwvwIGfJWktsgkQALpSecvHLQXwAAAAAAcAAAA/AgA/AACAAAAAAAA8L8CeJzRRDIeG0ACFFFsV7BBH8AAAAAAGAAAAPwIAPwAAgAAAAAAAPC/AvRW7ytkQRVAAooCHXfD+h3AAAAAABgAAAD8CAD8AAIAAAAAAADwvwIPDyWjiK0EQALDCuxmFAQYwAAAAAAYAAAA/AgA/AACAAAAAAAA8L8CdFDUKNuc9D8Cfo55rXz/FMAAAAAAGAAAAPwEAPwAAgAAAAAAAPC/AsAGQ6Obnc8/AtG0fL00YhfAAAAAABgAAAD8CAD8AAIAAAAAAADwvwLK6T6hFbL0PwJuU6wM/v4NwAAAAAABIwAEBAAAAAAAAAQICAAEBAAAAAgMBAAEBAAAAAwQCAAEBAAAABAUBAAEBAAAABQYBAAAAAAAABgcBAAAAAAAABwgBAAEAAAAACAkBAAEAAAAACQoBAAEAAAAACgsBAAEAAAAACwwBAAEAAAAADAcBAAEAAAAABQ0CAAEBAAAADQEBAAEBAAAAAA4BAAAAAAAADg8CAAEBAAAADwBEAQABAQAAAABEAERBAAAAAAAAAERARIEAAQEAAAAARIBEwQABAQAAAABEwEUBAAAAAAAAAEUARUEAAAAAAAAARQBFgQABAAAAAABFgEXBAAEAAAAAAEXARgEAAQAAAAAARgBFAQABAAAAAABEwEZCAAEBAAAAAEZARoEAAQEAAAAARoBEQgABAQAAAABEAEbCAAEBAAAAAEbARwEAAQEAAAAARwBHQQAAAAAAAABHAEeCAAEBAAAAAEeOAQABAQAAAAAAAAA</t>
        </r>
      </text>
    </comment>
    <comment ref="D368" authorId="0">
      <text>
        <r>
          <rPr>
            <sz val="9"/>
            <color indexed="81"/>
            <rFont val="Tahoma"/>
            <family val="2"/>
          </rPr>
          <t>Insight iXlW00004C0000368R0841462918S00000367P02476LAocjBAQBF1NjaVRlZ2ljLmRhdGEuTW9sZWN1bGUBbQF/ARJTY2lUZWdpYy5Nb2xlY3VsZQAAAQFkAv5qAQAAAAIBAgEjHAAAAPwIAPwAAgAAAAAAAPC/AmJjnNYzMQ9AAhh+zO7r2ue/AAAAABgAAAD8CAD8AAIAAAAAAADwvwKOdo0agc0EQAIjICbDvPb3vwAAAAAgAAAA/AgA/AACAAAAAAAA8L8C9W8J9BLRBEAC+/WvlV37A8AAAAAAHAAAAPwIAPwAAgAAAAAAAPC/Au5aiZ3eyPQ/AnvHq2L8/+e/AAAAABgAAAD8BAD8AAIAAAAAAADwvwIqitBa2Mj0PwLTYaISEgDoPwAAAAAYAAAA/AQA/AACAAAAAAAA8L8CgUmWpuix4L4COepvNAEA+D8AAAAAHAAAAPwEAPwAAgAAAAAAAPC/AgS0xbPgyPS/AhLLAij1/+c/AAAAABgAAAD8BAD8AAIAAAAAAADwvwIDxg5x2sj0vwLWkvvXCgDovwAAAAAYDAAA/AQA/AACAAAAAAAA8L8CIIqKpuix0D4C8gBxNAEA+L8AAAAAGAAAAPwIAPwAAgAAAAAAAPC/AnOClj1AWmk/Ajjzudy0AQjAAAAAACAAAAD8CAD8AAIAAAAAAADwvwLfyP04uI/wvwL6BqlVN9IMwAAAAAAcAAAA/AgA/AACAAAAAAAA8L8CHvqbO9fc9D8Cb1I5WMD+DcAAAAAAGAAAAPwEAPwAAgAAAAAAAPC/AjQEwSyqOQVAAmW3NcU5/QjAAAAAABgAAAD8BAD8AAIAAAAAAADwvwJ//cjPJkkNQAJ+qGibgfAQwAAAAAAYAAAA/AQA/AACAAAAAAAA8L8COrm5rWdSB0ACVOmJvmElFsAAAAAAGAwAAPwEAPwAAgAAAAAAAPC/AoCyTOGqJvc/Aq8GsuFA6xTAAAAAABgAAAD8CAD8AAIAAAAAAADwvwI8PTvRkvLUPwLk+wvkn+YYwAAAAAAgAAAA/AgA/AACAAAAAAAA8L8CVr+Ffms74j8Cpk/LWBWaHcAAAAAAIAAAAPwEAPwAAgAAAAAAAPC/AnGIcqf4jvG/AgVQIJFqAxfAAAAAABgAAAD8BAD8AAIAAAAAAADwvwLgZcFaoMABwALZzCMQiAAbwAAAAAAYAAAA/AQA/AACAAAAAAAA8L8C+AQeCpfdCsACYqKdXS1+GcAAAAAAGAAAAPwEAPwAAgAAAAAAAPC/AvIbAHKN7AjAAkwdUGRpMR7AAAAAABgAAAD8BAD8AAIAAAAAAADwvwJcu46qL6D/vwKaIOOE/bMfwAAAAAAYAAAA/AgA/AACAAAAAAAA8L8CKKNyrCDNFEACrw/9xyzk978AAAAAGAAAAPwIAPwAAgAAAAAAAPC/AoJphwhm/xlAAj2op26YyOe/AAAAABgAAAD8CAD8AAIAAAAAAADwvwK4MouxoTEfQAJIccc9LOT3vwAAAAAYAAAA/AgA/AACAAAAAAAA8L8CKB6IRasxH0ACam7UHhbyB8AAAAAAGAAAAPwIAPwAAgAAAAAAAPC/ApM2gjB5/xlAAj2c/E8n8g3AAAAAABgAAAD8CAD8AAIAAAAAAADwvwLapvABPc0UQAJ+cW4bOfIHwAAAAAAYAAAA/AgA/AACAAAAAAAA8L8CTGALYdgrD0ACzTEzFTMr6D8AAAAAGAAAAPwIAPwAAgAAAAAAAPC/AiJhBkLDxRRAAtYES4ClJvg/AAAAABgAAAD8CAD8AAIAAAAAAADwvwK8A+/Z/MAUQALRlk7zThMIQAAAAAAYAAAA/AgA/AACAAAAAAAA8L8Cxti118gYD0ACnscsYggLDkAAAAAAGAAAAPwIAPwAAgAAAAAAAPC/AqaNI8AjuQRAAq3QRTfGAghAAAAAABgAAAD8CAD8AAIAAAAAAADwvwJ79xV6rsIEQAIIgOcElAX4PwAAAAABJgAEBAAAAAAAAAQICAAAAAAAAAQMBAAAAAAAAAwQBAAEAAAAABAUBAAEAAAAABQYBAAEAAAAABgcBAAEAAAAABwgBAAEAAAAACAMBAAEAAAAACAkBBQAAAAAACQoCAAAAAAAACQsBAAAAAAAACwwBAAEAAAAADA0BAAEAAAAADQ4BAAEAAAAADg8BAAEAAAAADwsBAAEAAAAADwBEAQQAAAAAAABEAERCAAAAAAAAAEQARIEAAAAAAAAARIBEwQAAAAAAAABEwEUBAAAAAAAAAETARUEAAAAAAAAARMBFgQAAAAAAAAAARcEAAAAAAAAARcBGAgABAQAAAABGAEZBAAEBAAAAAEZARoIAAQEAAAAARoBGwQABAQAAAABGwEcCAAEBAAAAAEcARcEAAQEAAAAAAEdBAAAAAAAAAEdAR4IAAQEAAAAAR4BHwQABAQAAAABHwEgCAAEBAAAAAEgASEEAAQEAAAAASEBIggABAQAAAABIgEdBAAEBAAAAAAAAAA=</t>
        </r>
      </text>
    </comment>
    <comment ref="D369" authorId="0">
      <text>
        <r>
          <rPr>
            <sz val="9"/>
            <color indexed="81"/>
            <rFont val="Tahoma"/>
            <family val="2"/>
          </rPr>
          <t>Insight iXlW00004C0000369R0841462918S00000368P02288LAocjBAQBF1NjaVRlZ2ljLmRhdGEuTW9sZWN1bGUBbQF/ARJTY2lUZWdpYy5Nb2xlY3VsZQAAAQFkAv5qAQAAAAIBAgEgHAAAAPwIAPwAAgAAAAAAAPC/AlfGkjjmmw9AAhdekA4lNey/AAAAABgAAAD8CAD8AAIAAAAAAADwvwLgfC+57c8TQAIIpEUv+vb/vwAAAAAYAAAA/AgA/AACAAAAAAAA8L8C6lyMA9LNEEACNMSX1npdCsAAAAAAHAAAAPwIAPwAAgAAAAAAAPC/As2zxoHJ3wVAAn6y4bkD2gfAAAAAABgAAAD8CAD8AAIAAAAAAADwvwIdm4DrMsoEQAJatjrsggH4vwAAAAAYAAAA/AgA/AACAAAAAAAA8L8C7lqJnd7I9D8Ce8erYvz/578AAAAAGAAAAPwIAPwAAgAAAAAAAPC/AiqK0FrYyPQ/AtNhohISAOg/AAAAABgAAAD8CAD8AAIAAAAAAADwvwKBSZam6LHgvgI56m80AQD4PwAAAAAYAAAA/AgA/AACAAAAAAAA8L8CBLTFs+DI9L8CEssCKPX/5z8AAAAAGAAAAPwIAPwAAgAAAAAAAPC/AgPGDnHayPS/AtaS+9cKAOi/AAAAABgAAAD8CAD8AAIAAAAAAADwvwIgioqm6LHQPgLyAHE0AQD4vwAAAAAYAAAA/AQA/AACAAAAAAAA8L8CNBlDZ6c8E0AC6AS5yKKrEsAAAAAAGAAAAPwEAPwAAgAAAAAAAPC/AvhbTEWOHhlAAj3D+rpCvxPAAAAAABgAAAD8BAD8AAIAAAAAAADwvwKgpCUjpyEbQAL6xSUOUWYZwAAAAAAcAAAA/AQA/AACAAAAAAAA8L8CoKVI6AM+F0ACJmh6xO73HcAAAAAAGAAAAPwEAPwAAgAAAAAAAPC/ApX0mmtHVxFAAqZNE51+4hzAAAAAABgAAAD8BAD8AAIAAAAAAADwvwJs+jUkW6gOQALDbHyjcDsXwAAAAAAYAAAA/AgA/AACAAAAAAAA8L8CpFGapekGEUACMDcxBFvP4j8AAAAAGAAAAPwIAPwAAgAAAAAAAPC/AvEwwpGpyQlAAoSmG4bUr/o/AAAAABgAAAD8CAD8AAIAAAAAAADwvwIQvpD8ICgNQALS97+DXNwIQAAAAAAcAAAA/AgA/AACAAAAAAAA8L8C/lhkOmVoFEACiBQyV6uzC0AAAAAAGAAAAPwIAPwAAgAAAAAAAPC/AgM979Z+jRhAAhVw+DKIBgNAAAAAABwAAAD8BAD8AAIAAAAAAADwvwKGZE32ZmMeQAICQ1rzGtgFQAAAAAAYCAAA/AQA/AACAAAAAAAA8L8C1BuMUMBDIUACugM6/3NN+j8AAAAAGAAAAPwEAPwAAgAAAAAAAPC/AkaqO5Q7liBAApSczy5iid8/AAAAABgAAAD8CAD8AAIAAAAAAADwvwJYE1YRsy4kQAIsJSdolPD/PwAAAAAYAAAA/AgA/AACAAAAAAAA8L8C7aopK0hBJkACHCzIXr0s7T8AAAAAGAAAAPwIAPwAAgAAAAAAAPC/AgxlWHtzKylAApRx8kjdRPQ/AAAAABgAAAD8CAD8AAIAAAAAAADwvwI+yKYrFQMqQAJacZZo3KYFQAAAAAAYAAAA/AgA/AACAAAAAAAA8L8CJfBsoYvwJ0AC+Ir1BwxUDkAAAAAAGAAAAPwIAPwAAgAAAAAAAPC/Aj0FoDFgBiVAAj7EO8LOfAtAAAAAABwAAAD8CAD8AAIAAAAAAADwvwIwLughRN4WQAIVXiZxVQjuPwAAAAABJAAEBAAEBAAAAAQICAAEBAAAAAgMBAAEBAAAAAwQCAAEBAAAABAABAAEBAAAABAUBAAAAAAAABQYCAAEBAAAABgcBAAEBAAAABwgCAAEBAAAACAkBAAEBAAAACQoCAAEBAAAACgUBAAEBAAAAAgsBAAAAAAAACwwBAAEAAAAADA0BAAEAAAAADQ4BAAEAAAAADg8BAAEAAAAADwBEAQABAAAAAABECwEAAQAAAAAAAERBAAAAAAAAAERARIIAAQEAAAAARIBEwQABAQAAAABEwEUCAAEBAAAAAEUARUEAAQEAAAAARUBFgQAAAAAAAABFgEXBAAAAAAAAAEXARgEFAAAAAAAARcBGQQAAAAAAAABGQEaCAAEBAAAAAEaARsEAAQEAAAAARsBHAgABAQAAAABHAEdBAAEBAAAAAEdAR4IAAQEAAAAAR4BGQQABAQAAAABFQEfCAAEBAAAAAEfAREEAAQEAAAAAAAAAA==</t>
        </r>
      </text>
    </comment>
    <comment ref="D370" authorId="0">
      <text>
        <r>
          <rPr>
            <sz val="9"/>
            <color indexed="81"/>
            <rFont val="Tahoma"/>
            <family val="2"/>
          </rPr>
          <t>Insight iXlW00004C0000370R0841462918S00000369P02068LAocjBAQBF1NjaVRlZ2ljLmRhdGEuTW9sZWN1bGUBbQF/ARJTY2lUZWdpYy5Nb2xlY3VsZQAAAQFkAv5qAQAAAAIBAgEdGAAAAPwIAPwAAgAAAAAAAPC/Ah2bgOsyygRAAlq2OuyCAfi/AAAAABgAAAD8CAD8AAIAAAAAAADwvwLuWomd3sj0PwJ7x6ti/P/nvwAAAAAYAAAA/AgA/AACAAAAAAAA8L8CKorQWtjI9D8C02GiEhIA6D8AAAAAGAAAAPwIAPwAAgAAAAAAAPC/AoFJlqboseC+AjnqbzQBAPg/AAAAABgAAAD8BAD8AAIAAAAAAADwvwLakTSACA3uvgIQ+tAzmpkFQAAAAAAYAAAA/AgA/AACAAAAAAAA8L8CBLTFs+DI9L8CEssCKPX/5z8AAAAAGAAAAPwIAPwAAgAAAAAAAPC/AgPGDnHayPS/AtaS+9cKAOi/AAAAABwAAAD8BAD8AAIAAAAAAADwvwJhQDqJKscEwALbDduhsQz4vwAAAAAYAAAA/AgA/AACAAAAAAAA8L8CzlvmMcfCBMACVK0iQggICMAAAAAAGAAAAPwIAPwAAgAAAAAAAPC/Am6518HWIQ/AAgZedDVtEQ7AAAAAABwAAAD8CAD8AAIAAAAAAADwvwJzYbKbALL0vwKHu8OrAf8NwAAAAAAYAAAA/AgA/AACAAAAAAAA8L8Cutqxq72c9L8CN5Ele37/FMAAAAAAGAAAAPwIAPwAAgAAAAAAAPC/AmpIb8N3rQTAAqDv8wgYBBjAAAAAABgAAAD8CAD8AAIAAAAAAADwvwLcTZszMxcPwAKMJxE/tAgVwAAAAAAYAAAA/AQA/AACAAAAAAAA8L8CAApIWnm9FMACtfrqlwALGMAAAAAAJAAAAPwEAPwAAgAAAAAAAPC/AnnyCXrl5hjAAl16zOjFphXAAAAAACQAAAD8BAD8AAIAAAAAAADwvwIZ+ozNW7sUwAJ2KWLtzNccwAAAAAAcAAAA/AgA/AACAAAAAAAA8L8CIIqKpuix0D4C8gBxNAEA+L8AAAAAGAAAAPwIAPwAAgAAAAAAAPC/AjDUAhjpmw9AAmLtE4YlNey/AAAAABwAAAD8CAD8AAIAAAAAAADwvwJTHWyt7c8TQAKQm1AF+Pb/vwAAAAAcAAAA/AgA/AACAAAAAAAA8L8CBYo5Q9LNEEACSCwLGXpdCsAAAAAAHAAAAPwIAPwAAgAAAAAAAPC/AnFwmtzJ3wVAAgwp2KYD2gfAAAAAABgAAAD8BAD8AAIAAAAAAADwvwJWC40HUMYZQAJgFl7Q24v9vwAAAAAYCAAA/AQA/AACAAAAAAAA8L8Cd8tu/uBJHUACdFsvsQ2CCMAAAAAAGAAAAPwEAPwAAgAAAAAAAPC/Aor0ilgmoSFAAtVnikuXUAfAAAAAACAAAAD8BAD8AAIAAAAAAADwvwJhm+zCEtIaQAIkpj+iJLkRwAAAAAAYAAAA/AQA/AACAAAAAAAA8L8C1xL2PZxSHkACmGo8z1iYFsAAAAAAGAAAAPwEAPwAAgAAAAAAAPC/AqwysZx+JSJAAupmHr2G/xXAAAAAABwAAAD8BAD8AAIAAAAAAADwvwLS/5ypamEjQAIMl6tugIcQwAAAAAABIAAEBAAAAAAAAAQICAAEBAAAAAgMBAAEBAAAAAwQBAAAAAAAAAwUCAAEBAAAABQYBAAEBAAAABgcBAAAAAAAABwgBAAAAAAAACAkCAAEBAAAACAoBAAEBAAAACgsCAAEBAAAACwwBAAEBAAAADA0CAAEBAAAADQkBAAEBAAAADQ4BAAAAAAAADg8BAAAAAAAADgBEAQAAAAAAAAYAREIAAQEAAAAAREEBAAEBAAAAAABEggABAQAAAABEgETBAAEBAAAAAETARQEAAQEAAAAARQBFQgABAQAAAABFQAEAAQEAAAAARMBFgQAAAAAAAABFwEWBBAAAAAAAAEXARgEAAQAAAAAARcBGQQABAAAAAABGQEaBAAEAAAAAAEaARsEAAQAAAAAARsBHAQABAAAAAABHAEYBAAEAAAAAAAAAAA=</t>
        </r>
      </text>
    </comment>
    <comment ref="D371" authorId="0">
      <text>
        <r>
          <rPr>
            <sz val="9"/>
            <color indexed="81"/>
            <rFont val="Tahoma"/>
            <family val="2"/>
          </rPr>
          <t>Insight iXlW00004C0000371R0841462918S00000370P02492LAocjBAQBF1NjaVRlZ2ljLmRhdGEuTW9sZWN1bGUBbQF/ARJTY2lUZWdpYy5Nb2xlY3VsZQAAAQFkAv5qAQAAAAIAAgEjGAAAAPwIAPwAAgAAAAAAAPC/Au5aiZ3eyPQ/AnvHq2L8/+e/AAAAABgAAAD8CAD8AAIAAAAAAADwvwIqitBa2Mj0PwLTYaISEgDoPwAAAAAYAAAA/AgA/AACAAAAAAAA8L8CgUmWpuix4L4COepvNAEA+D8AAAAAGAAAAPwIAPwAAgAAAAAAAPC/AgAALbOJyvK+Ang6fzcEAAhAAAAAABgAAAD8CAD8AAIAAAAAAADwvwKM8W6U9cj0vwJQent+/v8NQAAAAAAYAAAA/AQA/AACAAAAAAAA8L8CDDXbVF289L8CUJqwYtkAFUAAAAAAHAAAAPwIAPwAAgAAAAAAAPC/AgD4Z+BxxHM/AkL4/L5i/xdAAAAAABgAAAD8CAD8AAIAAAAAAADwvwJVBYqQleD0PwKmHO96Y/8UQAAAAAAYAAAA/AQA/AACAAAAAAAA8L8CQsTy1KjWBEACw9VkLGb/F0AAAAAAGAAAAPwEAPwAAgAAAAAAAPC/AtZzk5TiPQ9AAlIeSzrCARVAAAAAABgAAAD8BAD8AAIAAAAAAADwvwLafQ9q1M8UQAJGhP3QDQQYQAAAAAAYAAAA/AQA/AACAAAAAAAA8L8CEMRT7y3NFEACMkskOw0EHkAAAAAAGAAAAPwEAPwAAgAAAAAAAPC/AglOHKlIMw9AAjigaNTggCBAAAAAABgAAAD8BAD8AAIAAAAAAADwvwKkEqZdgdEEQAK+wTj5dv8dQAAAAAAgAAAA/AgA/AACAAAAAAAA8L8Cki7vgp7g9D8CQtUirpYyEEAAAAAAGAAAAPwEAPwAAgAAAAAAAPC/AoDucPiUL4A/AvylhAo6AB5AAAAAABgAAAD8BAD8AAIAAAAAAADwvwIuvHJZJKP0vwJwl80MHIIgQAAAAAAcAAAA/AQA/AACAAAAAAAA8L8CEJhyN5uU9L8CT8ayJbyCI0AAAAAAGAAAAPwEAPwAAgAAAAAAAPC/Aj7r2oIaqwTAAlb+dg1PBCVAAAAAABgAAAD8BAD8AAIAAAAAAADwvwKQluO21KMEwAIXyWuATgQoQAAAAAAcAAAA/AQA/AACAAAAAAAA8L8C+v4U9ot39L8CYORBSbuCKUAAAAAAGAAAAPwEAPwAAgAAAAAAAPC/AtptfCkAgpI/AqvhiMUoAShAAAAAABgAAAD8BAD8AAIAAAAAAADwvwIMLzyYSsCNPwLOMENSKQElQAAAAAAYAAAA/AQA/AACAAAAAAAA8L8CwFd/WxRoBMAC+J086WkOIkAAAAAAGAAAAPwEAPwAAgAAAAAAAPC/Amj9L3xf0A7AAp4uFW0XkCBAAAAAACAAAAD8BAD8AAIAAAAAAADwvwJGLEWVHtgOwAIXRzUaMCAbQAAAAAAYAAAA/AQA/AACAAAAAAAA8L8CHtJwjpJ3BMACdoxWuNUcGEAAAAAAGAAAAPwEAPwAAgAAAAAAAPC/Agg/mceMHvS/Attm+sh5GRtAAAAAABgAAAD8CAD8AAIAAAAAAADwvwJ6Zo7s5cgEwAJdA7Jf+f8HQAAAAAAgAAAA/AgA/AACAAAAAAAA8L8C4kTeOEAZDcACT82MUcLMDEAAAAAAHAAAAPwIAPwAAgAAAAAAAPC/AozhELXgyATAAk5LZr/y//c/AAAAABgAAAD8BAD8AAIAAAAAAADwvwK3E9zUNhkNwAK2IHbMpMzsPwAAAAAYAAAA/AgA/AACAAAAAAAA8L8CBLTFs+DI9L8CEssCKPX/5z8AAAAAGAAAAPwIAPwAAgAAAAAAAPC/AgPGDnHayPS/AtaS+9cKAOi/AAAAABgAAAD8CAD8AAIAAAAAAADwvwIgioqm6LHQPgLyAHE0AQD4vwAAAAABJwAECAAEBAAAAAQIBAAEBAAAAAgMBAAEAAAAAAwQCAQEAAAAABAUBAAAAAAAABQYBAAAAAAAABgcBAAAAAAAABwgBAAAAAAAACAkBAAEAAAAACQoBAAEAAAAACgsBAAEAAAAACwwBAAEAAAAADA0BAAEAAAAADQgBAAEAAAAABw4CAAAAAAAABg8BAAAAAAAADwBEAQAAAAAAAABEAERBAAAAAAAAAERARIEAAQAAAAAARIBEwQABAAAAAABEwEUBAAEAAAAAAEUARUEAAQAAAAAARUBFgQABAAAAAABFgERBAAEAAAAAAEQARcEAAQAAAAAARcBGAQABAAAAAABGAEZBAAEAAAAAAEZARoEAAQAAAAAARoBGwQABAAAAAABGwEQBAAEAAAAABABHAQABAAAAAABHAEdCAAAAAAAAAEcAR4EAAQAAAAAAR4BHwQAAAAAAAAIASAIAAQEAAAAASABHgQABAAAAAABIAEhBAAEBAAAAAEhASIIAAQEAAAAASIABAAEBAAAAAAAAAA=</t>
        </r>
      </text>
    </comment>
    <comment ref="D372" authorId="0">
      <text>
        <r>
          <rPr>
            <sz val="9"/>
            <color indexed="81"/>
            <rFont val="Tahoma"/>
            <family val="2"/>
          </rPr>
          <t>Insight iXlW00004C0000372R0841462918S00000371P02124LAocjBAQBF1NjaVRlZ2ljLmRhdGEuTW9sZWN1bGUBbQF/ARJTY2lUZWdpYy5Nb2xlY3VsZQAAAQFkAv5qAQAAAAIBAgEeHAAAAPwEAPwAAgAAAAAAAPC/ApnRQx3pBhFAAsdGgybpueI/AAAAABgAAAD8CAD8AAIAAAAAAADwvwJXxpI45psPQAIXXpAOJTXsvwAAAAABEAAAAPwEAPwAAgAAAAAAAPC/AuB8L7ntzxNAAgikRS/69v+/AAAAABgAAAD8CAD8AAIAAAAAAADwvwIdm4DrMsoEQAJatjrsggH4vwAAAAAYAAAA/AgA/AACAAAAAAAA8L8C7lqJnd7I9D8Ce8erYvz/578AAAAAGAAAAPwIAPwAAgAAAAAAAPC/AiqK0FrYyPQ/AtNhohISAOg/AAAAABgAAAD8CAD8AAIAAAAAAADwvwKBSZam6LHgvgI56m80AQD4PwAAAAAYAAAA/AgA/AACAAAAAAAA8L8CBLTFs+DI9L8CEssCKPX/5z8AAAAAHAAAAPwEAPwAAgAAAAAAAPC/AqbiPnw0ygTAAlbWAIB9Afg/AAAAABgAAAD8BAD8AAIAAAAAAADwvwLyASEQTM8EwAJG1JU53wAIQAAAAAAYAAAA/AQA/AACAAAAAAAA8L8CBNqgxis2D8ACWY5enqH8DUAAAAAAHAAAAPwEAPwAAgAAAAAAAPC/Ategi24TzBTAAhDvwZxl+AdAAAAAABgAAAD8BAD8AAIAAAAAAADwvwLQqvajockUwAIvN243zfD3PwAAAAAYAAAA/AQA/AACAAAAAAAA8L8CzlfPm2QsD8ACf+len4ny5z8AAAAAGAAAAPwIAPwAAgAAAAAAAPC/AgPGDnHayPS/AtaS+9cKAOi/AAAAABgAAAD8CAD8AAIAAAAAAADwvwIgioqm6LHQPgLyAHE0AQD4vwAAAAAYAAAA/AgA/AACAAAAAAAA8L8CzbPGgcnfBUACfrLhuQPaB8AAAAAAGAAAAPwEAPwAAgAAAAAAAPC/Ao9KG9g7Yv0/AmFZq5+vOA7AAAAAABwAAAD8CAD8AAIAAAAAAADwvwLqXIwD0s0QQAI0xJfWel0KwAAAAAAYCAAA/AQA/AACAAAAAAAA8L8C2awJ0Uu6FkACEJAejPXj8D8AAAAAGAAAAPwEAPwAAgAAAAAAAPC/AozDYi7GMhtAAiDRxDH6oqs/AAAAABgAAAD8BAD8AAIAAAAAAADwvwLvzEWhq/cZQAIkTO7qrqP2vwAAAAAYAAAA/AQA/AACAAAAAAAA8L8CtZRM8b2KHUACjL6E3xO6AcAAAAAAGAAAAPwEAPwAAgAAAAAAAPC/Amf5hF+fKhZAAlrNZ2ejn/u/AAAAABgAAAD8CAD8AAIAAAAAAADwvwK5hrQUvPMXQAKY89Y/EDMEQAAAAAAgAAAA/AgA/AACAAAAAAAA8L8C0rhrIfpeFEACKx7rcIeXCkAAAAAAHAAAAPwIAPwAAgAAAAAAAPC/Avhhesgepx1AAu9pRbyQ9gdAAAAAABgAAAD8BAD8AAIAAAAAAADwvwLYOyUMj+AeQALAigYb09sRQAAAAAAYAAAA/AwA/AACAAAAAAAA8L8CjIv13/hJIkAC68U9WZO9E0AAAAAAHAAAAPwMAPwAAgAAAAAAAPC/AtyoMd1nkSRAArYUxr7DPhVAAAAAAAEgAAQEAAAAAAAABAgEAAQEAAAABAwIAAQEAAAADBAEAAAAAAAAEBQIAAQEAAAAFBgEAAQEAAAAGBwIAAQEAAAAHCAEAAAAAAAAICQEAAQAAAAAJCgEAAQAAAAAKCwEAAQAAAAALDAEAAQAAAAAMDQEAAQAAAAANCAEAAQAAAAAHDgEAAQEAAAAODwIAAQEAAAAPBAEAAQEAAAADAEQBAAEBAAAAAEQAREEAAAAAAAAARABEggABAQAAAABEggEAAQEAAAAARMABBQAAAAAAAETARQEAAAAAAAAARQBFQQAAAAAAAABFQEWBAAAAAAAAAEVARcEAAAAAAAAARMBGAQAAAAAAAABGAEZCAAAAAAAAAEYARoEAAAAAAAAARoBGwQAAAAAAAABGwEcBAAAAAAAAAEcAR0MAAAAAAAAAAAAAA==</t>
        </r>
      </text>
    </comment>
    <comment ref="D373" authorId="0">
      <text>
        <r>
          <rPr>
            <sz val="9"/>
            <color indexed="81"/>
            <rFont val="Tahoma"/>
            <family val="2"/>
          </rPr>
          <t>Insight iXlW00004C0000373R0841462918S00000372P02112LAocjBAQBF1NjaVRlZ2ljLmRhdGEuTW9sZWN1bGUBbQF/ARJTY2lUZWdpYy5Nb2xlY3VsZQAAAQFkAv5qAQAAAAIAAgEeGAAAAPwIAPwAAgAAAAAAAPC/AvZ2HV2lJiJAAh61tmYAjCzAAAAAABgAAAD8CAD8AAIAAAAAAADwvwLOw9DYbZIkQALqS0SFY0YuwAAAAAAYAAAA/AQA/AACAAAAAAAA8L8C8sZt2EnaJkACTJZgyBaHLcAAAAAAIAAAAPwIAPwAAgAAAAAAAPC/AogMDwuRoiNAAsBGZEP8jzDAAAAAABwAAAD8CAD8AAIAAAAAAADwvwKdVfA6kqIgQAKYESmqpo4wwAAAAAAYAAAA/AgA/AACAAAAAAAA8L8Cmr1s45FvH0AC7bRBFRJCLsAAAAAAGAAAAPwEAPwAAgAAAAAAAPC/AooDLoKK4hpAAr2Kkbe2fi3AAAAAABgAAAD8BAD8AAIAAAAAAADwvwKsZ8okvSciQAIP3waKlIspwAAAAAAYAAAA/AQA/AACAAAAAAAA8L8CHhORVx0eH0AC9B9+XgAKKMAAAAAAGAAAAPwEAPwAAgAAAAAAAPC/Aov06uZMIB9AAuZJzoGUCSXAAAAAABgAAAD8BAD8AAIAAAAAAADwvwLPu2qRgSkiQALz1OO2J4kjwAAAAAAYAAAA/AgA/AACAAAAAAAA8L8CEXp1mr8pIkACdQ/GqbuIIMAAAAAAIAAAAPwIAPwAAgAAAAAAAPC/AqfZJYm8PSRAAoU+GA+6qh7AAAAAACAAAAD8BAD8AAIAAAAAAADwvwJK+zZyqRUgQAKgaIhoEasewAAAAAAcAAAA/AgA/AACAAAAAAAA8L8CUDjn9O/uGUACyopFVgCII8AAAAAAGAAAAPwIAPwAAgAAAAAAAPC/ArwZQYQf8RlAAry0lXmUhyDAAAAAACAAAAD8CAD8AAIAAAAAAADwvwJA/ou4XBoeQALyd4aknKoewAAAAAAYAAAA/AQA/AACAAAAAAAA8L8Cgl09ksK/FEACQesZnAAMHsAAAAAAHAAAAPwIAPwAAgAAAAAAAPC/Au0+lyHywRRAAiQ/uuIoCxjAAAAAABgAAAD8CAD8AAIAAAAAAADwvwJoBSdfKiEPQALuwKiLAAgVwAAAAAAgAAAA/AgA/AACAAAAAAAA8L8CYDyR9q/OBkACdLJN2oxsF8AAAAAAGAAAAPwEAPwAAgAAAAAAAPC/Aj7I2n2JJQ9AAqQpkqRRDg7AAAAAABgAAAD8BAD8AAIAAAAAAADwvwLMT9OZz8IEQAI5LW/2AAgIwAAAAAAYAAAA/AQA/AACAAAAAAAA8L8CpBKHuC7HBEACAKpfB6MM+L8AAAAAGAAAAPwEAPwAAgAAAAAAAPC/Au5aiZ3eyPQ/AnvHq2L8/+e/AAAAABgAAAD8BAD8AAIAAAAAAADwvwIqitBa2Mj0PwLTYaISEgDoPwAAAAAYAAAA/AQA/AACAAAAAAAA8L8CgUmWpuix4L4COepvNAEA+D8AAAAAHAAAAPwEAPwAAgAAAAAAAPC/AgS0xbPgyPS/AhLLAij1/+c/AAAAABgAAAD8BAD8AAIAAAAAAADwvwIDxg5x2sj0vwLWkvvXCgDovwAAAAAYAAAA/AQA/AACAAAAAAAA8L8CIIqKpuix0D4C8gBxNAEA+L8AAAAAAR8ABAgABAQAAAAECAQAAAAAAAAEDAQABAQAAAAMEAQABAQAAAAQFAgABAQAAAAUAAQABAQAAAAUGAQAAAAAAAAAHAQAAAAAAAAcIAQAAAAAAAAgJAQAAAAAAAAkKAQAAAAAAAAoLAQAAAAAAAAsMAgAAAAAAAAsNAQAAAAAAAAkOAQAAAAAAAA4PAQAAAAAAAA8ARAIAAAAAAAAPAERBAAAAAAAAAERARIEAAAAAAAAARIBEwQAAAAAAAABEwEUCAAAAAAAAAETARUEAAAAAAAAARUBFgQAAAAAAAABFgEXBAAAAAAAAAEXARgEAAAAAAAAARgBGQQABAAAAAABGQEaBAAEAAAAAAEaARsEAAQAAAAAARsBHAQABAAAAAABHAEdBAAEAAAAAAEdARgEAAQAAAAAAAAAAA==</t>
        </r>
      </text>
    </comment>
    <comment ref="D374" authorId="0">
      <text>
        <r>
          <rPr>
            <sz val="9"/>
            <color indexed="81"/>
            <rFont val="Tahoma"/>
            <family val="2"/>
          </rPr>
          <t>Insight iXlW00004C0000374R0841462918S00000373P02916LAocjBAQBF1NjaVRlZ2ljLmRhdGEuTW9sZWN1bGUBbQF/ARJTY2lUZWdpYy5Nb2xlY3VsZQAAAQFkAv5qAQAAAAIBAgEpHAAAAPwIAPwAAgAAAAAAAPC/ApgGJ18qIQ9AApzAqIsACBXAAAAAABgAAAD8CAD8AAIAAAAAAADwvwJFDsAhELoEQAJ8CvENYAcYwAAAAAAYAAAA/AQA/AACAAAAAAAA8L8C0UsMA7G1BEACmrZQxzcIHsAAAAAAGAAAAPwEAPwAAgAAAAAAAPC/AnEA5O4u0g5AAp33VhCB9BrAAAAAABwAAAD8BAD8AAIAAAAAAADwvwLHNJ5zVZoUQALDHKnRL/YdwAAAAAAYAAAA/AQA/AACAAAAAAAA8L8CrOF2OWSYFEAClBmXwBf7IcAAAAAAGAAAAPwEAPwAAgAAAAAAAPC/Agbb4gVqyg5AAtPfzIRAeiPAAAAAABgAAAD8BAD8AAIAAAAAAADwvwLKStYB7WcEQAJvp7iXafkhwAAAAAAYAAAA/AQA/AACAAAAAAAA8L8CAIaogv3H+D8CJKEF/7g2IMAAAAAAIAAAAPwIAPwAAgAAAAAAAPC/AvZfYRIo1vg/Aksiq67MnxXAAAAAABgAAAD8BAD8AAIAAAAAAADwvwJSuurjRMQUQAJiowG4KQcYwAAAAAAYAAAA/AgA/AACAAAAAAAA8L8CpHOcWvj2GUACDLyKA1EGFcAAAAAAGAAAAPwIAPwAAgAAAAAAAPC/AuEkFUYQKx9AAjLAJc0eAxjAAAAAABgAAAD8CAD8AAIAAAAAAADwvwISVxi8uy0iQAJUHQKS/f8UwAAAAAAkAAAA/AQA/AACAAAAAAAA8L8Cvvq6gIpCJEACQgT5O+JjF8AAAAAAGAAAAPwIAPwAAgAAAAAAAPC/Avs2ygDtKyJAAp98n1H9/w3AAAAAABgAAAD8CAD8AAIAAAAAAADwvwLUuH9Y1SMfQAKt9RDBQAYIwAAAAAAkAAAA/AQA/AACAAAAAAAA8L8CtD11ZPEgH0ACFuUYylHZ/L8AAAAAGAAAAPwIAPwAAgAAAAAAAPC/AnauSaBt8xlAAmuHT2mBDA7AAAAAABgAAAD8BAD8AAIAAAAAAADwvwIMydp9iSUPQAIBKZKkUQ4OwAAAAAAYAAAA/AgA/AACAAAAAAAA8L8CZ1DTmc/CBEAC6yxv9gAICMAAAAAAIAAAAPwIAPwAAgAAAAAAAPC/Ag0Pe2Kq4Pg/AjsQuZMZ0QzAAAAAABwAAAD8CAD8AAIAAAAAAADwvwLaEoe4LscEQAJgqV8Howz4vwAAAAAYAAAA/AgA/AACAAAAAAAA8L8C7lqJnd7I9D8Ce8erYvz/578AAAAAGAAAAPwIAPwAAgAAAAAAAPC/AiqK0FrYyPQ/AtNhohISAOg/AAAAABgAAAD8CAD8AAIAAAAAAADwvwKBSZam6LHgvgI56m80AQD4PwAAAAAYAAAA/AQA/AACAAAAAAAA8L8C5LI7mwHv078CxEgrgmC7B0AAAAAAGAgAAPwEAPwAAgAAAAAAAPC/Aq5bSGkZ2vy/AtBw5712/AhAAAAAABgAAAD8CAD8AAIAAAAAAADwvwK2rYZ/s+4HwAJfqPbBEGkQQAAAAAAgAAAA/AgA/AACAAAAAAAA8L8C7ThIk3CXEMACMMCH3ThBDkAAAAAAHAAAAPwIAPwAAgAAAAAAAPC/As1f4/VB7QPAAoS49fr2EBZAAAAAABgAAAD8CAD8AAIAAAAAAADwvwIzp0lmPbnvvwKr2ty3w+gVQAAAAAAcAAAA/AgA/AACAAAAAAAA8L8C0OiEFqNxpD8ClYSEkEFCGkAAAAAAGAAAAPwIAPwAAgAAAAAAAPC/AgCDI93P+fc/AgzL+XK02xhAAAAAABgAAAD8CAD8AAIAAAAAAADwvwLQDy/C48r+PwL8wYvY9hoTQAAAAAAYAAAA/AgA/AACAAAAAAAA8L8Cl9sDJGuL7D8C9ZiTj4uBDUAAAAAAGAAAAPwIAPwAAgAAAAAAAPC/Aj7mU1gwF+K/Apn6ASAFKBBAAAAAABgAAAD8BAD8AAIAAAAAAADwvwLy7rllhk4DwALxwzxAFgz8PwAAAAAYAAAA/AgA/AACAAAAAAAA8L8CBLTFs+DI9L8CEssCKPX/5z8AAAAAGAAAAPwIAPwAAgAAAAAAAPC/AgPGDnHayPS/AtaS+9cKAOi/AAAAABgAAAD8CAD8AAIAAAAAAADwvwIgioqm6LHQPgLyAHE0AQD4vwAAAAABLgAEBAAAAAAAAAQIBAAAAAAAAAgMBAAEAAAAAAwQBAAEAAAAABAUBAAEAAAAABQYBAAEAAAAABgcBAAEAAAAABwIBAAEAAAAAAggBAAAAAAAAAQkCAAAAAAAAAAoBAAAAAAAACgsBAAAAAAAACwwCAAEBAAAADA0BAAEBAAAADQ4BAAAAAAAADQ8CAAEBAAAADwBEAQABAQAAAABEAERBAAAAAAAAAEQARIIAAQEAAAAARIsBAAEBAAAAAABEwQAAAAAAAABEwEUBAAAAAAAAAEUARUIAAAAAAAAARQBFgQAAAAAAAABFgEXBAAAAAAAAAEXARgIAAQEAAAAARgBGQQABAQAAAABGQEaBAAEAAAAAAEbARoEEAQAAAAAARsBHAQABAAAAAABHAEdCAAAAAAAAAEcAR4EAAQAAAAAAR4BHwQABAAAAAABHwEgCAAEBAAAAAEgASEEAAQEAAAAASEBIggABAQAAAABIgEjBAAEBAAAAAEfASQEAAQEAAAAASQBGwQABAAAAAABJAEjCAAEBAAAAAEbASUEAAQAAAAAARkBJggABAQAAAABJgElBAAEAAAAAAEmAScEAAQEAAAAAScBKAgABAQAAAABKAEXBAAEBAAAAAAAAAA=</t>
        </r>
      </text>
    </comment>
    <comment ref="D375" authorId="0">
      <text>
        <r>
          <rPr>
            <sz val="9"/>
            <color indexed="81"/>
            <rFont val="Tahoma"/>
            <family val="2"/>
          </rPr>
          <t>Insight iXlW00004C0000375R0841462918S00000374P02124LAocjBAQBF1NjaVRlZ2ljLmRhdGEuTW9sZWN1bGUBbQF/ARJTY2lUZWdpYy5Nb2xlY3VsZQAAAQFkAv5qAQAAAAIBAgEeHAAAAPwEAPwAAgAAAAAAAPC/Au5aiZ3eyPQ/AnvHq2L8/+e/AAAAABgAAAD8BAD8AAIAAAAAAADwvwIqitBa2Mj0PwLTYaISEgDoPwAAAAAYAAAA/AgA/AACAAAAAAAA8L8CgUmWpuix4L4COepvNAEA+D8AAAAAIAAAAPwIAPwAAgAAAAAAAPC/AtqRNIAIDe6+AhD60DOamQVAAAAAABwAAAD8CAD8AAIAAAAAAADwvwIEtMWz4Mj0vwISywIo9f/nPwAAAAAYAAAA/AQA/AACAAAAAAAA8L8CA8YOcdrI9L8C1pL71woA6L8AAAAAGAAAAPwEAPwAAgAAAAAAAPC/AiCKiqbosdA+AvIAcTQBAPi/AAAAABgAAAD8BAD8AAIAAAAAAADwvwLcDFsvg80EwAJSBHCttfb3PwAAAAAYAAAA/AgA/AACAAAAAAAA8L8C4/VU5TQxD8ACHIuWsdba5z8AAAAAIAAAAPwIAPwAAgAAAAAAAPC/Aiq+gHegAhXAAvh4yXHTyfU/AAAAABgAAAD8CAD8AAIAAAAAAADwvwK2l4yBbgIZwALiH376SC3PPwAAAAAYDAAA/AQA/AACAAAAAAAA8L8CppHxiM34HsAC1Gu7ApVH2T8AAAAAGAAAAPwEAPwAAgAAAAAAAPC/ArQufolCKhzAAvAMPooq5fU/AAAAABwAAAD8CAD8AAIAAAAAAADwvwKxSPFDAj8hwAIGWn7TK0PqvwAAAAAYAAAA/AgA/AACAAAAAAAA8L8CanDNfrYFIMACgpMOiWiHAcAAAAAAIAAAAPwIAPwAAgAAAAAAAPC/AgGHbSkuRRvAArhaO4johALAAAAAACAAAAD8BAD8AAIAAAAAAADwvwJJ8EX+UcghwAJ6l0UeJkELwAAAAAAYAAAA/AQA/AACAAAAAAAA8L8CAhgiOQaPIMACPko62eEbE8AAAAAAGAAAAPwEAPwAAgAAAAAAAPC/AgDMau1P9yHAAq+6TDs7/xbAAAAAABgAAAD8BAD8AAIAAAAAAADwvwKiSCFJhCgfwAJZRRxdrH0XwAAAAAAYAAAA/AQA/AACAAAAAAAA8L8CMNYWns1XHMAC2a3Q2KGaE8AAAAAAGAAAAPwEAPwAAgAAAAAAAPC/At4tvavFtyDAAubz0J/7N/w/AAAAABgAAAD8CAD8AAIAAAAAAADwvwJgZwZGQbQjwAKpmwzupaX+PwAAAAAYAAAA/AgA/AACAAAAAAAA8L8Co6n8inrwJMAC7yx7/mdCCkAAAAAAGAAAAPwIAPwAAgAAAAAAAPC/Ak5HZRqy7CfAAkqcBdLwcgtAAAAAABgAAAD8CAD8AAIAAAAAAADwvwLgZ9kJvawpwAIoYKxS4rMBQAAAAAAYAAAA/AgA/AACAAAAAAAA8L8CfjPhlpBwKMAC/KoTFSgR6z8AAAAAGAAAAPwIAPwAAgAAAAAAAPC/AnAWthRZdCXAAqrEfHj8TuY/AAAAABwAAAD8CAD8AAIAAAAAAADwvwJm/lmhzv0VwAJil1QEetjwvwAAAAAcAAAA/AgA/AACAAAAAAAA8L8CLnT7Fn4gEMACUBPUrVWM578AAAAAASAABAQABAAAAAAECAQABAAAAAAIDAgAAAAAAAAIEAQABAAAAAAQFAQABAAAAAAUGAQABAAAAAAYAAQABAAAAAAQHAQAAAAAAAAcIAQAAAAAAAAgJAQABAQAAAAkKAQABAQAAAAoLAQAAAAAAAAsMAQQAAAAAAAsNAQAAAAAAAA0OAQAAAAAAAA4PAgAAAAAAAA4ARAEAAAAAAAAARABEQQAAAAAAAABEQESBAAAAAAAAAERARMEAAAAAAAAAREBFAQAAAAAAAAsARUEAAAAAAAAARUBFgQAAAAAAAABFgEXCAAEBAAAAAEXARgEAAQEAAAAARgBGQgABAQAAAABGQEaBAAEBAAAAAEaARsIAAQEAAAAARsBFgQABAQAAAAoARwIAAQEAAAAARwBHQQABAQAAAABHSAIAAQEAAAAAAAAAA==</t>
        </r>
      </text>
    </comment>
    <comment ref="D376" authorId="0">
      <text>
        <r>
          <rPr>
            <sz val="9"/>
            <color indexed="81"/>
            <rFont val="Tahoma"/>
            <family val="2"/>
          </rPr>
          <t>Insight iXlW00004C0000376R0841462918S00000375P02260LAocjBAQBF1NjaVRlZ2ljLmRhdGEuTW9sZWN1bGUBbQF/ARJTY2lUZWdpYy5Nb2xlY3VsZQAAAQFkAv5qAQAAAAIBAgEgHAAAAPwIAPwAAgAAAAAAAPC/AmJjnNYzMQ9AAhh+zO7r2ue/AAAAABgAAAD8CAD8AAIAAAAAAADwvwKOdo0agc0EQAIjICbDvPb3vwAAAAAgAAAA/AgA/AACAAAAAAAA8L8CcDsiucnRBEACXIqCBveUBcAAAAAAHAAAAPwIAPwAAgAAAAAAAPC/Au5aiZ3eyPQ/AnvHq2L8/+e/AAAAABgAAAD8BAD8AAIAAAAAAADwvwIqitBa2Mj0PwLTYaISEgDoPwAAAAAYAAAA/AQA/AACAAAAAAAA8L8CgUmWpuix4L4COepvNAEA+D8AAAAAHAAAAPwEAPwAAgAAAAAAAPC/AgS0xbPgyPS/AhLLAij1/+c/AAAAABgAAAD8BAD8AAIAAAAAAADwvwIDxg5x2sj0vwLWkvvXCgDovwAAAAAYDAAA/AQA/AACAAAAAAAA8L8CIIqKpuix0D4C8gBxNAEA+L8AAAAAGAAAAPwIAPwAAgAAAAAAAPC/AnOClj1AWmk/Ajjzudy0AQjAAAAAACAAAAD8CAD8AAIAAAAAAADwvwLfyP04uI/wvwL6BqlVN9IMwAAAAAAcAAAA/AgA/AACAAAAAAAA8L8CHvqbO9fc9D8Cb1I5WMD+DcAAAAAAGAAAAPwEAPwAAgAAAAAAAPC/As1vtaeC6fQ/AizFcXU3ABXAAAAAABgAAAD8CAD8AAIAAAAAAADwvwJUT5lh1twEQALJdDEzvf4XwAAAAAAgAAAA/AgA/AACAAAAAAAA8L8CZJknDgkrDUAC6Oq59nuWFcAAAAAAIAAAAPwEAPwAAgAAAAAAAPC/Ai0Kphcs4wRAAr2QhnyU/x3AAAAAABgAAAD8BAD8AAIAAAAAAADwvwKboWQlQUsPQAIsICMdDX8gwAAAAAAYAAAA/AQA/AACAAAAAAAA8L8C3DdjzVFQD0ACX1kFLnPlIsAAAAAAGAAAAPwEAPwAAgAAAAAAAPC/AtZ1+ei5zBNAAne2zv3YlR7AAAAAABgAAAD8BAD8AAIAAAAAAADwvwISozVX984TQAKTDxcJPbEhwAAAAAAYAAAA/AgA/AACAAAAAAAA8L8CKKNyrCDNFEACrw/9xyzk978AAAAAGAAAAPwIAPwAAgAAAAAAAPC/AoJphwhm/xlAAj2op26YyOe/AAAAABgAAAD8CAD8AAIAAAAAAADwvwK4MouxoTEfQAJIccc9LOT3vwAAAAAYAAAA/AgA/AACAAAAAAAA8L8CKB6IRasxH0ACam7UHhbyB8AAAAAAGAAAAPwIAPwAAgAAAAAAAPC/ApM2gjB5/xlAAj2c/E8n8g3AAAAAABgAAAD8CAD8AAIAAAAAAADwvwLapvABPc0UQAJ+cW4bOfIHwAAAAAAYAAAA/AgA/AACAAAAAAAA8L8CTGALYdgrD0ACzTEzFTMr6D8AAAAAGAAAAPwIAPwAAgAAAAAAAPC/AiJhBkLDxRRAAtYES4ClJvg/AAAAABgAAAD8CAD8AAIAAAAAAADwvwK8A+/Z/MAUQALRlk7zThMIQAAAAAAYAAAA/AgA/AACAAAAAAAA8L8Cxti118gYD0ACnscsYggLDkAAAAAAGAAAAPwIAPwAAgAAAAAAAPC/AqaNI8AjuQRAAq3QRTfGAghAAAAAABgAAAD8CAD8AAIAAAAAAADwvwJ79xV6rsIEQAIIgOcElAX4PwAAAAABIgAEBAAAAAAAAAQICAAAAAAAAAQMBAAAAAAAAAwQBAAEAAAAABAUBAAEAAAAABQYBAAEAAAAABgcBAAEAAAAABwgBAAEAAAAACAMBAAEAAAAACAkBBQAAAAAACQoCAAAAAAAACQsBAAAAAAAACwwBAAAAAAAADA0BAAAAAAAADQ4CAAAAAAAADQ8BAAAAAAAADwBEAQAAAAAAAABEAERBAAAAAAAAAEQARIEAAAAAAAAARABEwQAAAAAAAAAARQEAAAAAAAAARQBFQgABAQAAAABFQEWBAAEBAAAAAEWARcIAAQEAAAAARcBGAQABAQAAAABGAEZCAAEBAAAAAEZARQEAAQEAAAAAAEaBAAAAAAAAAEaARsIAAQEAAAAARsBHAQABAQAAAABHAEdCAAEBAAAAAEdAR4EAAQEAAAAAR4BHwgABAQAAAABHwEaBAAEBAAAAAAAAAA=</t>
        </r>
      </text>
    </comment>
    <comment ref="D377" authorId="0">
      <text>
        <r>
          <rPr>
            <sz val="9"/>
            <color indexed="81"/>
            <rFont val="Tahoma"/>
            <family val="2"/>
          </rPr>
          <t>Insight iXlW00004C0000377R0841462918S00000376P02680LAocjBAQBF1NjaVRlZ2ljLmRhdGEuTW9sZWN1bGUBbQF/ARJTY2lUZWdpYy5Nb2xlY3VsZQAAAQFkAv5qAQAAAAIBAgEmGAAAAPwIAPwAAgAAAAAAAPC/Au5aiZ3eyPQ/AnvHq2L8/+e/AAAAABgAAAD8CAD8AAIAAAAAAADwvwIqitBa2Mj0PwLTYaISEgDoPwAAAAAYAAAA/AgA/AACAAAAAAAA8L8CgUmWpuix4L4COepvNAEA+D8AAAAAGAAAAPwIAPwAAgAAAAAAAPC/AgS0xbPgyPS/AhLLAij1/+c/AAAAABgAAAD8CAD8AAIAAAAAAADwvwIDxg5x2sj0vwLWkvvXCgDovwAAAAAYAAAA/AgA/AACAAAAAAAA8L8CIIqKpuix0D4C8gBxNAEA+L8AAAAAGAAAAPwEAPwAAgAAAAAAAPC/AvrLovhUzAVAAoWYqJGlavM/AAAAABgIAAD8BAD8AAIAAAAAAADwvwIKXy1MBNoMQAISBW4e0hruPgAAAAAgAAAA/AQA/AACAAAAAAAA8L8Cg1Lj8s45E0ACng7OAJUP9D4AAAAAGAwAAPwEAPwAAgAAAAAAAPC/At5+QglazAVAAvW98NKOavO/AAAAABwAAAD8CAD8AAIAAAAAAADwvwJQpRPYDIYJQAIDMonvuxkFwAAAAAAYAAAA/AgA/AACAAAAAAAA8L8CbpOUx66iEkACmNc9ngqVB8AAAAAAIAAAAPwIAPwAAgAAAAAAAPC/AtMgXEF71xVAAnAZ/JgecADAAAAAABgMAAD8BAD8AAIAAAAAAADwvwJ24+WKV4AUQAJvVcIpQH8RwAAAAAAYAAAA/AQA/AACAAAAAAAA8L8CPKRw5v9fGkACOagcgee8EsAAAAAAGAgAAPwEAPwAAgAAAAAAAPC/AkT0wamoPRxAAt0RwFuicRjAAAAAACAAAAD8BAD8AAIAAAAAAADwvwLfZvov3AgZQALx8GBeGAQcwAAAAAAYAAAA/AQA/AACAAAAAAAA8L8ChVqmgqgOIUACp2Qas0mvGcAAAAAAHAAAAPwEAPwAAgAAAAAAAPC/AokCT+R8/SFAAkvOvY0EZB/AAAAAABgAAAD8BAD8AAIAAAAAAADwvwKuUKlxBfcfQAKYXdOxt+whwAAAAAAYAAAA/AQA/AACAAAAAAAA8L8CLvdYGrroIEACLA0fDirHJMAAAAAAHAAAAPwEAPwAAgAAAAAAAPC/ApZFsJ/r1yNAApvKcPPzZiXAAAAAABgAAAD8BAD8AAIAAAAAAADwvwLeme8O5tklQALO+oGMSywjwAAAAAAYDAAA/AQA/AACAAAAAAAA8L8CVq9yLK/sJEACcID1BtlRIMAAAAAAGAAAAPwIAPwAAgAAAAAAAPC/Atof6FXL7SZAAjLY+QarKxzAAAAAACAAAAD8CAD8AAIAAAAAAADwvwISXjFK90YpQAJWcjEVSCkdwAAAAAAcAAAA/AgA/AACAAAAAAAA8L8CdUMCVW//JUACoDAciKF2FsAAAAAAGAAAAPwEAPwAAgAAAAAAAPC/Atb0d0WKAChAAr4JBFuc/hHAAAAAABgAAAD8BAD8AAIAAAAAAADwvwKBH5sV9UEnQAKCzxKo2NwKwAAAAAAYAAAA/AQA/AACAAAAAAAA8L8CPa44LgSbKUAC9jsfVJPYDMAAAAAAGAAAAPwEAPwAAgAAAAAAAPC/Ag0zwTm2WSpAAuSjO2k5/BLAAAAAABgAAAD8BAD8AAIAAAAAAADwvwLUWEMRbHsQQAIMXVyB2fQVwAAAAAAYAAAA/AgA/AACAAAAAAAA8L8Cypl06js4BUACfkLhIIi1FMAAAAAAGAAAAPwIAPwAAgAAAAAAAPC/AqRENadSWPo/Avu5ufMDKRnAAAAAABgAAAD8CAD8AAIAAAAAAADwvwIQu+wDIgjHPwIXAwyz0OYXwAAAAAAYAAAA/AgA/AACAAAAAAAA8L8CAHqinQf60b8CKeKbeBgxEsAAAAAAGAAAAPwIAPwAAgAAAAAAAPC/AuaXyTOLMuc/AuwyLNglewvAAAAAABgAAAD8CAD8AAIAAAAAAADwvwIdq15wSogBQALSZy1Piv8NwAAAAAABKQAECAAEBAAAAAQIBAAEBAAAAAgMCAAEBAAAAAwQBAAEBAAAABAUCAAEBAAAABQABAAEBAAAAAQYBAAEAAAAABgcBAAEAAAAABwgBBAAAAAAABwkBAAEAAAAACQABAAEAAAAACQoBBAAAAAAACgsBAAAAAAAACwwCAAAAAAAACw0BAAAAAAAADQ4BBQAAAAAADg8BAAAAAAAADwBEAQUAAAAAAA8AREEAAAAAAAAAREBEgQAAAAAAAABEgETBAAEAAAAAAETARQEAAQAAAAAARQBFQQABAAAAAABFQEWBAAEAAAAAAEWARcEAAQAAAAAARcBEgQABAAAAAABFwEYBBQAAAAAAAEYARkIAAAAAAAAARgBGgQAAAAAAAABGgEbBAAAAAAAAAEbARwEAAAAAAAAARsBHQQAAAAAAAABGwEeBAAAAAAAADQBHwQAAAAAAAABHwEgBAAAAAAAAAEgASEIAAQEAAAAASEBIgQABAQAAAABIgEjCAAEBAAAAAEjASQEAAQEAAAAASQBJQgABAQAAAABJQEgBAAEBAAAAAAAAAA=</t>
        </r>
      </text>
    </comment>
    <comment ref="D378" authorId="0">
      <text>
        <r>
          <rPr>
            <sz val="9"/>
            <color indexed="81"/>
            <rFont val="Tahoma"/>
            <family val="2"/>
          </rPr>
          <t>Insight iXlW00004C0000378R0841462918S00000377P02572LAocjBAQBF1NjaVRlZ2ljLmRhdGEuTW9sZWN1bGUBbQF/ARJTY2lUZWdpYy5Nb2xlY3VsZQAAAQFkAv5qAQAAAAIAAgEkGAAAAPwIAPwAAgAAAAAAAPC/Au5aiZ3eyPQ/AnvHq2L8/+e/AAAAABgAAAD8CAD8AAIAAAAAAADwvwIqitBa2Mj0PwLTYaISEgDoPwAAAAAYAAAA/AgA/AACAAAAAAAA8L8CgUmWpuix4L4COepvNAEA+D8AAAAAGAAAAPwIAPwAAgAAAAAAAPC/AgAALbOJyvK+Ang6fzcEAAhAAAAAABwAAAD8CAD8AAIAAAAAAADwvwJyj3XKDNTxPwJEgW+hDgMQQAAAAAAcAAAA/AgA/AACAAAAAAAA8L8CiQwqcf0h4D8ChtLnd0F+FUAAAAAAGAAAAPwIAPwAAgAAAAAAAPC/AsRBY3iumu+/AuwruBav3RRAAAAAABgAAAD8CAD8AAIAAAAAAADwvwI1HhVH+t7/vwJeHQrun1MZQAAAAAAYAAAA/AgA/AACAAAAAAAA8L8CdNTOmlp7/L8Cdn4jFhwyH0AAAAAAHAAAAPwIAPwAAgAAAAAAAPC/Aj7DfRafmwvAAk8RUsOGJxhAAAAAACAAAAD8CAD8AAIAAAAAAADwvwKAs0LZkqoQwAIjRwz4eG0dQAAAAAAYAAAA/AgA/AACAAAAAAAA8L8CimpSm0USCcAC1m2fssPjIEAAAAAAGAAAAPwEAPwAAgAAAAAAAPC/Aj19Jy7d0QrAAlEz/4XjPyNAAAAAABwAAAD8CAD8AAIAAAAAAADwvwKM8W6U9cj0vwJQent+/v8NQAAAAAAYAAAA/AgA/AACAAAAAAAA8L8CBLTFs+DI9L8CEssCKPX/5z8AAAAAGAAAAPwIAPwAAgAAAAAAAPC/AozhELXgyATAAk5LZr/y//c/AAAAABwAAAD8CAD8AAIAAAAAAADwvwJ6Zo7s5cgEwAJdA7Jf+f8HQAAAAAAgAAAA/AQA/AACAAAAAAAA8L8CGnlRYe8xD8ACsc7RVFIS6D8AAAAAGAAAAPwEAPwAAgAAAAAAAPC/AgeEd6PSyhTAAlMQ9QplEvg/AAAAABgAAAD8CAD8AAIAAAAAAADwvwISd0PSV/8ZwAJheBqTRjfoPwAAAAAYAAAA/AgA/AACAAAAAAAA8L8CVXTjwZ4xH8ACBsQf7ngb+D8AAAAAHAAAAPwIAPwAAgAAAAAAAPC/Ar5UrWvsMSLAAvFMWvcbN+g/AAAAABgAAAD8CAD8AAIAAAAAAADwvwK7uhui7zEiwAJLLYoI5MjnvwAAAAAYAAAA/AQA/AACAAAAAAAA8L8C/pc0neXKJMACTIEp8Zjw978AAAAAIAAAAPwEAPwAAgAAAAAAAPC/AqgAAhvBySTAAop4Xtj7+QfAAAAAAAQAAAD8BAD8AAIAAAAAAADwvwLkoj2EnYQmwAI6A69hvv0LwAAAAAAYAAAA/AQA/AACAAAAAAAA8L8C1VvZ9Ki5JMACAFzoC+Ftkb8AAAAAGAAAAPwEAPwAAgAAAAAAAPC/AjhlWH1mUyfAAkw7FqH+Yuc/AAAAABwAAAD8BAD8AAIAAAAAAADwvwL89QGg3+spwAIAnS6MoNGVvwAAAAAEAAAA/AQA/AACAAAAAAAA8L8CAmckOrOnK8ACwgB2AX2L3j8AAAAAGAAAAPwEAPwAAgAAAAAAAPC/ApLN43yb6inAAuEV+l5EV/i/AAAAABgAAAD8BAD8AAIAAAAAAADwvwLriPs23lAnwALC9/RoPycCwAAAAAAYAAAA/AgA/AACAAAAAAAA8L8Cc7Gdm6sxH8ACdkOneonk978AAAAAGAAAAPwIAPwAAgAAAAAAAPC/Ajw8mABx/xnAArepFUtEyee/AAAAABgAAAD8CAD8AAIAAAAAAADwvwIgioqm6LHQPgLyAHE0AQD4vwAAAAAYAAAA/AgA/AACAAAAAAAA8L8CA8YOcdrI9L8C1pL71woA6L8AAAAAASkABAgABAQAAAAECAQABAQAAAAIDAQABAQAAAAMEAgABAQAAAAQFAQABAQAAAAUGAgABAQAAAAYHAQAAAAAAAAcIAQABAQAAAAcJAgABAQAAAAkKAQABAQAAAAoLAQABAQAAAAsIAgABAQAAAAsMAQAAAAAAAAMNAQABAQAAAA0GAQABAQAAAAIOAgABAQAAAA4PAQABAQAAAA8ARAIAAQEAAAAARA0BAAEBAAAADwBEQQAAAAAAAABEQESBAAAAAAAAAESARMEAAAAAAAAARMBFAgABAQAAAABFAEVBAAEBAAAAAEVARYIAAQEAAAAARYBFwQAAAAAAAABFwEYBAAAAAAAAAEYARkEAAAAAAAAARcBGgQABAAAAAABGgEbBAAEAAAAAAEbARwEAAQAAAAAARwBHQQAAAAAAAABHAEeBAAEAAAAAAEeAR8EAAQAAAAAAR8BFwQABAAAAAABFgEgBAAEBAAAAAEgASEIAAQEAAAAASEBEwQABAQAAAAAASIEAAQEAAAAASIBIwgABAQAAAABIzgEAAQEAAAAAAAAAA==</t>
        </r>
      </text>
    </comment>
    <comment ref="D379" authorId="0">
      <text>
        <r>
          <rPr>
            <sz val="9"/>
            <color indexed="81"/>
            <rFont val="Tahoma"/>
            <family val="2"/>
          </rPr>
          <t>Insight iXlW00004C0000379R0841462918S00000378P01308LAocjBAQBF1NjaVRlZ2ljLmRhdGEuTW9sZWN1bGUBbQF/ARJTY2lUZWdpYy5Nb2xlY3VsZQAAAQFkAv5qAQAAAAIAAgESGAAAAPwIAPwAAgAAAAAAAPC/At2TkBxOTx5AAhZROcbOjxZAAAAAAAERAAAA/AQA/AACAAAAAAAA8L8CY6id1c0mH0ACAAAAAAAAFEAAAAAAGAAAAPwIAPwAAgAAAAAAAPC/AiZb+YauAhtAAoqd+sxnQBdAAAAAABgAAAD8CAD8AAIAAAAAAADwvwJ2nwmBT/UZQAJnEeiDKnQaQAAAAAAcAAAA/AgA/AACAAAAAAAA8L8CCVBd3hLrFkACEqyikoTWG0AAAAAAAWkAAAD8BAD8AAIAAAAAAADwvwIAAAAAAAAUQAKbabzUxSUaQAAAAAAYAAAA/AgA/AACAAAAAAAA8L8C8AoHU5I3F0ACc5+W6aMqH0AAAAAAIAAAAPwIAPwAAgAAAAAAAPC/Aiw0MT1SMhVAAr2zI73jeSBAAAAAABwAAAD8CAD8AAIAAAAAAADwvwLjlEu1/4IaQALSjuur2OAfQAAAAAAYAAAA/AQA/AACAAAAAAAA8L8Cx63AdJbfG0AC4DMl8FN7IUAAAAAAGAAAAPwEAPwAAgAAAAAAAPC/AjjwyjsVGRpAAoZa/Btj6CJAAAAAABgAAAD8BAD8AAIAAAAAAADwvwL+EZV07q8bQAJZpnKE3GQkQAAAAAAcAAAA/AQA/AACAAAAAAAA8L8C7sOeTlsOH0ACCHZ6sO1yJEAAAAAAGAAAAPwEAPwAAgAAAAAAAPC/AmNeCKL3aiBAAhyTA2aFBCNAAAAAABgAAAD8BAD8AAIAAAAAAADwvwI80Yl7Fj8fQALyEnTTC4ghQAAAAAAYAAAA/AgA/AACAAAAAAAA8L8C5hQJ+I40HEACYAYlUFT3HEAAAAAAGAAAAPwIAPwAAgAAAAAAAPC/ApQTCZEtgR9AApkilp27RhxAAAAAABgAAAD8CAD8AAIAAAAAAADwvwKIaaaRRkcgQAJLfLkC+RIZQAAAAAABFAAEBAAAAAAAAAAICAwEBAAAAAgMBAAEBAAAAAwQBAAEAAAAABAUBAAAAAAAABAYBAAEAAAAABgcCAAAAAAAABggBAAEAAAAACAkBAAAAAAAACQoBAAEAAAAACgsBAAEAAAAACwwBAAEAAAAADA0BAAEAAAAADQ4BAAEAAAAADgkBAAEAAAAAAw8CAwEBAAAADwgBAAEAAAAADwBEAQABAQAAAABEAERCAgEBAAAAAERAAQABAQAAAAAAAAA</t>
        </r>
      </text>
    </comment>
    <comment ref="D380" authorId="0">
      <text>
        <r>
          <rPr>
            <sz val="9"/>
            <color indexed="81"/>
            <rFont val="Tahoma"/>
            <family val="2"/>
          </rPr>
          <t>Insight iXlW00004C0000380R0841462918S00000379P01016LAocjBAQBF1NjaVRlZ2ljLmRhdGEuTW9sZWN1bGUBbQF/ARJTY2lUZWdpYy5Nb2xlY3VsZQAAAQFkAv5qAQAAAAIBAjgBaQAAAPwEAPwAAgAAAAAAAPC/AnIpXj1FeCFAApW4OJN+CBVAAAAAAAEQAAAA/AQA/AACAAAAAAAA8L8Cg1Z+NObzH0AC7yEHyPTBFkAAAAAAIAAAAPwIAPwAAgAAAAAAAPC/AkYExgujkB1AAtlz3QTIYBVAAAAAACAAAAD8CAD8AAIAAAAAAADwvwKJMOCdA/QfQAIAAAAAAAAUQAAAAAAcAAAA/AgA/AACAAAAAAAA8L8C5Hfw2VXzH0ACre6DxeI0GkAAAAAAGAwAAPwEAPwAAgAAAAAAAPC/AvaIVrzU9hxAAmAUBZuf7RtAAAAAABgAAAD8CAD8AAIAAAAAAADwvwL2W3YXj/kZQALTcGkpPjUaQAAAAAAgAAAA/AgA/AACAAAAAAAA8L8ChOG9Lsf4GUACCXM7fklzF0AAAAAAHAAAAPwIAPwAAgAAAAAAAPC/AovDZIRE/RZAAu1qDKdP7xtAAAAAAAFpAAAA/AQA/AACAAAAAAAA8L8CAAAAAAAAFEAC1TDsVe82GkAAAAAAGAAAAPwEAPwAAgAAAAAAAPC/AqnX8veidyFAAlYej6WY7htAAAAAABgAAAD8BAD8AAIAAAAAAADwvwKSnvH1WnchQAKudiuRCmEfQAAAAAAcAAAA/AQA/AACAAAAAAAA8L8CYG8StTXyH0AC5gWkeeOMIEAAAAAAGAAAAPwEAPwAAgAAAAAAAPC/AoHLkUhF9hxAArdsoYYRYB9AAAAAADgABAQAAAAAAAAECAgAAAAAAAAEDAgAAAAAAAAEEAQAAAAAAAAQFAQABAAAAAAUGAQUAAAAAAAYHAgAAAAAAAAYIAQAAAAAAAAgJAQAAAAAAAAQKAQABAAAAAAoLAQABAAAAAAsMAQABAAAAAAwNAQABAAAAAA0FAQABAAAAAAAAAAA</t>
        </r>
      </text>
    </comment>
    <comment ref="D381" authorId="0">
      <text>
        <r>
          <rPr>
            <sz val="9"/>
            <color indexed="81"/>
            <rFont val="Tahoma"/>
            <family val="2"/>
          </rPr>
          <t>Insight iXlW00004C0000381R0841462918S00000380P01864LAocjBAQBF1NjaVRlZ2ljLmRhdGEuTW9sZWN1bGUBbQF/ARJTY2lUZWdpYy5Nb2xlY3VsZQAAAQFkAv5qAQAAAAIBAgEaGAgAAPwEAPwAAgAAAAAAAPC/AubQItv5fvC/Ag6+MJkqGIW/AAAAABgIAAD8BAD8AAIAAAAAAADwvwL77evAOSP8vwIi/fZ14JznvwAAAAAYAAAA/AgA/AACAAAAAAAA8L8CgnNGlPYG/L8CSFD8GHPX5j8AAAAAGAAAAPwIAPwAAgAAAAAAAPC/ArsnDwu1psG/AvH0SlmGOOA/AAAAACAAAAD8BAD8AAIAAAAAAADwvwIzMzMzMzPTvwIi/fZ14JznvwAAAAAYAAAA/AQA/AACAAAAAAAA8L8CwTkjSnsDBsACidLe4AuT3b8AAAAAGAAAAPwEAPwAAgAAAAAAAPC/ArCUZYhjXfu/Auj7qfHSTfy/AAAAABgAAAD8CAD8AAIAAAAAAADwvwJ88rBQaxoFwAK30QDeAgnKPwAAAAAYAAAA/AgA/AACAAAAAAAA8L8CgnNGlPYG/L8CjpduEoPA+z8AAAAAHAAAAPwIAPwAAgAAAAAAAPC/AgwkKH6Muec/AAAAAAAgAAAA/AgA/AACAAAAAAAA8L8CYcPTK2UZwr8CWmQ730+N+D8AAAAAGAAAAPwEAPwAAgAAAAAAAPC/AhueXinLkArAAq+2Yn/ZPfW/AAAAABgAAAD8BAD8AAIAAAAAAADwvwKppE5AE2EFwAJANV66SQwBwAAAAAAYAAAA/AgA/AACAAAAAAAA8L8CtTf4wmQqDMACUB4Wak3z5j8AAAAAGAAAAPwIAPwAAgAAAAAAAPC/AjY8vVKWIQXAAgMJih9j7gFAAAAAABgAAAD8BAD8AAIAAAAAAADwvwJ8gy9Mpgr6PwLpt68D54zgPwAAAAAkAAAA/AQA/AACAAAAAAAA8L8CCYofY+7aEMACg1FJnYAm6r8AAAAAJAAAAPwEAPwAAgAAAAAAAPC/AlOWIY51MRDAAuLplbIMcQDAAAAAABgAAAD8CAD8AAIAAAAAAADwvwK1N/jCZCoMwAKOl24Sg8D7PwAAAAAYAAAA/AQA/AACAAAAAAAA8L8CPL1SliEOBEACYAfOGVHaaz8AAAAAGAAAAPwEAPwAAgAAAAAAAPC/ArtJDAIrBwRAAvXb14FzRvC/AAAAABgAAAD8BAD8AAIAAAAAAADwvwJ2ApoIGx4LQALi6ZWyDHHgPwAAAAAYAAAA/AQA/AACAAAAAAAA8L8COUVHcvkPC0AC5tAi2/l++L8AAAAAGAAAAPwEAPwAAgAAAAAAAPC/Apjdk4eFGhFAAmAHzhlR2mu/AAAAABwAAAD8BAD8AAIAAAAAAADwvwK7uI0G8BYRQAJtVn2utmLwvwAAAAAEAAAA/AQA/AACAAAAAAAA8L8CXkvIBz2b8L8CLiEf9GxW978AAAAAARwABAQAAAAAAAAACAQAAAAAAAAADAQAAAAAAAAAEAQUAAAAAAAEFAQABAAAAAAEGAQABAAAAAAIHAQABAQAAAAIIAgMBAQAAAAMJAQAAAAAAAAMKAgAAAAAAAAULAQABAAAAAAYMAQABAAAAAAcNAgIBAQAAAAgOAQABAQAAAAkPAQAAAAAAAAsARAEAAAAAAAALAERBAAAAAAAADQBEgQABAQAAAA8ARMEAAAAAAAAARMBFAQABAAAAAABEwEVBAAEAAAAAAEUARYEAAQAAAAAARUBFwQABAAAAAABFgEYBAAEAAAAACwwBAAEAAAAADgBEggIBAQAAAABFwEYBAAEAAAAAAQBGQQQAAAAAAAAAAEAAAAAAAAAAAAAAAAAAAAAAAAAAAA=</t>
        </r>
      </text>
    </comment>
    <comment ref="D382" authorId="0">
      <text>
        <r>
          <rPr>
            <sz val="9"/>
            <color indexed="81"/>
            <rFont val="Tahoma"/>
            <family val="2"/>
          </rPr>
          <t>Insight iXlW00004C0000382R0841462918S00000381P02764LAocjBAQBF1NjaVRlZ2ljLmRhdGEuTW9sZWN1bGUBbQF/ARJTY2lUZWdpYy5Nb2xlY3VsZQAAAQFkAv5qAQAAAAIBAgEnGAAAAPwIAPwAAgAAAAAAAPC/Ah2bgOsyygRAAlq2OuyCAfi/AAAAABgAAAD8CAD8AAIAAAAAAADwvwLuWomd3sj0PwJ7x6ti/P/nvwAAAAAYAAAA/AgA/AACAAAAAAAA8L8CKorQWtjI9D8C02GiEhIA6D8AAAAAGAAAAPwIAPwAAgAAAAAAAPC/AoFJlqboseC+AjnqbzQBAPg/AAAAABwAAAD8CAD8AAIAAAAAAADwvwIEtMWz4Mj0vwISywIo9f/nPwAAAAAYAAAA/AgA/AACAAAAAAAA8L8CA8YOcdrI9L8C1pL71woA6L8AAAAAHAAAAPwEAPwAAgAAAAAAAPC/AmFAOokqxwTAAtsN26GxDPi/AAAAABgIAAD8BAD8AAIAAAAAAADwvwLOW+Yxx8IEwAJUrSJCCAgIwAAAAAAYAAAA/AQA/AACAAAAAAAA8L8ChSE2NZbg+L8CLWBn8h3RDMAAAAAAGAAAAPwIAPwAAgAAAAAAAPC/AgiVsPd+JQ/AAir0AZdcDg7AAAAAABgAAAD8CAD8AAIAAAAAAADwvwLYEkuMmSUPwALcIijDNgcVwAAAAAAYAAAA/AgA/AACAAAAAAAA8L8CBkgV3v7EFMAC4HewVj8HGMAAAAAAGAAAAPwIAPwAAgAAAAAAAPC/ArIRvQk79xnAAtCWXTdIBxXAAAAAABgAAAD8CAD8AAIAAAAAAADwvwLG3ASjRfcZwAKH5s1ukA4OwAAAAAAYAAAA/AgA/AACAAAAAAAA8L8Cm+6lEBTFFMAC7hoVeX0OCMAAAAAAHAAAAPwIAPwAAgAAAAAAAPC/AiCKiqbosdA+AvIAcTQBAPi/AAAAABgAAAD8CAD8AAIAAAAAAADwvwIw1AIY6ZsPQAJi7ROGJTXsvwAAAAAYAAAA/AQA/AACAAAAAAAA8L8CkxBiwesGEUACCs8Prua54j8AAAAAGAAAAPwEAPwAAgAAAAAAAPC/AlKKRNlOuhZAAg1ezJLv4/A/AAAAABgAAAD8BAD8AAIAAAAAAADwvwJ82jjG7LQXQAK2u7c76dcBQAAAAAAYAAAA/AgA/AACAAAAAAAA8L8CUx1sre3PE0ACkJtQBfj2/78AAAAAHAAAAPwIAPwAAgAAAAAAAPC/AgWKOUPSzRBAAkgsCxl6XQrAAAAAABgAAAD8CAD8AAIAAAAAAADwvwJxcJrcyd8FQAIMKdimA9oHwAAAAAAYAAAA/AgA/AACAAAAAAAA8L8CMKa7epvI+T8CA9cdpV/RD8AAAAAAGAAAAPwIAPwAAgAAAAAAAPC/AhD+i6kwjcQ/Ar/81DxY8QzAAAAAABgAAAD8CAD8AAIAAAAAAADwvwLy1NBNliHsvwLiy1JM4MsSwAAAAAAYAAAA/AgA/AACAAAAAAAA8L8CxEd7qjaa3b8Ct9a1UHWPGMAAAAAAGAAAAPwIAPwAAgAAAAAAAPC/AjM1KnJDzO8/AiNDWLvW/xnAAAAAABgAAAD8BAD8AAIAAAAAAADwvwK4kg1ITZH2PwIVSImEO8QfwAAAAAAkAAAA/AQA/AACAAAAAAAA8L8CrI75eZOJ4j8CUehhT0SdIcAAAAAAJAAAAPwEAPwAAgAAAAAAAPC/Ajh0SCa2mgRAAkEtTpFHdSDAAAAAACQAAAD8BAD8AAIAAAAAAADwvwLvH1SiiOj7PwIscPugRDAiwAAAAAAYAAAA/AgA/AACAAAAAAAA8L8Cbnqw+0pEAEACzVOURqOsFcAAAAAAGAAAAPwEAPwAAgAAAAAAAPC/AnXBW7KHyBlAAtZi8AYefv2/AAAAABgAAAD8BAD8AAIAAAAAAADwvwJlM5mrA6AcQAKeZ0clCeTgvwAAAAAYAAAA/AQA/AACAAAAAAAA8L8CWLExxrVPIUACZJDG04cc378AAAAAHAAAAPwEAPwAAgAAAAAAAPC/Ak8RGZoP4iJAAj8ohyJ9OPy/AAAAABgAAAD8BAD8AAIAAAAAAADwvwJCMQGmtXQhQAIMQqF9XqoIwAAAAAAYAAAA/AQA/AACAAAAAAAA8L8CojymcgPqHEACulmC4tH/CMAAAAAAASsABAQAAAAAAAAECAgABAQAAAAIDAQABAQAAAAMEAgABAQAAAAQFAQABAQAAAAUGAQAAAAAAAAYHAQAAAAAAAAcIAQQAAAAAAAcJAQAAAAAAAAkKAgABAQAAAAoLAQABAQAAAAsMAgABAQAAAAwNAQABAQAAAA0OAgABAQAAAA4JAQABAQAAAAUPAgABAQAAAA8BAQABAQAAAAAARAEAAQEAAAAARABEQQAAAAAAAABEQESBAAAAAAAAAESARMEAAAAAAAAARABFAgABAQAAAABFAEVBAAEBAAAAAEVARYEAAQEAAAAARYACAAEBAAAAAEWARcEAAAAAAAAARcBGAgABAQAAAABGAEZBAAEBAAAAAEZARoIAAQEAAAAARoBGwQABAQAAAABGwEcBAAAAAAAAAEcAR0EAAAAAAAAARwBHgQAAAAAAAABHAEfBAAAAAAAAAEbASAIAAQEAAAAASABFwQABAQAAAABFAEhBAAAAAAAAAEhASIEAAQAAAAAASIBIwQABAAAAAABIwEkBAAEAAAAAAEkASUEAAQAAAAAASUBJgQABAAAAAABJgEhBAAEAAAAAAAAAAA=</t>
        </r>
      </text>
    </comment>
    <comment ref="D383" authorId="0">
      <text>
        <r>
          <rPr>
            <sz val="9"/>
            <color indexed="81"/>
            <rFont val="Tahoma"/>
            <family val="2"/>
          </rPr>
          <t>Insight iXlW00004C0000383R0841462918S00000382P01216LAocjBAQBF1NjaVRlZ2ljLmRhdGEuTW9sZWN1bGUBbQF/ARJTY2lUZWdpYy5Nb2xlY3VsZQAAAQFkAv5qAQAAAAIAAgERGAAAAPwEAPwAAgAAAAAAAPC/AvVK+z02CBdAAoEotfXuwRVAAAAAABgAAAD8CAD8AAIAAAAAAADwvwK0UoBYkgkXQAJ6ui80YkMZQAAAAAABaQAAAPwEAPwAAgAAAAAAAPC/AgAAAAAAABRAAokEz8ZPBBtAAAAAABgAAAD8CAD8AAIAAAAAAADwvwKKj63xhRMaQAID58c30wIbQAAAAAAYAAAA/AQA/AACAAAAAAAA8L8CeHO2j/4bHUACkwrUseNAGUAAAAAAHAAAAPwEAPwAAgAAAAAAAPC/AoRxlD6TGh1AAtkZNkF6vxVAAAAAABgAAAD8BAD8AAIAAAAAAADwvwKii2lPrxAaQAIAAAAAAAAUQAAAAAAYAAAA/AgA/AACAAAAAAAA8L8CHPJDe9QWGkACm6WoUruEHkAAAAAAIAAAAPwIAPwAAgAAAAAAAPC/AtNY8t9LqhdAAksZ+OXJ7R9AAAAAABwAAAD8CAD8AAIAAAAAAADwvwIMBFYWziEdQAKwUYvJpyEgQAAAAAAYAAAA/AQA/AACAAAAAAAA8L8CXMNREx0lHUACFaOd/priIUAAAAAAGAAAAPwIAPwAAgAAAAAAAPC/Aj6WnmULGCBAAvih1B7lwSJAAAAAACAAAAD8CAD8AAIAAAAAAADwvwLiYkezT04hQAIg6CzVXQ0iQAAAAAAcAAAA/AgA/AACAAAAAAAA8L8C5nUc5LIZIEACXfPmU9iCJEAAAAAAGAAAAPwEAPwAAgAAAAAAAPC/AiqKkRseUSFAAgkz8+VgNSVAAAAAABgAAAD8BAD8AAIAAAAAAADwvwKEUucs3cYdQAKdASKPXzclQAAAAAAYAAAA/AQA/AACAAAAAAAA8L8CVZ2nsVaOH0ACsC/H/0DaHkAAAAAAAREABAQABAAAAAAECAQAAAAAAAAEDAgIBAAAAAAMEAQABAAAAAAQFAQABAAAAAAUGAQABAAAAAAYAAQABAAAAAAMHAQAAAAAAAAcIAgAAAAAAAAcJAQAAAAAAAAkKAQAAAAAAAAoLAQAAAAAAAAsMAgAAAAAAAAsNAQAAAAAAAA0OAQAAAAAAAA0PAQAAAAAAAAkARAEAAAAAAAAAAAAAA==</t>
        </r>
      </text>
    </comment>
    <comment ref="D384" authorId="0">
      <text>
        <r>
          <rPr>
            <sz val="9"/>
            <color indexed="81"/>
            <rFont val="Tahoma"/>
            <family val="2"/>
          </rPr>
          <t>Insight iXlW00004C0000384R0841462918S00000383P02000LAocjBAQBF1NjaVRlZ2ljLmRhdGEuTW9sZWN1bGUBbQF/ARJTY2lUZWdpYy5Nb2xlY3VsZQAAAQFkAv5qAQAAAAIAAgEcGAAAAPwEAPwAAgAAAAAAAPC/AnMVDIHNuhRAAirfuYWvDB7AAAAAABgAAAD8CAD8AAIAAAAAAADwvwIHPyvDHMAUQAJT6HwQsAwYwAAAAAAYAAAA/AgA/AACAAAAAAAA8L8CNAYnXyohD0ACusCoiwAIFcAAAAAAGAAAAPwIAPwAAgAAAAAAAPC/AsrI2n2JJQ9AAjopkqRRDg7AAAAAABwAAAD8CAD8AAIAAAAAAADwvwI0UNOZz8IEQAIHLW/2AAgIwAAAAAAYAAAA/AQA/AACAAAAAAAA8L8CyRKHuC7HBEACmKlfB6MM+L8AAAAAGAAAAPwIAPwAAgAAAAAAAPC/Au5aiZ3eyPQ/AnvHq2L8/+e/AAAAABwAAAD8CAD8AAIAAAAAAADwvwIqitBa2Mj0PwLTYaISEgDoPwAAAAAYAAAA/AgA/AACAAAAAAAA8L8CgUmWpuix4L4COepvNAEA+D8AAAAAGAAAAPwIAPwAAgAAAAAAAPC/AgS0xbPgyPS/AhLLAij1/+c/AAAAABgAAAD8CAD8AAIAAAAAAADwvwJJylQ54cgEwAImpMmN9P/3PwAAAAAYAAAA/AgA/AACAAAAAAAA8L8CSEGwWuTIBMACjGnkRvr/B0AAAAAAGAAAAPwIAPwAAgAAAAAAAPC/Atohj1rwyPS/AuSrG5f9/w1AAAAAABgAAAD8CAD8AAIAAAAAAADwvwIAAMyIlE3vvgI8T4yBAQAIQAAAAAAYAAAA/AgA/AACAAAAAAAA8L8CA8YOcdrI9L8C1pL71woA6L8AAAAAGAAAAPwIAPwAAgAAAAAAAPC/AiCKiqbosdA+AvIAcTQBAPi/AAAAACAAAAD8CAD8AAIAAAAAAADwvwLcSDjzAbwTQAICRkgHOUUJwAAAAAAYAAAA/AQA/AACAAAAAAAA8L8CaOTUIGW3BEACqB6BrH4DGMAAAAAAGAAAAPwIAPwAAgAAAAAAAPC/Avli7Kyp9RlAAvOZ9dbyEBXAAAAAABgAAAD8CAD8AAIAAAAAAADwvwIqWkavhv0ZQAIya+qpzSEOwAAAAAAYAAAA/AgA/AACAAAAAAAA8L8CpH6zJ5szH0ACag3bOUUvCMAAAAAAGAAAAPwIAPwAAgAAAAAAAPC/AuuyASD2MCJAAtR2KSSyPA7AAAAAAAEQAAAA/AQA/AACAAAAAAAA8L8CrTAKfCfNJEAC+s2fNs5OCMAAAAAAGAAAAPwEAPwAAgAAAAAAAPC/Apu3Nj893yZAAgKgz6BdKQ3AAAAAABgAAAD8CAD8AAIAAAAAAADwvwKxmQdxFSQfQAJlKBUtmRcYwAAAAAAYAAAA/AgA/AACAAAAAAAA8L8C/JiIshQtIkACHXsMDVQeFcAAAAAAGAAAAPwEAPwAAgAAAAAAAPC/AndHIAvhCw9AArz9c0wKhCDAAAAAABwAAAD8BAD8AAIAAAAAAADwvwLmasmfxqwEQAI70RRTfAMewAAAAAABHwAEBAAEAAAAAAQICAQEAAAAAAgMBAAAAAAAAAwQBAAAAAAAABAUBAAAAAAAABQYBAAAAAAAABgcCAAEBAAAABwgBAAEBAAAACAkCAAEBAAAACQoBAAEBAAAACgsCAAEBAAAACwwBAAEBAAAADA0CAAEBAAAADQgBAAEBAAAACQ4BAAEBAAAADg8CAAEBAAAADwYBAAEBAAAAAwBEAgAAAAAAAAIAREEAAQAAAAABAESBAAAAAAAAAESARMIAAQEAAAAARMBFAQABAQAAAABFAEVCAAEBAAAAAEVARYEAAAAAAAAARYBFwQAAAAAAAABEgEYBAAEBAAAAAEYARkIAAQEAAAAARkBFQQABAQAAAAAARoEAAQAAAAAARoBGwQABAAAAAABGwERBAAEAAAAAAAAAAA=</t>
        </r>
      </text>
    </comment>
    <comment ref="D385" authorId="0">
      <text>
        <r>
          <rPr>
            <sz val="9"/>
            <color indexed="81"/>
            <rFont val="Tahoma"/>
            <family val="2"/>
          </rPr>
          <t>Insight iXlW00004C0000385R0841462918S00000384P01988LAocjBAQBF1NjaVRlZ2ljLmRhdGEuTW9sZWN1bGUBbQF/ARJTY2lUZWdpYy5Nb2xlY3VsZQAAAQFkAv5qAQAAAAIAAgEcHAAAAPwIAPwAAgAAAAAAAPC/AmVePZLCvxRAAsXqGZwADB7AAAAAABgAAAD8BAD8AAIAAAAAAADwvwKfP5ch8sEUQAKoPrriKAsYwAAAAAAYAAAA/AQA/AACAAAAAAAA8L8CmAYnXyohD0ACnMCoiwAIFcAAAAAAHAAAAPwIAPwAAgAAAAAAAPC/AgzJ2n2JJQ9AAgEpkqRRDg7AAAAAABgAAAD8BAD8AAIAAAAAAADwvwL4SDjzAbwTQAK1RUgHOUUJwAAAAAAYAAAA/AgA/AACAAAAAAAA8L8CZ1DTmc/CBEAC6yxv9gAICMAAAAAAIAAAAPwIAPwAAgAAAAAAAPC/Ag0Pe2Kq4Pg/AjsQuZMZ0QzAAAAAABgAAAD8BAD8AAIAAAAAAADwvwLaEoe4LscEQAJgqV8Howz4vwAAAAAgAAAA/AQA/AACAAAAAAAA8L8CqoY5p+gyD0AC2eqS0lA+6L8AAAAAGAAAAPwEAPwAAgAAAAAAAPC/ArhS03CtvxNAAp6JeQ02xvW/AAAAABgAAAD8CAD8AAIAAAAAAADwvwLuWomd3sj0PwJ7x6ti/P/nvwAAAAAYAAAA/AgA/AACAAAAAAAA8L8CKorQWtjI9D8C02GiEhIA6D8AAAAAGAAAAPwIAPwAAgAAAAAAAPC/AoFJlqboseC+AjnqbzQBAPg/AAAAABgAAAD8CAD8AAIAAAAAAADwvwIEtMWz4Mj0vwISywIo9f/nPwAAAAAYAAAA/AgA/AACAAAAAAAA8L8CA8YOcdrI9L8C1pL71woA6L8AAAAAGAAAAPwIAPwAAgAAAAAAAPC/AiCKiqbosdA+AvIAcTQBAPi/AAAAABgAAAD8CAD8AAIAAAAAAADwvwJ6K6MtS+8ZQAK76OnPWIggwAAAAAAgAAAA/AgA/AACAAAAAAAA8L8CiiTSPJoZHkACor45hgKuHsAAAAAAGAAAAPwIAPwAAgAAAAAAAPC/Agm7oxL76RlAAiwP06JXiCPAAAAAABgAAAD8CAD8AAIAAAAAAADwvwI6rlQvHrUUQAIR64RBCgYlwAAAAAAYAAAA/AgA/AACAAAAAAAA8L8CQY1jwiELD0ACMpygM76DI8AAAAAAGAAAAPwIAPwAAgAAAAAAAPC/AmhFJuK/FQ9AAoU9QWC/gyDAAAAAABwAAAD8BAD8AAIAAAAAAADwvwLcA102SLUEQAJ8PGftiwIewAAAAAAYAAAA/AQA/AACAAAAAAAA8L8Clt2wosy6BEACQAcGfXsCGMAAAAAAGAAAAPwEAPwAAgAAAAAAAPC/Ahp5s4F2svQ/AgSfL04CABXAAAAAABgAAAD8BAD8AAIAAAAAAADwvwK6Wl2zlJv0PwJLlKzFAIAgwAAAAAAYAAAA/AQA/AACAAAAAAAA8L8CABCULfzFg78CMYltdYf9HcAAAAAAHAAAAPwEAPwAAgAAAAAAAPC/AgB8IsMRG3y/Ak0N9SOI/RfAAAAAAAEeAAQEAAAAAAAABAgEAAAAAAAACAwEAAAAAAAADBAEAAAAAAAADBQEAAAAAAAAFBgIAAAAAAAAFBwEAAAAAAAAHCAEAAAAAAAAICQEAAAAAAAAHCgEAAAAAAAAKCwIAAQEAAAALDAEAAQEAAAAMDQIAAQEAAAANDgEAAQEAAAAODwIAAQEAAAAPCgEAAQEAAAAAAEQBAAEAAAAAAEQAREIAAAAAAAAARABEgQABAAAAAABEgETCAQEAAAAAAETARQEAAQAAAAAARQBFQgEBAAAAAABFQAEAAQAAAAAARUBFgQAAAAAAAABFgEXBAAEAAAAAAEXARgEAAQAAAAAARYBGQQABAAAAAABGQEaBAAEAAAAAAEaARsEAAQAAAAAARsBGAQABAAAAAAAAAAA</t>
        </r>
      </text>
    </comment>
  </commentList>
</comments>
</file>

<file path=xl/comments3.xml><?xml version="1.0" encoding="utf-8"?>
<comments xmlns="http://schemas.openxmlformats.org/spreadsheetml/2006/main">
  <authors>
    <author>Dreher, Spencer Douglas</author>
  </authors>
  <commentList>
    <comment ref="B2" authorId="0">
      <text>
        <r>
          <rPr>
            <sz val="9"/>
            <color indexed="81"/>
            <rFont val="Tahoma"/>
            <family val="2"/>
          </rPr>
          <t>Insight iXlW00002C0000002R0841463012S00000001P01012LAocjBAQBF1NjaVRlZ2ljLmRhdGEuTW9sZWN1bGUBbQF/ARJTY2lUZWdpYy5Nb2xlY3VsZQAAAQFkAv5qAQAAAAIAAjgcAAAA/PwA/AACAAAAAAAA8L8CAk2EDU8vF0ACAAAAAAAACEAAAAAAGAAAAPz8APwAAgAAAAAAAPC/As1dS8gH/RFAAgAAAAAAAA5AAAAAABgAAAD8/AD8AAIAAAAAAADwvwIaUdobfGEcQAIAAAAAAAAOQAAAAAAYAAAA/PwA/AACAAAAAAAA8L8CAk2EDU8vF0ACAAAAAAAA+D8AAAAAIAAAAPz8APwAAgAAAAAAAPC/Amiz6nO1lQlAAgAAAAAAAAhAAAAAACAAAAD8/AD8AAIAAAAAAADwvwLNXUvIB/0RQAIAAAAAAAAVQAAAAAAYAAAA/PwA/AACAAAAAAAA8L8CKKCJsOHJIEACAAAAAAAACEAAAAAAGAAAAPz8APwAAgAAAAAAAPC/AhpR2ht8YRxAAgAAAAAAABVAAAAAABgAAAD8/AD8AAIAAAAAAADwvwIaUdobfGEcQAIAAAAAAADoPwAAAAAYAAAA/PwA/AACAAAAAAAA8L8CbVZ9rrZi/j8CAAAAAAAADkAAAAAAHAAAAPz8APwAAgAAAAAAAPC/AiigibDhySBAAgAAAAAAAPg/AAAAABgAAAD8/AD8AAIAAAAAAADwvwLA7J48LNTqPwL6D+m3r4MFQAAAAAAYAAAA/PwA/AACAAAAAAAA8L8CwqikTkATBkACfGEyVTDqE0AAAAAAGAAAAPz8APwAAgAAAAAAAPC/AgAAAAAAAOg/Ano2qz5X2xJAAAAAADgABAQAAAAAAAAACAQAAAAAAAAADAQAAAAAAAAEEAQAAAAAAAAEFAgAAAAAAAAIGAQAAAAAAAAIHAQAAAAAAAAMIAQAAAAAAAAQJAQAAAAAAAAYKAQAAAAAAAAkLAQAAAAAAAAkMAQAAAAAAAAkNAQAAAAAAAAgKAQAAAAAAAAAAAAA</t>
        </r>
      </text>
    </comment>
    <comment ref="B3" authorId="0">
      <text>
        <r>
          <rPr>
            <sz val="9"/>
            <color indexed="81"/>
            <rFont val="Tahoma"/>
            <family val="2"/>
          </rPr>
          <t>Insight iXlW00002C0000003R0841463012S00000002P01080LAocjBAQBF1NjaVRlZ2ljLmRhdGEuTW9sZWN1bGUBbQF/ARJTY2lUZWdpYy5Nb2xlY3VsZQAAAQFkAv5qAQAAAAIAAjwYAAAA/PwA/AACAAAAAAAA8L8CAk2EDU8vF0ACAAAAAAAAFUAAAAAAGAAAAPz8APwAAgAAAAAAAPC/AhpR2ht8YRxAAgAAAAAAABhAAAAAABwAAAD8/AD8AAIAAAAAAADwvwIooImw4ckgQAIAAAAAAAAVQAAAAAAYAAAA/PwA/AACAAAAAAAA8L8CKKCJsOHJIEACAAAAAAAADkAAAAAAGAAAAPz8APwAAgAAAAAAAPC/AhpR2ht8YRxAAgAAAAAAAAhAAAAAABwAAAD8/AD8AAIAAAAAAADwvwICTYQNTy8XQAIAAAAAAAAOQAAAAAAgAAAA/PwA/AACAAAAAAAA8L8CzV1LyAf9EUACAAAAAAAA+D8AAAAAGAAAAPz8APwAAgAAAAAAAPC/As1dS8gH/RFAAgAAAAAAAAhAAAAAACAAAAD8/AD8AAIAAAAAAADwvwJos+pztZUJQAIAAAAAAAAOQAAAAAAYAAAA/PwA/AACAAAAAAAA8L8CbVZ9rrZi/j8CAAAAAAAACEAAAAAAGAAAAPz8APwAAgAAAAAAAPC/AsDsnjws1Oo/AgN4CyQoPhBAAAAAABgAAAD8/AD8AAIAAAAAAADwvwIAAAAAAADoPwIMk6mCUUkAQAAAAAAYAAAA/PwA/AACAAAAAAAA8L8CwqikTkATBkACEHo2qz5X/D8AAAAAGAAAAPz8APwAAgAAAAAAAPC/AhpR2ht8YRxAAgAAAAAAAPg/AAAAABgAAAD8/AD8AAIAAAAAAADwvwIooImw4ckgQAIAAAAAAADoPwAAAAA8AAQEAAAAAAAAABQEAAAAAAAABAgEAAAAAAAACAwEAAAAAAAADBAEAAAAAAAAEBQEAAAAAAAAEDQEAAAAAAAAFBwEAAAAAAAAGBwIAAAAAAAAHCAEAAAAAAAAICQEAAAAAAAAJCgEAAAAAAAAJCwEAAAAAAAAJDAEAAAAAAAANDgEAAAAAAAAAAAAAA==</t>
        </r>
      </text>
    </comment>
    <comment ref="B4" authorId="0">
      <text>
        <r>
          <rPr>
            <sz val="9"/>
            <color indexed="81"/>
            <rFont val="Tahoma"/>
            <family val="2"/>
          </rPr>
          <t>Insight iXlW00002C0000004R0841463012S00000004P01148LAocjBAQBF1NjaVRlZ2ljLmRhdGEuTW9sZWN1bGUBbQF/ARJTY2lUZWdpYy5Nb2xlY3VsZQAAAQFkAv5qAQAAAAIBAgEQHAAAAPz8APwAAgAAAAAAAPC/Aqyt2F92T26/Alafq63YX9o/AAAAABgMAAD8/AD8AAIAAAAAAADwvwK94xQdyeX0PwKfPCzUmubVvwAAAAAYAAAA/PwA/AACAAAAAAAA8L8CrK3YX3ZPbj8ChlrTvOMU/z8AAAAAGAAAAPz8APwAAgAAAAAAAPC/Ar3jFB3J5fS/Ap88LNSa5tW/AAAAABgAAAD8/AD8AAIAAAAAAADwvwK94xQdyeX0PwIEeAskKH79vwAAAAAYAAAA/PwA/AACAAAAAAAA8L8Ca7x0kxgEBUACqMZLN4lB3D8AAAAAIAAAAPz8APwAAgAAAAAAAPC/AsKopE5AE/W/ApayDHGsiwVAAAAAACAAAAD8/AD8AAIAAAAAAADwvwLCqKROQBP1PwILtaZ5x6kFQAAAAAAYAAAA/PwA/AACAAAAAAAA8L8CveMUHcnl9L8CBHgLJCh+/b8AAAAAHAAAAPz8APwAAgAAAAAAAPC/Aqyt2F92T26/AsrDQq1p3gTAAAAAABgAAAD8/AD8AAIAAAAAAADwvwI0MzMzM7MPQAKbd5yiI7nUvwAAAAAYAAAA/PwA/AACAAAAAAAA8L8CidLe4AsTBUACXynLEMe6/z8AAAAAGAAAAPz8APwAAgAAAAAAAPC/AonS3uALEwXAApxVn6ut2P4/AAAAABgAAAD8/AD8AAIAAAAAAADwvwLpSC7/If0IwAJWn6ut2F/aPwAAAAAYAAAA/PwA/AACAAAAAAAA8L8CNDMzMzOzD8ACKssQx7o4BUAAAAAAGAAAAPz8APwAAgAAAAAAAPC/AtJvXwfOGQHAAlafq63YX9o/AAAAAAEQAAQEAAAAAAAAAAgEAAAAAAAAAAwEAAAAAAAABBAEAAAAAAAABBQEEAAAAAAACBgEAAAAAAAACBwIAAAAAAAADCAEAAAAAAAAECQEAAAAAAAAFCgEAAAAAAAAFCwEAAAAAAAAGDAEAAAAAAAAMDQEAAAAAAAAMDgEAAAAAAAAMDwEAAAAAAAAICQEAAAAAAAAAAAAAA==</t>
        </r>
      </text>
    </comment>
    <comment ref="B5" authorId="0">
      <text>
        <r>
          <rPr>
            <sz val="9"/>
            <color indexed="81"/>
            <rFont val="Tahoma"/>
            <family val="2"/>
          </rPr>
          <t>Insight iXlW00002C0000005R0841463012S00000006P01212LAocjBAQBF1NjaVRlZ2ljLmRhdGEuTW9sZWN1bGUBbQF/ARJTY2lUZWdpYy5Nb2xlY3VsZQAAAQFkAv5qAQAAAAIBAgERHAAAAPz8APwAAgAAAAAAAPC/Aka28/3UeOW/AngtIR/0bNo/AAAAABgMAAD8/AD8AAIAAAAAAADwvwJoImx4eqXkPwL9GHPXEvLVvwAAAAAYAAAA/PwA/AACAAAAAAAA8L8CzV1LyAc95b8C+ORhodY0/z8AAAAAGAAAAPz8APwAAgAAAAAAAPC/AueuJeSDnv+/Av0Yc9cS8tW/AAAAABgAAAD8/AD8AAIAAAAAAADwvwJoImx4eqXkPwI9vVKWIY79vwAAAAAYAAAA/PwA/AACAAAAAAAA8L8CU5YhjnVx/z8CjgbwFkhQ3D8AAAAAIAAAAPz8APwAAgAAAAAAAPC/AutztRX7y/+/AgFvgQTFjwVAAAAAACAAAAD8/AD8AAIAAAAAAADwvwLE0ytlGeLkPwLNXUvIB70FQAAAAAAYAAAA/PwA/AACAAAAAAAA8L8C564l5IOe/78CPb1SliGO/b8AAAAAHAAAAPz8APwAAgAAAAAAAPC/Aka28/3UeOW/Au/Jw0Kt6QTAAAAAABgAAAD8/AD8AAIAAAAAAADwvwKwcmiR7XwKQAL4U+Olm8TUvwAAAAAYAAAA/PwA/AACAAAAAAAA8L8CsHJoke18CsACYAfOGVHa/j8AAAAAGAAAAPz8APwAAgAAAAAAAPC/ArByaJHtfApAAj29UpYhjv2/AAAAABgAAAD8/AD8AAIAAAAAAADwvwLFILByaJESQAKOBvAWSFDcPwAAAAAYAAAA/PwA/AACAAAAAAAA8L8CGlHaG3xhDsACeC0hH/Rs2j8AAAAAGAAAAPz8APwAAgAAAAAAAPC/AsUgsHJokRLAArKd76fGSwVAAAAAABgAAAD8/AD8AAIAAAAAAADwvwJh5dAi23kGwAJ4LSEf9GzaPwAAAAABEQAEBAAAAAAAAAAIBAAAAAAAAAAMBAAAAAAAAAQQBAAAAAAAAAQUBBAAAAAAAAgYBAAAAAAAAAgcCAAAAAAAAAwgBAAAAAAAABAkBAAAAAAAABQoBAAAAAAAABgsBAAAAAAAACgwBAAAAAAAACg0BAAAAAAAACw4BAAAAAAAACw8BAAAAAAAACwBEAQAAAAAAAAgJAQAAAAAAAAAAAAA</t>
        </r>
      </text>
    </comment>
    <comment ref="B6" authorId="0">
      <text>
        <r>
          <rPr>
            <sz val="9"/>
            <color indexed="81"/>
            <rFont val="Tahoma"/>
            <family val="2"/>
          </rPr>
          <t>Insight iXlW00002C0000006R0841463012S00000009P01432LAocjBAQBF1NjaVRlZ2ljLmRhdGEuTW9sZWN1bGUBbQF/ARJTY2lUZWdpYy5Nb2xlY3VsZQAAAQFkAv5qAQAAAAIAAgEUGAAAAPz8APwAAgAAAAAAAPC/ApayDHGsyxFAApeQD3o2qwtAAAAAABwAAAD8/AD8AAIAAAAAAADwvwKWsgxxrMsUQAJkzF1LyAcTQAAAAAAYAAAA/PwA/AACAAAAAAAA8L8ClrIMcazLGkACZMxdS8gHE0AAAAAAIAAAAPz8APwAAgAAAAAAAPC/AixlGeJYlwdAApeQD3o2qwtAAAAAABwAAAD8/AD8AAIAAAAAAADwvwKWsgxxrMsaQAKyv+yePGwdQAAAAAAgAAAA/PwA/AACAAAAAAAA8L8ClrIMcazLFEACLbKd76dGAUAAAAAAGAAAAPz8APwAAgAAAAAAAPC/ApayDHGsyx1AApeQD3o2qwtAAAAAABgAAAD8/AD8AAIAAAAAAADwvwIsZRniWJcBQAItsp3vp0YBQAAAAAAYAAAA/PwA/AACAAAAAAAA8L8ClrIMcazLHUACmbuWkA86GEAAAAAAGAAAAPz8APwAAgAAAAAAAPC/ApayDHGsyxFAApm7lpAPOhhAAAAAABgAAAD8/AD8AAIAAAAAAADwvwJLWYY41uUhQAKXkA96NqsLQAAAAAAYAAAA/PwA/AACAAAAAAAA8L8ClrIMcazLFEACsr/snjxsHUAAAAAAGAAAAPz8APwAAgAAAAAAAPC/AgAAAAAAAOg/Aov9ZffkYQRAAAAAABgAAAD8/AD8AAIAAAAAAADwvwLwOEVHcvn6PwIAAAAAAADoPwAAAAAYAAAA/PwA/AACAAAAAAAA8L8C87BQa5p3DEACDXGsi9to+D8AAAAAGAAAAPz8APwAAgAAAAAAAPC/AktZhjjWZSNAAi2yne+nRgFAAAAAABgAAAD8/AD8AAIAAAAAAADwvwJLWYY41mUjQAJkzF1LyAcTQAAAAAAYAAAA/PwA/AACAAAAAAAA8L8CS1mGONZlJkACZMxdS8gHE0AAAAAAGAAAAPz8APwAAgAAAAAAAPC/AktZhjjWZSZAAi2yne+nRgFAAAAAABgAAAD8/AD8AAIAAAAAAADwvwJLWYY41uUnQAKXkA96NqsLQAAAAAABFQgEBAAAAAAAAAwABAAAAAAAABAsBAAAAAAAABQACAAAAAAAABgIBAAAAAAAABwMBAAAAAAAACAIBAAAAAAAACQEBAAAAAAAACgYBAAAAAAAACwkBAAAAAAAADAcBAAAAAAAADQcBAAAAAAAADgcBAAAAAAAADwoCAwAAAAAAAEQKAQAAAAAAAABEQEQCAgAAAAAAAESPAQAAAAAAAABEwESCAgAAAAAACAQBAAAAAAAAAERARMEAAAAAAAABAAEAAAAAAAAAAAAAA==</t>
        </r>
      </text>
    </comment>
    <comment ref="B7" authorId="0">
      <text>
        <r>
          <rPr>
            <sz val="9"/>
            <color indexed="81"/>
            <rFont val="Tahoma"/>
            <family val="2"/>
          </rPr>
          <t>Insight iXlW00002C0000007R0841463012S00000008P01364LAocjBAQBF1NjaVRlZ2ljLmRhdGEuTW9sZWN1bGUBbQF/ARJTY2lUZWdpYy5Nb2xlY3VsZQAAAQFkAv5qAQAAAAIBAgETGAAAAPz8APwAAgAAAAAAAPC/AhWuR+F6FPK/AqRwPQrXowBAAAAAABwAAAD8/AD8AAIAAAAAAADwvwIVrkfhehTyvwJnZmZmZmbyPwAAAAAYDAAA/PwA/AACAAAAAAAA8L8CexSuR+F61L8Cw/UoXI/C5T8AAAAAIAAAAPz8APwAAgAAAAAAAPC/AgvXo3A9Cv+/AmdmZmZmZgRAAAAAACAAAAD8/AD8AAIAAAAAAADwvwJ7FK5H4XrUvwJSuB6F61EEQAAAAAAcAAAA/PwA/AACAAAAAAAA8L8CFa5H4XoU8r8CXI/C9Shc578AAAAAGAAAAPz8APwAAgAAAAAAAPC/Al2PwvUoXN8/AmdmZmZmZvI/AAAAABgAAAD8/AD8AAIAAAAAAADwvwIAAAAAAAAGwAK5HoXrUbgAQAAAAAAYAAAA/PwA/AACAAAAAAAA8L8CC9ejcD0K/78Cw/UoXI/C5T8AAAAAGAAAAPz8APwAAgAAAAAAAPC/AnsUrkfhetS/AqRwPQrXo9C/AAAAABgAAAD8/AD8AAIAAAAAAADwvwIL16NwPQr/vwKkcD0K16PQvwAAAAAYAAAA/PwA/AACAAAAAAAA8L8CpHA9CtejDMACUrgehetRBEAAAAAAGAAAAPz8APwAAgAAAAAAAPC/AlK4HoXrUQLAAs3MzMzMzPQ/AAAAABgAAAD8/AD8AAIAAAAAAADwvwKuR+F6FK4JwAJ7FK5H4Xr0PwAAAAAYAAAA/PwA/AACAAAAAAAA8L8CXY/C9Shc3z8CuR6F61G4AEAAAAAAGAAAAPz8APwAAgAAAAAAAPC/As3MzMzMzPQ/AsP1KFyPwuU/AAAAABgAAAD8/AD8AAIAAAAAAADwvwLNzMzMzMz0PwJ7FK5H4XoEQAAAAAAYAAAA/PwA/AACAAAAAAAA8L8C4noUrkfhAEACPgrXo3A98j8AAAAAGAAAAPz8APwAAgAAAAAAAPC/AuJ6FK5H4QBAArkehetRuABAAAAAAAEUBAAEAAAAAAAACAQEAAAAAAAADAAEAAAAAAAAEAAIAAAAAAAAFCgEAAAAAAAACBgEFAAAAAAAHAwEAAAAAAAAIAQEAAAAAAAAJAgEAAAAAAAAKCAEAAAAAAAALBwEAAAAAAAAMBwEAAAAAAAANBwEAAAAAAAAOBgIDAAAAAAAPBgEAAAAAAAAARA4BAAAAAAAAAERPAgIAAAAAAABEgERBAAAAAAAABQkBAAAAAAAAAESARAICAAAAAAAAAAAAA==</t>
        </r>
      </text>
    </comment>
    <comment ref="B8" authorId="0">
      <text>
        <r>
          <rPr>
            <sz val="9"/>
            <color indexed="81"/>
            <rFont val="Tahoma"/>
            <family val="2"/>
          </rPr>
          <t>Insight iXlW00002C0000008R0841463012S00000012P01568LAocjBAQBF1NjaVRlZ2ljLmRhdGEuTW9sZWN1bGUBbQF/ARJTY2lUZWdpYy5Nb2xlY3VsZQAAAQFkAv5qAQAAAAIBAgEWGAAAAPz8APwAAgAAAAAAAPC/AgMJih9jriBAAqjoSC7/If+/AAAAABwAAAD8/AD8AAIAAAAAAADwvwIDCYofY+4hQAKrYFRSJ6DrvwAAAAAYAAAA/PwA/AACAAAAAAAA8L8CAwmKH2OuIEACb6MBvAUSzD8AAAAAGAAAAPz8APwAAgAAAAAAAPC/AgYSFD/GXBxAAm+jAbwFEsw/AAAAABwAAAD8/AD8AAIAAAAAAADwvwIGEhQ/xtwZQAKrYFRSJ6DrvwAAAAAYDAAA/PwA/AACAAAAAAAA8L8CBhIUP8ZcHEACqOhILv8h/78AAAAAGAAAAPz8APwAAgAAAAAAAPC/AgYSFD/G3BRAAqtgVFInoOu/AAAAACAAAAD8/AD8AAIAAAAAAADwvwLFILByaJETQAIvbqMBvAXWPwAAAAAgAAAA/PwA/AACAAAAAAAA8L8CM1UwKqlTEUACoyO5/If0+78AAAAAGAAAAPz8APwAAgAAAAAAAPC/AmWqYFRSpwhAAqMjufyH9Pu/AAAAABgAAAD8/AD8AAIAAAAAAADwvwK+MJkqGJUBQAKrYFRSJ6DrvwAAAAAYAAAA/PwA/AACAAAAAAAA8L8CB/AWSFD8/z8C0pFc/kP6AsAAAAAAGAAAAPz8APwAAgAAAAAAAPC/Aq+2Yn/ZPQtAAsIXJlMFowfAAAAAABgAAAD8/AD8AAIAAAAAAADwvwIGEhQ/xtwZQAJ90LNZ9TkIwAAAAAAgAAAA/PwA/AACAAAAAAAA8L8CDk+vlGUIFUAC/7J78rDQCsAAAAAAGAAAAPz8APwAAgAAAAAAAPC/As1dS8gHvRNAAnicoiO5PBLAAAAAABgAAAD8/AD8AAIAAAAAAADwvwKpNc07TtENQAKdoiO5/IcTwAAAAAAYAAAA/PwA/AACAAAAAAAA8L8CArwFEhS/BkACk8t/SL/9D8AAAAAAGAAAAPz8APwAAgAAAAAAAPC/AiNseHqlLPo/Au7rwDkjShHAAAAAABgAAAD8/AD8AAIAAAAAAADwvwKPU3Qkl//0PwLmriXkgx4WwAAAAAAYAAAA/PwA/AACAAAAAAAA8L8CbqMBvAWSAUACumsJ+aCnGcAAAAAAGAAAAPz8APwAAgAAAAAAAPC/Al8pyxDHOgtAApVliGNdXBjAAAAAAAEXAAQEAAAAAAAABAgEAAAAAAAACAwEAAAAAAAADBAEAAAAAAAAEBQEAAAAAAAAFAAEAAAAAAAAEBgEAAAAAAAAGBwIAAAAAAAAGCAEAAAAAAAAICQEAAAAAAAAJCgEAAAAAAAAJCwEAAAAAAAAJDAEAAAAAAAAFDQEFAAAAAAANDgEAAAAAAAAODwEAAAAAAAAPAEQBAAAAAAAAAEQAREIDAAAAAAAAREBEgQAAAAAAAABEgETCAgAAAAAAAETARQEAAAAAAAAARQBFQgIAAAAAAABFQEQBAAAAAAAAAAAAAA=</t>
        </r>
      </text>
    </comment>
    <comment ref="B9" authorId="0">
      <text>
        <r>
          <rPr>
            <sz val="9"/>
            <color indexed="81"/>
            <rFont val="Tahoma"/>
            <family val="2"/>
          </rPr>
          <t>Insight iXlW00002C0000009R0841463012S00000003P01036LAocjBAQBF1NjaVRlZ2ljLmRhdGEuTW9sZWN1bGUBbQF/ARJTY2lUZWdpYy5Nb2xlY3VsZQAAAQFkAv5qAQAAAAIBAjwYAAAA/PwA/AACAAAAAAAA8L8C5WGh1jTv8T8CzczMzMzM5D8AAAAAGAAAAPz8APwAAgAAAAAAAPC/AuVhodY07/o/Av32deCcEdU/AAAAABwAAAD8/AD8AAIAAAAAAADwvwLlYaHWNO/6PwKdoiO5/IfUvwAAAAAYAAAA/PwA/AACAAAAAAAA8L8CAAAAAAAA8j8CtTf4wmSq5L8AAAAAGAgAAPz8APwAAgAAAAAAAPC/AgAAAAAAAOI/Ap2iI7n8h9S/AAAAABgAAAD8/AD8AAIAAAAAAADwvwACzczMzMzM5L8AAAAAIAAAAPz8APwAAgAAAAAAAPC/AAJBguLHmLv0vwAAAAAcAAAA/PwA/AACAAAAAAAA8L8CAAAAAAAA4j8CzczMzMzM1D8AAAAAIAAAAPz8APwAAgAAAAAAAPC/AgAAAAAAAOK/As3MzMzMzNQ/AAAAABgAAAD8/AD8AAIAAAAAAADwvwJ0tRX7y+7xvwLNzMzMzMzkPwAAAAAYAAAA/PwA/AACAAAAAAAA8L8CdLUV+8vu+r8CNDMzMzMz7z8AAAAAGAAAAPz8APwAAgAAAAAAAPC/AnS1FfvL7vG/AkGC4seYu/Q/AAAAABgAAAD8/AD8AAIAAAAAAADwvwJ0tRX7y+76vwLNzMzMzMzUPwAAAAAYAAAA/PwA/AACAAAAAAAA8L8AAs3MzMzMzOQ/AAAAACAAAAD8/AD8AAIAAAAAAADwvwACQYLix5i79D8AAAAAPBwABAAAAAAAAAAEBAAAAAAAAAQIBAAAAAAAAAgMBAAAAAAAAAwQBAAAAAAAABAcBAAAAAAAABAUBBQAAAAAABQYBAAAAAAAABw0BAAAAAAAACAkBAAAAAAAACQoBAAAAAAAACQsBAAAAAAAACQwBAAAAAAAADQ4CAAAAAAAACA0BAAAAAAAAAAAAAA=</t>
        </r>
      </text>
    </comment>
    <comment ref="B10" authorId="0">
      <text>
        <r>
          <rPr>
            <sz val="9"/>
            <color indexed="81"/>
            <rFont val="Tahoma"/>
            <family val="2"/>
          </rPr>
          <t>Insight iXlW00002C0000010R0841463012S00000013P01644LAocjBAQBF1NjaVRlZ2ljLmRhdGEuTW9sZWN1bGUBbQF/ARJTY2lUZWdpYy5Nb2xlY3VsZQAAAQFkAv5qAQAAAAIBAgEXGAAAAPz8APwAAgAAAAAAAPC/AhWuR+F6FPK/AqRwPQrXowBAAAAAABwAAAD8/AD8AAIAAAAAAADwvwIVrkfhehTyvwJnZmZmZmbyPwAAAAAYAAAA/PwA/AACAAAAAAAA8L8CpHA9Ctej9D8Cw/UoXI/C5T8AAAAAHAAAAPz8APwAAgAAAAAAAPC/AlK4HoXrUQJAAs3MzMzMzNy/AAAAABgAAAD8/AD8AAIAAAAAAADwvwLD9Shcj8L1PwK5HoXrUbjOvwAAAAAYCAAA/PwA/AACAAAAAAAA8L8CexSuR+F61L8Cw/UoXI/C5T8AAAAAGAAAAPz8APwAAgAAAAAAAPC/Al2PwvUoXN8/AmdmZmZmZvI/AAAAABgAAAD8/AD8AAIAAAAAAADwvwIfhetRuB4BQAL2KFyPwvXwPwAAAAAgAAAA/PwA/AACAAAAAAAA8L8CC9ejcD0K/78CZ2ZmZmZmBEAAAAAAGAAAAPz8APwAAgAAAAAAAPC/Ailcj8L1KAZAAsP1KFyPwtU/AAAAACAAAAD8/AD8AAIAAAAAAADwvwJ7FK5H4XrUvwJSuB6F61EEQAAAAAAcAAAA/PwA/AACAAAAAAAA8L8CFa5H4XoU8r8CXI/C9Shc578AAAAAGAAAAPz8APwAAgAAAAAAAPC/AgAAAAAAAAbAArkehetRuABAAAAAABgAAAD8/AD8AAIAAAAAAADwvwJ7FK5H4XrUvwKkcD0K16PQvwAAAAAYAAAA/PwA/AACAAAAAAAA8L8CC9ejcD0K/78Cw/UoXI/C5T8AAAAAGAAAAPz8APwAAgAAAAAAAPC/AoXrUbgehQNAAjQzMzMzM/8/AAAAABgAAAD8/AD8AAIAAAAAAADwvwIL16NwPQr/vwKkcD0K16PQvwAAAAAYAAAA/PwA/AACAAAAAAAA8L8CcT0K16NwDUAC9ihcj8L14D8AAAAAGAAAAPz8APwAAgAAAAAAAPC/AlK4HoXrUQLAAs3MzMzMzPQ/AAAAABgAAAD8/AD8AAIAAAAAAADwvwKuR+F6FK4JwAJ7FK5H4Xr0PwAAAAAYAAAA/PwA/AACAAAAAAAA8L8CpHA9CtejDMACUrgehetRBEAAAAAAGAAAAPz8APwAAgAAAAAAAPC/AuJ6FK5H4QpAAgrXo3A9CgFAAAAAABgAAAD8/AD8AAIAAAAAAADwvwLXo3A9CtcPQAK5HoXrUbj2PwAAAAABGQQABAAAAAAAAAgYBAAAAAAAAAwQBAAAAAAAABAICAwAAAAAABQEBAAAAAAAABQYBBAAAAAAABwIBAAAAAAAACAABAAAAAAAACQcCAwAAAAAACgACAAAAAAAACwBEAQAAAAAAAAwIAQAAAAAAAA0FAQAAAAAAAA4BAQAAAAAAAA8HAQAAAAAAAABEDgEAAAAAAAAAREkBAAAAAAAAAESMAQAAAAAAAABEzAEAAAAAAAAARQwBAAAAAAAAAEVPAgIAAAAAAABFgEVBAAAAAAAADQsBAAAAAAAACQMBAAAAAAAAAEWAREICAAAAAAAAAAAAA==</t>
        </r>
      </text>
    </comment>
    <comment ref="B11" authorId="0">
      <text>
        <r>
          <rPr>
            <sz val="9"/>
            <color indexed="81"/>
            <rFont val="Tahoma"/>
            <family val="2"/>
          </rPr>
          <t>Insight iXlW00002C0000011R0841463012S00000007P01212LAocjBAQBF1NjaVRlZ2ljLmRhdGEuTW9sZWN1bGUBbQF/ARJTY2lUZWdpYy5Nb2xlY3VsZQAAAQFkAv5qAQAAAAIBAgERHAAAAPz8APwAAgAAAAAAAPC/AlK4HoXrUfC/AoXrUbgeheu/AAAAABgAAAD8/AD8AAIAAAAAAADwvwJSuB6F61HwvwL2KFyPwvXYPwAAAAAYDAAA/PwA/AACAAAAAAAA8L8C7FG4HoXrsT8C16NwPQrX978AAAAAGAAAAPz8APwAAgAAAAAAAPC/ApDC9Shcj/I/AtejcD0K1+u/AAAAACAAAAD8/AD8AAIAAAAAAADwvwL2KFyPwvUAwAJSuB6F61HwPwAAAAAgAAAA/PwA/AACAAAAAAAA8L8C7FG4HoXrsT8CKVyPwvUo8D8AAAAAHAAAAPz8APwAAgAAAAAAAPC/AlK4HoXrUfC/Ah+F61G4HgvAAAAAACAAAAD8/AD8AAIAAAAAAADwvwKQwvUoXI/yPwL2KFyPwvXYPwAAAAAYAAAA/PwA/AACAAAAAAAA8L8C4noUrkfhAMACUrgehetRAkAAAAAAGAAAAPz8APwAAgAAAAAAAPC/AuxRuB6F67E/AuxRuB6F6wXAAAAAABgAAAD8/AD8AAIAAAAAAADwvwL2KFyPwvUAwALXo3A9Ctf3vwAAAAAgAAAA/PwA/AACAAAAAAAA8L8C7FG4HoXrAUACAAAAAAAA+L8AAAAAGAAAAPz8APwAAgAAAAAAAPC/AvYoXI/C9QDAAuxRuB6F6wXAAAAAABgAAAD8/AD8AAIAAAAAAADwvwLNzMzMzMwKwAJxPQrXo3AFQAAAAAAYAAAA/PwA/AACAAAAAAAA8L8CXI/C9ShcBcACH4XrUbgeC0AAAAAAGAAAAPz8APwAAgAAAAAAAPC/Ailcj8L1KPC/AjQzMzMzMwdAAAAAABgAAAD8/AD8AAIAAAAAAADwvwKkcD0K16MKQAIpXI/C9SjsvwAAAAABEQQABAAAAAAAAAgABAAAAAAAAAgMBBQAAAAAABAEBAAAAAAAABQECAAAAAAAABgwBAAAAAAAABwMCAAAAAAAACAQBAAAAAAAACQIBAAAAAAAACgABAAAAAAAACwMBAAAAAAAADAoBAAAAAAAADQgBAAAAAAAADggBAAAAAAAADwgBAAAAAAAAAEQLAQAAAAAAAAYJAQAAAAAAAAAAAAA</t>
        </r>
      </text>
    </comment>
    <comment ref="B12" authorId="0">
      <text>
        <r>
          <rPr>
            <sz val="9"/>
            <color indexed="81"/>
            <rFont val="Tahoma"/>
            <family val="2"/>
          </rPr>
          <t>Insight iXlW00002C0000012R0841463012S00000011P01412LAocjBAQBF1NjaVRlZ2ljLmRhdGEuTW9sZWN1bGUBbQF/ARJTY2lUZWdpYy5Nb2xlY3VsZQAAAQFkAv5qAQAAAAIAAgEUHAAAAPz8APwAAgAAAAAAAPC/AqRwPQrXo/S/AgAAAAAAANC/AAAAABgAAAD8/AD8AAIAAAAAAADwvwKkcD0K16P0vwJI4XoUrkf5vwAAAAAYAAAA/PwA/AACAAAAAAAA8L8CKVyPwvUovL8CmpmZmZmZ2T8AAAAAGAAAAPz8APwAAgAAAAAAAPC/As3MzMzMzPA/AqRwPQrXo9C/AAAAACAAAAD8/AD8AAIAAAAAAADwvwJxPQrXo3ADwAIAAAAAAAACwAAAAAAgAAAA/PwA/AACAAAAAAAA8L8CrkfhehSuAUAC4noUrkfh2j8AAAAAIAAAAPz8APwAAgAAAAAAAPC/AsP1KFyPwsW/AtejcD0K1wHAAAAAACAAAAD8/AD8AAIAAAAAAADwvwLNzMzMzMzwPwKamZmZmZn5vwAAAAAcAAAA/PwA/AACAAAAAAAA8L8CUrgehetR9L8CSOF6FK5HA0AAAAAAGAAAAPz8APwAAgAAAAAAAPC/AnsUrkfhegzAAkjhehSuR/m/AAAAABgAAAD8/AD8AAIAAAAAAADwvwIL16NwPQoLQAKkcD0K16PQvwAAAAAYAAAA/PwA/AACAAAAAAAA8L8CKVyPwvUovL8ChetRuB6F+z8AAAAAGAAAAPz8APwAAgAAAAAAAPC/AjMzMzMzMwPAAuJ6FK5H4do/AAAAABgAAAD8/AD8AAIAAAAAAADwvwIzMzMzMzMDwALXo3A9Ctf7PwAAAAAYAAAA/PwA/AACAAAAAAAA8L8CAAAAAAAACMACH4XrUbge1b8AAAAAGAAAAPz8APwAAgAAAAAAAPC/AuxRuB6F6xLAAgAAAAAAAALAAAAAABgAAAD8/AD8AAIAAAAAAADwvwIAAAAAAAARwAL2KFyPwvXYvwAAAAAYAAAA/PwA/AACAAAAAAAA8L8CFa5H4XoUEkACPgrXo3A92j8AAAAAGAAAAPz8APwAAgAAAAAAAPC/AlyPwvUoXAdAAqRwPQrXo/i/AAAAABgAAAD8/AD8AAIAAAAAAADwvwLsUbgehesPQAIL16NwPQr3vwAAAAABFAQABAAAAAAAAAgABAAAAAAAAAwIBAAAAAAAABAEBAAAAAAAABQMBAAAAAAAABgECAAAAAAAABwMCAAAAAAAACA0BAAAAAAAACQQBAAAAAAAACgUBAAAAAAAACwIBAAAAAAAADAABAAAAAAAADQwBAAAAAAAADgkBAAAAAAAADwkBAAAAAAAAAEQJAQAAAAAAAABESgEAAAAAAAAARIoBAAAAAAAAAETKAQAAAAAAAAsIAQAAAAAAAAAAAAA</t>
        </r>
      </text>
    </comment>
    <comment ref="B13" authorId="0">
      <text>
        <r>
          <rPr>
            <sz val="9"/>
            <color indexed="81"/>
            <rFont val="Tahoma"/>
            <family val="2"/>
          </rPr>
          <t>Insight iXlW00002C0000013R0841463012S00000005P01228LAocjBAQBF1NjaVRlZ2ljLmRhdGEuTW9sZWN1bGUBbQF/ARJTY2lUZWdpYy5Nb2xlY3VsZQAAAQFkAv5qAQAAAAIBAgERHAAAAPz8APwAAgAAAAAAAPC/Aio6kst/SABAAka28/3UeOU/AAAAABgAAAD8/AD8AAIAAAAAAADwvwIqOpLLf0gAQAJm9+RhodbqvwAAAAAYDAAA/PwA/AACAAAAAAAA8L8CSOF6FK7HCkAC2IFzRpT29j8AAAAAGAAAAPz8APwAAgAAAAAAAPC/Ak7zjlN0JOc/AtiBc0aU9vY/AAAAACAAAAD8/AD8AAIAAAAAAADwvwJO845TdCTnPwISNjy9Upb5vwAAAAAgAAAA/PwA/AACAAAAAAAA8L8CSOF6FK7HCkACEjY8vVKW+b8AAAAAGAAAAPz8APwAAgAAAAAAAPC/AkjhehSuxwpAAlfsL7snjwdAAAAAABgAAAD8/AD8AAIAAAAAAADwvwIIzhlR2psSQAJGtvP91HjlPwAAAAAYAAAA/PwA/AACAAAAAAAA8L8CTvOOU3Qk5z8CV+wvuyePB0AAAAAAGAAAAPz8APwAAgAAAAAAAPC/AqW9wRcmU+O/Amb35GGh1uq/AAAAABwAAAD8/AD8AAIAAAAAAADwvwIqOpLLf0gAQAKGyVTBqKQNQAAAAAAYAAAA/PwA/AACAAAAAAAA8L8CjgbwFkhQ/78CEjY8vVKW+b8AAAAAGAAAAPz8APwAAgAAAAAAAPC/AkjhehSuxwrAAmb35GGh1uq/AAAAABgAAAD8/AD8AAIAAAAAAADwvwKOBvAWSFD/vwK+wRcmUwUJwAAAAAAYAAAA/PwA/AACAAAAAAAA8L8CCM4ZUdqbEsACEjY8vVKW+b8AAAAAGAAAAPz8APwAAgAAAAAAAPC/AkjhehSuxwrAAonS3uALEw/AAAAAABgAAAD8/AD8AAIAAAAAAADwvwIIzhlR2psSwAK+wRcmUwUJwAAAAAABEgAEBAAAAAAAAAAIBAAAAAAAAAAMBAAAAAAAAAQQBAAAAAAAAAQUCAAAAAAAAAgYBAAAAAAAAAgcBBQAAAAAAAwgBAAAAAAAABAkBAAAAAAAABgoBAAAAAAAACQsBAAAAAAAACwwBAAAAAAAACw0CAwAAAAAADA4CAgAAAAAADQ8BAAAAAAAADgBEAQAAAAAAAAgKAQAAAAAAAA8ARAICAAAAAAAAAAAAA==</t>
        </r>
      </text>
    </comment>
    <comment ref="B14" authorId="0">
      <text>
        <r>
          <rPr>
            <sz val="9"/>
            <color indexed="81"/>
            <rFont val="Tahoma"/>
            <family val="2"/>
          </rPr>
          <t>Insight iXlW00002C0000014R0841463012S00000010P01432LAocjBAQBF1NjaVRlZ2ljLmRhdGEuTW9sZWN1bGUBbQF/ARJTY2lUZWdpYy5Nb2xlY3VsZQAAAQFkAv5qAQAAAAIBAgEUHAAAAPz8APwAAgAAAAAAAPC/AuxRuB6F6/G/Ah+F61G4HtU/AAAAABgMAAD8/AD8AAIAAAAAAADwvwJdj8L1KFzfvwJnZmZmZmbmPwAAAAAYAAAA/PwA/AACAAAAAAAA8L8C7FG4HoXr8b8CUrgehetR2L8AAAAAGAAAAPz8APwAAgAAAAAAAPC/AqRwPQrXo8A/Ah+F61G4HtU/AAAAACAAAAD8/AD8AAIAAAAAAADwvwIAAAAAAAD8vwIAAAAAAADovwAAAAAgAAAA/PwA/AACAAAAAAAA8L8CAAAAAAAA4L8CAAAAAAAA6L8AAAAAHAAAAPz8APwAAgAAAAAAAPC/AuxRuB6F6/G/Ah+F61G4Hv0/AAAAACAAAAD8/AD8AAIAAAAAAADwvwK5HoXrUbi+PwL2KFyPwvXYvwAAAAAYAAAA/PwA/AACAAAAAAAA8L8CXY/C9Shc378CNDMzMzMz9z8AAAAAGAAAAPz8APwAAgAAAAAAAPC/AtejcD0K1/u/AmdmZmZmZuY/AAAAABgAAAD8/AD8AAIAAAAAAADwvwLiehSuR+ECwAKuR+F6FK7XvwAAAAAgAAAA/PwA/AACAAAAAAAA8L8CUrgehetR6D8Cw/UoXI/C5T8AAAAAGAAAAPz8APwAAgAAAAAAAPC/AuxRuB6F6wfAAgvXo3A9Cue/AAAAABgAAAD8/AD8AAIAAAAAAADwvwLXo3A9Ctf7vwI0MzMzMzP3PwAAAAAYAAAA/PwA/AACAAAAAAAA8L8CFa5H4XoU9j8C16NwPQrX0z8AAAAAGAAAAPz8APwAAgAAAAAAAPC/AvYoXI/C9QzAAmdmZmZmZta/AAAAABgAAAD8/AD8AAIAAAAAAADwvwLsUbgehesHwAJcj8L1KFz3vwAAAAAYAAAA/PwA/AACAAAAAAAA8L8C9ihcj8L1EMACC9ejcD0K578AAAAAGAAAAPz8APwAAgAAAAAAAPC/AgvXo3A9Cg3AAh+F61G4Hv2/AAAAABgAAAD8/AD8AAIAAAAAAADwvwL2KFyPwvUQwAKuR+F6FK73vwAAAAABFQQABAAAAAAAAAgABAAAAAAAAAQMBBAAAAAAABAIBAAAAAAAABQICAAAAAAAABg0BAAAAAAAABwMCAAAAAAAACAEBAAAAAAAACQABAAAAAAAACgQBAAAAAAAACwMBAAAAAAAADAoBAAAAAAAADQkBAAAAAAAADgsBAAAAAAAADwwCAwAAAAAAAEQMAQAAAAAAAABETwEAAAAAAAAARIBEAgIAAAAAAABEwESBAAAAAAAABggBAAAAAAAAAETAREICAAAAAAAAAAAAA==</t>
        </r>
      </text>
    </comment>
    <comment ref="B15" authorId="0">
      <text>
        <r>
          <rPr>
            <sz val="9"/>
            <color indexed="81"/>
            <rFont val="Tahoma"/>
            <family val="2"/>
          </rPr>
          <t>Insight iXlW00002C0000015R0841463012S00000014P01052LAocjBAQBF1NjaVRlZ2ljLmRhdGEuTW9sZWN1bGUBbQF/ARJTY2lUZWdpYy5Nb2xlY3VsZQAAAQFkAv5qAQAAAAIAAjgYAAAA/AQA/AACAAAAAAAA8L8CZMxdS8gH+b8CCRueXinL+D8AAAAAGAAAAPwEAPwAAgAAAAAAAPC/AsiYu5aQD/m/AvmgZ7Pqc+s/AAAAABgAAAD8BAD8AAIAAAAAAADwvwIa4lgXt1EBwAKgibDh6ZXgPwAAAAAYAAAA/AgA/AACAAAAAAAA8L8CUrgehetR6r8CCawcWmQ72z8AAAAAGAAAAPwIAPwAAgAAAAAAAPC/AlK4HoXrUeq/ArYV+8vuydu/AAAAABgAAAD8CAD8AAIAAAAAAADwvwJd/kP67euwvwISNjy9UpbrvwAAAAAgAAAA/AgA/AACAAAAAAAA8L8CAAAAAAAAsL8CCRueXinL+L8AAAAAHAAAAPwIAPwAAgAAAAAAAPC/AlFrmnecouU/ArYV+8vuydu/AAAAABgAAAD8BAD8AAIAAAAAAADwvwLD9Shcj8L2PwISNjy9UpbrvwAAAAAYAAAA/AQA/AACAAAAAAAA8L8CGuJYF7dRAUACthX7y+7J278AAAAAHAAAAPwEAPwAAgAAAAAAAPC/AhriWBe3UQFAAgmsHFpkO9s/AAAAABgAAAD8BAD8AAIAAAAAAADwvwLD9Shcj8L2PwJxPQrXo3DrPwAAAAAYAAAA/AgA/AACAAAAAAAA8L8CUWuad5yi5T8CCawcWmQ72z8AAAAAHAAAAPwIAPwAAgAAAAAAAPC/Al3+Q/rt67C/AnE9CtejcOs/AAAAADwABAQAAAAAAAAECAQAAAAAAAAEDAQAAAAAAAAMEAgMBAAAAAAQFAQABAAAAAAUGAgAAAAAAAAUHAQABAAAAAAcIAQABAAAAAAgJAQABAAAAAAkKAQABAAAAAAoLAQABAAAAAAsMAQABAAAAAAwHAQABAAAAAAwNAgMBAAAAAA0DAQABAAAAAAAAAEAAAAAAAAAAAAAAAAAAAAAAAAAAAA=</t>
        </r>
      </text>
    </comment>
    <comment ref="B16" authorId="0">
      <text>
        <r>
          <rPr>
            <sz val="9"/>
            <color indexed="81"/>
            <rFont val="Tahoma"/>
            <family val="2"/>
          </rPr>
          <t>Insight iXlW00002C0000016R0841463012S00000015P01264LAocjBAQBF1NjaVRlZ2ljLmRhdGEuTW9sZWN1bGUBbQF/ARJTY2lUZWdpYy5Nb2xlY3VsZQAAAQFkAv5qAQAAAAIAAgERIAAAAPwIAPwAAgAAAAAAAPC/AtIA3gIJitc/AqhXyjLEsfw/AAAAABgAAAD8CAD8AAIAAAAAAADwvwL/snvysFDXPwKCc0aU9gbyPwAAAAAYAAAA/AgA/AACAAAAAAAA8L8CdSSX/5B+178CFvvL7snD5j8AAAAAGAAAAPwIAPwAAgAAAAAAAPC/AnUkl/+Qfte/AuPHmLuWkL+/AAAAABwAAAD8CAD8AAIAAAAAAADwvwL/snvysFDXPwLNXUvIBz3hvwAAAAAYAAAA/AgA/AACAAAAAAAA8L8CdEaU9gZf8T8C48eYu5aQv78AAAAAGAAAAPwEAPwAAgAAAAAAAPC/AiigibDh6fw/As1dS8gHPeG/AAAAABwAAAD8BAD8AAIAAAAAAADwvwImUwWjkjoEQALjx5i7lpC/vwAAAAAYAAAA/AQA/AACAAAAAAAA8L8CJlMFo5I6BEACFvvL7snD5j8AAAAAGAAAAPwEAPwAAgAAAAAAAPC/AiigibDh6fw/AoJzRpT2BvI/AAAAABwAAAD8CAD8AAIAAAAAAADwvwJ0RpT2Bl/xPwIW+8vuycPmPwAAAAAYAAAA/AgA/AACAAAAAAAA8L8CIUHxY8xd8b8CKjqSy39I4b8AAAAAGAAAAPwIAPwAAgAAAAAAAPC/Avyp8dJNYvG/AmHl0CLb+fW/AAAAABgAAAD8CAD8AAIAAAAAAADwvwLSkVz+Q/r8vwKoV8oyxLH8vwAAAAAYAAAA/AgA/AACAAAAAAAA8L8CuR6F61E4BMAC/Rhz1xLy9b8AAAAAGAAAAPwIAPwAAgAAAAAAAPC/AiZTBaOSOgTAAmKh1jTvOOG/AAAAABwAAAD8CAD8AAIAAAAAAADwvwKMbOf7qfH8vwJdj8L1KFy/vwAAAAABEwAECAAAAAAAAAQIBAAEAAAAAAgMCAgEAAAAAAwQBAAEAAAAABAUCAwEAAAAABQYBAAEAAAAABgcBAAEAAAAABwgBAAEAAAAACAkBAAEAAAAACQoBAAEAAAAACgEBAAEAAAAACgUBAAEAAAAAAwsBAAAAAAAACwwCAwEBAAAADA0BAAEBAAAADQ4CAgEBAAAADg8BAAEBAAAADwBEAgIBAQAAAABECwEAAQEAAAAAAABAAAAAAAAAAAAAAAAAAAAAAAAAAAA</t>
        </r>
      </text>
    </comment>
    <comment ref="B17" authorId="0">
      <text>
        <r>
          <rPr>
            <sz val="9"/>
            <color indexed="81"/>
            <rFont val="Tahoma"/>
            <family val="2"/>
          </rPr>
          <t>Insight iXlW00002C0000017R0841463012S00000021P00700LAocjBAQBF1NjaVRlZ2ljLmRhdGEuTW9sZWN1bGUBbQF/ARJTY2lUZWdpYy5Nb2xlY3VsZQAAAQFkAv5qAQAAAAIAAiQYAAAA/PwA/AACAAAAAAAA8L8C1LzjFB3JtT8CT9GRXP5D2j8AAAAAHAAAAPz8APwAAgAAAAAAAPC/AtS84xQdybU/Ak/RkVz+Q9q/AAAAABgAAAD8/AD8AAIAAAAAAADwvwKhZ7Pqc7XrPwJO845TdCTlPwAAAAAYAAAA/PwA/AACAAAAAAAA8L8CTRWMSuoE5L8CoYmw4emV6j8AAAAAGAAAAPz8APwAAgAAAAAAAPC/AqFns+pztes/Ak7zjlN0JOW/AAAAABgAAAD8/AD8AAIAAAAAAADwvwJNFYxK6gTkvwKhibDh6ZXqvwAAAAAYAAAA/PwA/AACAAAAAAAA8L8CtFn1udqK9T8CexSuR+F6hD8AAAAAHAAAAPz8APwAAgAAAAAAAPC/ArRZ9bnaivW/Ak/RkVz+Q9o/AAAAABgAAAD8/AD8AAIAAAAAAADwvwK0WfW52or1vwJP0ZFc/kPavwAAAAAoAAQEAAAAAAAAAAgICAAAAAAAAAwEAAAAAAAABBAEAAAAAAAABBQEAAAAAAAACBgEAAAAAAAADBwEAAAAAAAAFCAEAAAAAAAAEBgICAAAAAAAHCAEAAAAAAAAAAAAAA==</t>
        </r>
      </text>
    </comment>
    <comment ref="B18" authorId="0">
      <text>
        <r>
          <rPr>
            <sz val="9"/>
            <color indexed="81"/>
            <rFont val="Tahoma"/>
            <family val="2"/>
          </rPr>
          <t>Insight iXlW00002C0000018R0841463012S00000018P00700LAocjBAQBF1NjaVRlZ2ljLmRhdGEuTW9sZWN1bGUBbQF/ARJTY2lUZWdpYy5Nb2xlY3VsZQAAAQFkAv5qAQAAAAIAAiQcAAAA/PwA/AACAAAAAAAA8L8CutqK/WV3CEACAAAAAAAACEAAAAAAGAAAAPz8APwAAgAAAAAAAPC/ApchjnVxG/o/AmmR7Xw/tQtAAAAAABwAAAD8/AD8AAIAAAAAAADwvwKXIY51cRv6PwIv3SQGgZXwPwAAAAAYAAAA/PwA/AACAAAAAAAA8L8CAAAAAAAA6D8CAAAAAAAAAkAAAAAAGAAAAPz8APwAAgAAAAAAAPC/Arraiv1ldwhAAgAAAAAAAPg/AAAAABwAAAD8/AD8AAIAAAAAAADwvwKOdXEbDaAWQAIAAAAAAAD4PwAAAAAYAAAA/PwA/AACAAAAAAAA8L8CdnEbDeBtEUACAAAAAAAA6D8AAAAAGAAAAPz8APwAAgAAAAAAAPC/AnZxGw3gbRFAAgAAAAAAAA5AAAAAABgAAAD8/AD8AAIAAAAAAADwvwKOdXEbDaAWQAIAAAAAAAAIQAAAAAAoBAAEAAAAAAAACBAICAAAAAAADAQICAAAAAAAEAAEAAAAAAAAFCAEAAAAAAAAGBAEAAAAAAAAHAAEAAAAAAAAIBwEAAAAAAAAGBQEAAAAAAAADAgEAAAAAAAAAAAAAA==</t>
        </r>
      </text>
    </comment>
    <comment ref="B19" authorId="0">
      <text>
        <r>
          <rPr>
            <sz val="9"/>
            <color indexed="81"/>
            <rFont val="Tahoma"/>
            <family val="2"/>
          </rPr>
          <t>Insight iXlW00002C0000019R0841463012S00000020P00700LAocjBAQBF1NjaVRlZ2ljLmRhdGEuTW9sZWN1bGUBbQF/ARJTY2lUZWdpYy5Nb2xlY3VsZQAAAQFkAv5qAQAAAAIAAiQcAAAA/PwA/AACAAAAAAAA8L8CRdjw9EoZE0ACL90kBoGV8D8AAAAAGAAAAPz8APwAAgAAAAAAAPC/Ao51cRsNoBZAAgAAAAAAAAJAAAAAABwAAAD8/AD8AAIAAAAAAADwvwJF2PD0ShkTQAJpke18P7ULQAAAAAAYAAAA/PwA/AACAAAAAAAA8L8CMQisHFpkAEACAAAAAAAA6D8AAAAAGAAAAPz8APwAAgAAAAAAAPC/AgAAAAAAAOg/AgAAAAAAAPg/AAAAABwAAAD8/AD8AAIAAAAAAADwvwIAAAAAAADoPwIAAAAAAAAIQAAAAAAYAAAA/PwA/AACAAAAAAAA8L8CMQisHFpkAEACAAAAAAAADkAAAAAAGAAAAPz8APwAAgAAAAAAAPC/ApvmHafoyApAAgAAAAAAAAhAAAAAABwAAAD8/AD8AAIAAAAAAADwvwKb5h2n6MgKQAIAAAAAAAD4PwAAAAAoAAQICAAAAAAAACAEAAAAAAAABAgEAAAAAAAACBwIDAAAAAAADBAEAAAAAAAADCAEAAAAAAAAEBQEAAAAAAAAFBgEAAAAAAAAGBwEAAAAAAAAHCAEAAAAAAAAAAAAAA==</t>
        </r>
      </text>
    </comment>
    <comment ref="B20" authorId="0">
      <text>
        <r>
          <rPr>
            <sz val="9"/>
            <color indexed="81"/>
            <rFont val="Tahoma"/>
            <family val="2"/>
          </rPr>
          <t>Insight iXlW00002C0000020R0841463012S00000019P00688LAocjBAQBF1NjaVRlZ2ljLmRhdGEuTW9sZWN1bGUBbQF/ARJTY2lUZWdpYy5Nb2xlY3VsZQAAAQFkAv5qAQAAAAIAAiQcAAAA/PwA/AACAAAAAAAA8L8CSb99HThntD8CZ2ZmZmZm2j8AAAAAGAAAAPz8APwAAgAAAAAAAPC/Ao4G8BZIUOS/AmdmZmZmZuo/AAAAABgAAAD8/AD8AAIAAAAAAADwvwIRNjy9Upb1vwJnZmZmZmbaPwAAAAAcAAAA/PwA/AACAAAAAAAA8L8CETY8vVKW9b8CZ2ZmZmZm2r8AAAAAGAAAAPz8APwAAgAAAAAAAPC/Ao4G8BZIUOS/AmdmZmZmZuq/AAAAABgAAAD8/AD8AAIAAAAAAADwvwJJv30dOGe0PwJnZmZmZmbavwAAAAAYAAAA/PwA/AACAAAAAAAA8L8CgNk9eVio6z8CejarPldb5b8AAAAAHAAAAPz8APwAAgAAAAAAAPC/AhE2PL1SlvU/AAAAAAAcAAAA/PwA/AACAAAAAAAA8L8CgNk9eVio6z8CejarPldb5T8AAAAAKAAEBAAAAAAAAAQIBAAAAAAAAAgMBAAAAAAAAAwQBAAAAAAAABAUBAAAAAAAAAAUBAAAAAAAABQYCAwAAAAAABgcBAAAAAAAABwgCAgAAAAAAAAgBAAAAAAAAAAAAAA=</t>
        </r>
      </text>
    </comment>
    <comment ref="B21" authorId="0">
      <text>
        <r>
          <rPr>
            <sz val="9"/>
            <color indexed="81"/>
            <rFont val="Tahoma"/>
            <family val="2"/>
          </rPr>
          <t>Insight iXlW00002C0000021R0841463012S00000026P00828LAocjBAQBF1NjaVRlZ2ljLmRhdGEuTW9sZWN1bGUBbQF/ARJTY2lUZWdpYy5Nb2xlY3VsZQAAAQFkAv5qAQAAAAIAAiwYAAAA/PwA/AACAAAAAAAA8L8C3pOHhVrT6r8CtoR80LNZ3T8AAAAAGAAAAPz8APwAAgAAAAAAAPC/AtKRXP5D+vi/Aq36XG3F/qI/AAAAABwAAAD8/AD8AAIAAAAAAADwvwLSkVz+Q/r4vwL0/dR46SbpvwAAAAAYAAAA/PwA/AACAAAAAAAA8L8C3pOHhVrT6r8Cw2SqYFRS878AAAAAHAAAAPz8APwAAgAAAAAAAPC/Aru4jQbwFsC/Aq36XG3F/qI/AAAAABgAAAD8/AD8AAIAAAAAAADwvwK7uI0G8BbAvwL0/dR46SbpvwAAAAAYAAAA/PwA/AACAAAAAAAA8L8CZMxdS8gH5T8CZTvfT42X8L8AAAAAHAAAAPz8APwAAgAAAAAAAPC/AtNNYhBYOfI/AocW2c73U9e/AAAAABgAAAD8/AD8AAIAAAAAAADwvwJkzF1LyAflPwI830+Nl27SPwAAAAAYAAAA/PwA/AACAAAAAAAA8L8C3iQGgZVD7T8CEqW9wRcm8T8AAAAAGAAAAPz8APwAAgAAAAAAAPC/AtKRXP5D+vg/AsNkqmBUUvM/AAAAADAUDAQAAAAAAAAQAAQAAAAAAAAABAQAAAAAAAAECAQAAAAAAAAIDAQAAAAAAAAQFAQAAAAAAAAUGAgMAAAAAAAYHAQAAAAAAAAcIAgIAAAAAAAgEAQAAAAAAAAgJAQAAAAAAAAkKAQAAAAAAAAAAAAA</t>
        </r>
      </text>
    </comment>
    <comment ref="B22" authorId="0">
      <text>
        <r>
          <rPr>
            <sz val="9"/>
            <color indexed="81"/>
            <rFont val="Tahoma"/>
            <family val="2"/>
          </rPr>
          <t>Insight iXlW00002C0000022R0841463012S00000027P00896LAocjBAQBF1NjaVRlZ2ljLmRhdGEuTW9sZWN1bGUBbQF/ARJTY2lUZWdpYy5Nb2xlY3VsZQAAAQFkAv5qAQAAAAIAAjAYAAAA/PwA/AACAAAAAAAA8L8CiIVa07zj6r8ClkOLbOf70T8AAAAAGAAAAPz8APwAAgAAAAAAAPC/ArfRAN4CCfm/AuomMQisHMK/AAAAABwAAAD8/AD8AAIAAAAAAADwvwK30QDeAgn5vwIhsHJoke3uvwAAAAAYAAAA/PwA/AACAAAAAAAA8L8CiIVa07zj6r8C001iEFg59r8AAAAAHAAAAPz8APwAAgAAAAAAAPC/AlTjpZvEIMC/AuomMQisHMK/AAAAABgAAAD8/AD8AAIAAAAAAADwvwJU46WbxCDAvwIhsHJoke3uvwAAAAAYAAAA/PwA/AACAAAAAAAA8L8CpAG8BRIU5T8CsHJoke18878AAAAAHAAAAPz8APwAAgAAAAAAAPC/Ak7RkVz+Q/I/ArprCfmgZ+G/AAAAABgAAAD8/AD8AAIAAAAAAADwvwKkAbwFEhTlPwIpXI/C9Si8PwAAAAAYAAAA/PwA/AACAAAAAAAA8L8CTMgHPZtV7T8C097gC5Op7D8AAAAAGAAAAPz8APwAAgAAAAAAAPC/ArfRAN4CCfk/Am40gLdAgvA/AAAAABgAAAD8/AD8AAIAAAAAAADwvwJnZmZmZmbePwLTTWIQWDn2PwAAAAA0FAwEAAAAAAAAEAAEAAAAAAAAAAQEAAAAAAAABAgEAAAAAAAACAwEAAAAAAAAEBQEAAAAAAAAFBgIDAAAAAAAGBwEAAAAAAAAHCAICAAAAAAAIBAEAAAAAAAAICQEAAAAAAAAJCgEAAAAAAAAJCwEAAAAAAAAAAAAAA==</t>
        </r>
      </text>
    </comment>
    <comment ref="B23" authorId="0">
      <text>
        <r>
          <rPr>
            <sz val="9"/>
            <color indexed="81"/>
            <rFont val="Tahoma"/>
            <family val="2"/>
          </rPr>
          <t>Insight iXlW00002C0000023R0841463012S00000016P01104LAocjBAQBF1NjaVRlZ2ljLmRhdGEuTW9sZWN1bGUBbQF/ARJTY2lUZWdpYy5Nb2xlY3VsZQAAAQFkAv5qAQAAAAIAAjwYAAAA/PwA/AACAAAAAAAA8L8C++3rwDkj7D8CE/JBz2bV5z8AAAAAHAAAAPz8APwAAgAAAAAAAPC/AltCPujZrN6/ArCUZYhjXfM/AAAAABgAAAD8/AD8AAIAAAAAAADwvwLJ5T+k3770PwIGEhQ/xtzjvwAAAAAYAAAA/PwA/AACAAAAAAAA8L8Cf4y5awn5+z8CY3/ZPXlY/j8AAAAAGAAAAPz8APwAAgAAAAAAAPC/AonS3uALk92/Avp+arx0EwVAAAAAABgAAAD8/AD8AAIAAAAAAADwvwIoDwu1pnn7vwLx9EpZhjjgPwAAAAAYAAAA/PwA/AACAAAAAAAA8L8CBqOSOgFN1D8CTmIQWDm0+r8AAAAAGAAAAPz8APwAAgAAAAAAAPC/AtxoAG+BhAVAAoGVQ4ts5+2/AAAAABwAAAD8/AD8AAIAAAAAAADwvwLFjzF3LSHtPwLc14FzRpQIQAAAAAAYAAAA/PwA/AACAAAAAAAA8L8CP1dbsb/s+r8ChQ1Pr5TlCkAAAAAAGAAAAPz8APwAAgAAAAAAAPC/Atlfdk8elgfAApF++zpwzvM/AAAAABgAAAD8/AD8AAIAAAAAAADwvwIbL90kBoHnPwItsp3vp0YIwAAAAAAYAAAA/PwA/AACAAAAAAAA8L8Ci/1l9+ThCEACJZf/kH57AsAAAAAAHAAAAPz8APwAAgAAAAAAAPC/AiQofoy5awfAAm3n+6nxUgVAAAAAABgAAAD8/AD8AAIAAAAAAADwvwL6fmq8dBMBQAKFDU+vlOUKwAAAAAABEQAEBAAAAAAAAAAIBAAAAAAAAAAMCAgAAAAAAAQQBAAAAAAAAAQUBAAAAAAAAAgYCAwAAAAAAAgcBAAAAAAAAAwgBAAAAAAAABAkBAAAAAAAABQoBAAAAAAAABgsBAAAAAAAABwwCAgAAAAAACQ0BAAAAAAAACw4CAgAAAAAABAgCAgAAAAAACg0BAAAAAAAADA4BAAAAAAAAAAAAAA=</t>
        </r>
      </text>
    </comment>
    <comment ref="B24" authorId="0">
      <text>
        <r>
          <rPr>
            <sz val="9"/>
            <color indexed="81"/>
            <rFont val="Tahoma"/>
            <family val="2"/>
          </rPr>
          <t>Insight iXlW00002C0000024R0841463012S00000017P01172LAocjBAQBF1NjaVRlZ2ljLmRhdGEuTW9sZWN1bGUBbQF/ARJTY2lUZWdpYy5Nb2xlY3VsZQAAAQFkAv5qAQAAAAIAAgEQHAAAAPz8APwAAgAAAAAAAPC/Atbnaiv2l/q/Al1txf6ye+o/AAAAABgAAAD8/AD8AAIAAAAAAADwvwJCz2bV52rTvwIT8kHPZtXXPwAAAAAYAAAA/PwA/AACAAAAAAAA8L8C5fIf0m9f+r8COrTIdr4fAkAAAAAAGAAAAPz8APwAAgAAAAAAAPC/Au58PzVeOgfAAuNYF7fRAL4/AAAAABgAAAD8/AD8AAIAAAAAAADwvwL4U+Olm8TAPwL5MeauJeTvvwAAAAAYAAAA/PwA/AACAAAAAAAA8L8CnoAmwoan4T8C4umVsgxx+D8AAAAAHAAAAPz8APwAAgAAAAAAAPC/AoDZPXlYqNG/ApqZmZmZmQVAAAAAABgAAAD8/AD8AAIAAAAAAADwvwLufD81XjoHwAIGEhQ/xtwHQAAAAAAYAAAA/PwA/AACAAAAAAAA8L8CoBov3SSGEMACXW3F/rJ76j8AAAAAGAAAAPz8APwAAgAAAAAAAPC/AuLplbIMcfg/AkZHcvkP6fS/AAAAABwAAAD8/AD8AAIAAAAAAADwvwKgGi/dJIYQwAL99nXgnBECQAAAAAAYAAAA/PwA/AACAAAAAAAA8L8CtaZ5xyk6/z8CJzEIrBxaBcAAAAAAGAAAAPz8APwAAgAAAAAAAPC/AoiFWtO84wNAAvJjzF1LyM+/AAAAABgAAAD8/AD8AAIAAAAAAADwvwLQ1VbsL7sKQAIGEhQ/xtwHwAAAAAAYAAAA/PwA/AACAAAAAAAA8L8Cu7iNBvAWD0ACf2q8dJMY4r8AAAAAGAAAAPz8APwAAgAAAAAAAPC/AnDwhclUQRFAAkw3iUFg5f6/AAAAAAESAAQEAAAAAAAAAAgEAAAAAAAAAAwEAAAAAAAABBAEAAAAAAAABBQICAAAAAAACBgICAAAAAAACBwEAAAAAAAADCAEAAAAAAAAECQEAAAAAAAAHCgEAAAAAAAAJCwIDAAAAAAAJDAEAAAAAAAALDQEAAAAAAAAMDgICAAAAAAANDwICAAAAAAAFBgEAAAAAAAAICgEAAAAAAAAODwEAAAAAAAAAAAAAA==</t>
        </r>
      </text>
    </comment>
    <comment ref="B25" authorId="0">
      <text>
        <r>
          <rPr>
            <sz val="9"/>
            <color indexed="81"/>
            <rFont val="Tahoma"/>
            <family val="2"/>
          </rPr>
          <t>Insight iXlW00002C0000025R0841463012S00000025P00764LAocjBAQBF1NjaVRlZ2ljLmRhdGEuTW9sZWN1bGUBbQF/ARJTY2lUZWdpYy5Nb2xlY3VsZQAAAQFkAv5qAQAAAAIAAigYAAAA/PwA/AACAAAAAAAA8L8CRPrt68C5AEACduCcEaW9AsAAAAAAGAAAAPz8APwAAgAAAAAAAPC/AiQofoy5a/s/AsZtNIC3QPO/AAAAABwAAAD8/AD8AAIAAAAAAADwvwJL6gQ0EbYEQALCFyZTBaOSPwAAAAAcAAAA/PwA/AACAAAAAAAA8L8CJCh+jLlr+z8Cxm00gLdA8z8AAAAAGAAAAPz8APwAAgAAAAAAAPC/ApeQD3o2q9I/AuxRuB6F6+c/AAAAABgAAAD8/AD8AAIAAAAAAADwvwJe3EYDeAvwvwJL6gQ0ETb4PwAAAAAcAAAA/PwA/AACAAAAAAAA8L8CoBov3SSGAsAC7FG4HoXr5z8AAAAAGAAAAPz8APwAAgAAAAAAAPC/AqAaL90khgLAAuxRuB6F6+e/AAAAABgAAAD8/AD8AAIAAAAAAADwvwJe3EYDeAvwvwJL6gQ0ETb4vwAAAAAcAAAA/PwA/AACAAAAAAAA8L8Cl5APejar0j8C7FG4HoXr578AAAAALAAEBAAAAAAAAAQICAwAAAAAAAgMBAAAAAAAAAwQCAwAAAAAABAUBAAAAAAAABQYBAAAAAAAABgcBAAAAAAAABwgBAAAAAAAACAkBAAAAAAAACQEBAAAAAAAACQQBAAAAAAAAAAAAAA=</t>
        </r>
      </text>
    </comment>
    <comment ref="B26" authorId="0">
      <text>
        <r>
          <rPr>
            <sz val="9"/>
            <color indexed="81"/>
            <rFont val="Tahoma"/>
            <family val="2"/>
          </rPr>
          <t>Insight iXlW00002C0000026R0841463012S00000022P00896LAocjBAQBF1NjaVRlZ2ljLmRhdGEuTW9sZWN1bGUBbQF/ARJTY2lUZWdpYy5Nb2xlY3VsZQAAAQFkAv5qAQAAAAIAAjAcAAAA/PwA/AACAAAAAAAA8L8C/DpwzoiSFUACGCZTBaMSCMAAAAAAHAAAAPz8APwAAgAAAAAAAPC/An0/NV66CRJAArTIdr6fGgDAAAAAABgAAAD8/AD8AAIAAAAAAADwvwLtnjws1FoSQAJsmnecoqMGwAAAAAAcAAAA/PwA/AACAAAAAAAA8L8CPL1SliEOFUACOGdEaW/w+r8AAAAAGAAAAPz8APwAAgAAAAAAAPC/AgU0ETY8PRdAArprCfmgZwLAAAAAABwAAAD8/AD8AAIAAAAAAADwvwIHgZVDiywcQAKyv+yePCwIwAAAAAAYAAAA/PwA/AACAAAAAAAA8L8CvAUSFD/GD0AC/Yf029cBC8AAAAAAGAAAAPz8APwAAgAAAAAAAPC/AoQvTKYKhhpAAgCRfvs6cALAAAAAABgAAAD8/AD8AAIAAAAAAADwvwLb+X5qvDQXQAJIUPwYc9cNwAAAAAAYAAAA/PwA/AACAAAAAAAA8L8C4ZwRpb2BGkACVp+rrdjfDcAAAAAAGAAAAPz8APwAAgAAAAAAAPC/AsWxLm6jgQlAAnE9Ctej8AjAAAAAABgAAAD8/AD8AAIAAAAAAADwvwIE54wo7Y0QQAKUh4Va07wQwAAAAAA0BAgICAAAAAAACAAEAAAAAAAADBAICAAAAAAAEAAEAAAAAAAAFCQEAAAAAAAAGAgEAAAAAAAAHBAEAAAAAAAAIAAEAAAAAAAAJCAEAAAAAAAAKBgEAAAAAAAALBgEAAAAAAAAFBwEAAAAAAAABAwEAAAAAAAAAAAAAA==</t>
        </r>
      </text>
    </comment>
    <comment ref="B27" authorId="0">
      <text>
        <r>
          <rPr>
            <sz val="9"/>
            <color indexed="81"/>
            <rFont val="Tahoma"/>
            <family val="2"/>
          </rPr>
          <t>Insight iXlW00002C0000027R0841463012S00000023P00960LAocjBAQBF1NjaVRlZ2ljLmRhdGEuTW9sZWN1bGUBbQF/ARJTY2lUZWdpYy5Nb2xlY3VsZQAAAQFkAv5qAQAAAAIAAjQcAAAA/PwA/AACAAAAAAAA8L8CAAAAAACACcAC9wZfmEwVCsAAAAAAGAAAAPz8APwAAgAAAAAAAPC/AgAAAAAAgAnAArraiv1l9w7AAAAAABgAAAD8/AD8AAIAAAAAAADwvwLtDb4wmSoFwAIzMzMzM7MQwAAAAAAcAAAA/PwA/AACAAAAAAAA8L8CZ2ZmZmbmAMACutqK/WX3DsAAAAAAGAAAAPz8APwAAgAAAAAAAPC/AmdmZmZm5gDAAvcGX5hMFQrAAAAAABgAAAD8/AD8AAIAAAAAAADwvwLtDb4wmSoFwAKn6Egu/6EHwAAAAAAcAAAA/PwA/AACAAAAAAAA8L8CPN9PjZdu+L8CXW3F/rI7EMAAAAAAGAAAAPz8APwAAgAAAAAAAPC/As3MzMzMzPK/AqOSOgFNhAzAAAAAABwAAAD8/AD8AAIAAAAAAADwvwI830+Nl274vwKamZmZmZkIwAAAAAAYAAAA/PwA/AACAAAAAAAA8L8CdLUV+8vu4b8C/Yf029eBDMAAAAAAJAAAAPz8APwAAgAAAAAAAPC/AhiV1AloItC/Av5l9+RhYRDAAAAAACQAAAD8/AD8AAIAAAAAAADwvwJseHqlLEPQvwKRD3o2qz4IwAAAAAAkAAAA/PwA/AACAAAAAAAA8L8CHeviNhrAqz8C/Yf029eBDMAAAAAAOAAEBAAAAAAAAAQIBAAAAAAAAAgMBAAAAAAAAAwQBAAAAAAAABAUBAAAAAAAAAAUBAAAAAAAABAgCAgAAAAAAAwYBAAAAAAAABgcCAgAAAAAABwgBAAAAAAAABwkBAAAAAAAACQoBAAAAAAAACQsBAAAAAAAACQwBAAAAAAAAAAAAAA=</t>
        </r>
      </text>
    </comment>
    <comment ref="B28" authorId="0">
      <text>
        <r>
          <rPr>
            <sz val="9"/>
            <color indexed="81"/>
            <rFont val="Tahoma"/>
            <family val="2"/>
          </rPr>
          <t>Insight iXlW00002C0000028R0841463012S00000024P01024LAocjBAQBF1NjaVRlZ2ljLmRhdGEuTW9sZWN1bGUBbQF/ARJTY2lUZWdpYy5Nb2xlY3VsZQAAAQFkAv5qAQAAAAIAAjgcAAAA/PwA/AACAAAAAAAA8L8CoKut2F92+78CAAAAAAAA/D8AAAAAGAAAAPz8APwAAgAAAAAAAPC/AqCrrdhfdvu/ApqZmZmZme0/AAAAABgAAAD8/AD8AAIAAAAAAADwvwL99nXgnBHwvwKdoiO5/IfgPwAAAAAYAAAA/PwA/AACAAAAAAAA8L8C/fZ14JwR8L8C2xt8YTJVAUAAAAAAGAAAAPz8APwAAgAAAAAAAPC/AjC7Jw8LtdK/AgAAAAAAAPw/AAAAABwAAAD8/AD8AAIAAAAAAADwvwL0bFZ9rrbSvwKDwMqhRbbtPwAAAAAYAAAA/PwA/AACAAAAAAAA8L8C7uvAOSNK3z8CETY8vVKW5T8AAAAAHAAAAPz8APwAAgAAAAAAAPC/AvAWSFD8GO8/AunZrPpcbfU/AAAAABwAAAD8/AD8AAIAAAAAAADwvwLu68A5I0rfPwIs9pfdkwcAQAAAAAAYAAAA/PwA/AACAAAAAAAA8L8CW0I+6Nms7D8CMzMzMzMzo78AAAAAIAAAAPz8APwAAgAAAAAAAPC/Arfz/dR46d4/AuhqK/aX3ee/AAAAACAAAAD8/AD8AAIAAAAAAADwvwIRWDm0yHb7PwICTYQNT6+kvwAAAAAYAAAA/PwA/AACAAAAAAAA8L8CDXGsi9to7D8CT9GRXP5D978AAAAAGAAAAPz8APwAAgAAAAAAAPC/AoNRSZ2AJt4/AhPyQc9mVQHAAAAAADwECAQAAAAAAAAIFAQAAAAAAAAUGAQAAAAAAAAYHAgIAAAAAAAcIAQAAAAAAAAgEAgMAAAAAAAYJAQAAAAAAAAQDAQAAAAAAAAQFAQAAAAAAAAkKAQAAAAAAAAkLAgAAAAAAAAABAQAAAAAAAAoMAQAAAAAAAAADAQAAAAAAAAwNAQAAAAAAAAAAAAA</t>
        </r>
      </text>
    </comment>
  </commentList>
</comments>
</file>

<file path=xl/sharedStrings.xml><?xml version="1.0" encoding="utf-8"?>
<sst xmlns="http://schemas.openxmlformats.org/spreadsheetml/2006/main" count="11972" uniqueCount="2949">
  <si>
    <t>Location</t>
  </si>
  <si>
    <t>bromide or amine</t>
  </si>
  <si>
    <t>calc_Smiles</t>
  </si>
  <si>
    <t># Carbons</t>
  </si>
  <si>
    <t># Carbons, sp3</t>
  </si>
  <si>
    <t>Fraction C sp3</t>
  </si>
  <si>
    <t># non-H atoms</t>
  </si>
  <si>
    <t>Heteroatoms (non H, nonC)</t>
  </si>
  <si>
    <t># ONS atoms</t>
  </si>
  <si>
    <t># Ns</t>
  </si>
  <si>
    <t># Aromatic Rings</t>
  </si>
  <si>
    <t># H-bond Acceptors</t>
  </si>
  <si>
    <t># H-bond Donors</t>
  </si>
  <si>
    <t>cLogP</t>
  </si>
  <si>
    <t>TPSA</t>
  </si>
  <si>
    <t>Rotatable bonds</t>
  </si>
  <si>
    <t xml:space="preserve">MW, high &gt;250 </t>
  </si>
  <si>
    <t>MW, mid</t>
  </si>
  <si>
    <t>MW, low &gt;200</t>
  </si>
  <si>
    <t>Nitrogens, High (&gt;=4)</t>
  </si>
  <si>
    <t>Nitrogens, low (&lt;=1)</t>
  </si>
  <si>
    <t>H-Bond Donors (&gt;=2)</t>
  </si>
  <si>
    <t>H-Bond Donors (1)</t>
  </si>
  <si>
    <t>H-Bond Donors (0)</t>
  </si>
  <si>
    <t>H-Bond Acceptors (&gt;=4)</t>
  </si>
  <si>
    <t>H-Bond Acceptors (1 to 3)</t>
  </si>
  <si>
    <t>H-Bond Acceptors (0)</t>
  </si>
  <si>
    <t>clogP low</t>
  </si>
  <si>
    <t>clogP mid</t>
  </si>
  <si>
    <t>clogP high</t>
  </si>
  <si>
    <t>TPSA low</t>
  </si>
  <si>
    <t>TPSA mid</t>
  </si>
  <si>
    <t>TPSA high</t>
  </si>
  <si>
    <t>Hinderance</t>
  </si>
  <si>
    <t>Hinderance, binding</t>
  </si>
  <si>
    <t>Hinderance, non binding</t>
  </si>
  <si>
    <t>5 MR Heterocycles</t>
  </si>
  <si>
    <t>6 MR Heterocycles</t>
  </si>
  <si>
    <t>Alcohols</t>
  </si>
  <si>
    <t>Aldehydes</t>
  </si>
  <si>
    <t>Alkenes</t>
  </si>
  <si>
    <t>Alkynes</t>
  </si>
  <si>
    <t>Amides (all)</t>
  </si>
  <si>
    <t>Anilines (all)</t>
  </si>
  <si>
    <t>Carbamates</t>
  </si>
  <si>
    <t>Carboxylic acids</t>
  </si>
  <si>
    <t>Esters</t>
  </si>
  <si>
    <t>Guanidines</t>
  </si>
  <si>
    <t>Imides</t>
  </si>
  <si>
    <t>Ketones</t>
  </si>
  <si>
    <t>Nitriles</t>
  </si>
  <si>
    <t>Nitro groups</t>
  </si>
  <si>
    <t>Phenols</t>
  </si>
  <si>
    <t>Sulfides</t>
  </si>
  <si>
    <t>Sulfonamides</t>
  </si>
  <si>
    <t>Sulfones</t>
  </si>
  <si>
    <t>Tertiary amines</t>
  </si>
  <si>
    <t>Ureas</t>
  </si>
  <si>
    <t>Amides- NH2</t>
  </si>
  <si>
    <t>Amides- NHR</t>
  </si>
  <si>
    <t>Anilines- NHR</t>
  </si>
  <si>
    <t>Remote 6 MR Heterocycles (Br only)</t>
  </si>
  <si>
    <t>2-pyridyl-type 6 MR heterocycles (Br only)</t>
  </si>
  <si>
    <t>3/4-pyridyl-type 6 MR heterocycles (Br only)</t>
  </si>
  <si>
    <t>N-O, N-S Bond</t>
  </si>
  <si>
    <t>5 MR NH Heterocycles</t>
  </si>
  <si>
    <t>5 MR NH Heterocycles 1N</t>
  </si>
  <si>
    <t>5 MR NH Heterocycles &gt;1N</t>
  </si>
  <si>
    <t>5MR NX Heterocycles</t>
  </si>
  <si>
    <t>5MR Heterocycles no NH</t>
  </si>
  <si>
    <t>Piperazines  (amines only)</t>
  </si>
  <si>
    <t xml:space="preserve">Piperazines N-Alkyl </t>
  </si>
  <si>
    <t xml:space="preserve">Piperazines N-Carbonyl </t>
  </si>
  <si>
    <t xml:space="preserve">Piperazines N-Het </t>
  </si>
  <si>
    <t>Piperazines N-Aryl</t>
  </si>
  <si>
    <t>Pd MALDI Product Intensity</t>
  </si>
  <si>
    <t>Pd MALDI Internal Standard Intensity</t>
  </si>
  <si>
    <t>Cu MS TIC x TWC</t>
  </si>
  <si>
    <t>Cu MALDI Product Intensity</t>
  </si>
  <si>
    <t>Cu MALDI Internal Standard Intensity</t>
  </si>
  <si>
    <t>Ru MS TIC x TWC</t>
  </si>
  <si>
    <t>Ru MALDI Product Intensity</t>
  </si>
  <si>
    <t>Ru MALDI Internal Standard Intensity</t>
  </si>
  <si>
    <t>Ir MS TIC x TWC</t>
  </si>
  <si>
    <t>Ir MALDI Product Intensity</t>
  </si>
  <si>
    <t>Ir MALDI Internal Standard Intensity</t>
  </si>
  <si>
    <t>A:1</t>
  </si>
  <si>
    <t>bromide</t>
  </si>
  <si>
    <t>B:1</t>
  </si>
  <si>
    <t>C:1</t>
  </si>
  <si>
    <t>D:1</t>
  </si>
  <si>
    <t>E:1</t>
  </si>
  <si>
    <t>F:1</t>
  </si>
  <si>
    <t>G:1</t>
  </si>
  <si>
    <t>H:1</t>
  </si>
  <si>
    <t>I:1</t>
  </si>
  <si>
    <t>J:1</t>
  </si>
  <si>
    <t>K:1</t>
  </si>
  <si>
    <t>L:1</t>
  </si>
  <si>
    <t>M:1</t>
  </si>
  <si>
    <t>N:1</t>
  </si>
  <si>
    <t>O:1</t>
  </si>
  <si>
    <t>P:1</t>
  </si>
  <si>
    <t>A:2</t>
  </si>
  <si>
    <t>B:2</t>
  </si>
  <si>
    <t>C:2</t>
  </si>
  <si>
    <t>D:2</t>
  </si>
  <si>
    <t>E:2</t>
  </si>
  <si>
    <t>F:2</t>
  </si>
  <si>
    <t>G:2</t>
  </si>
  <si>
    <t>H:2</t>
  </si>
  <si>
    <t>I:2</t>
  </si>
  <si>
    <t>J:2</t>
  </si>
  <si>
    <t>K:2</t>
  </si>
  <si>
    <t>L:2</t>
  </si>
  <si>
    <t>M:2</t>
  </si>
  <si>
    <t>N:2</t>
  </si>
  <si>
    <t>O:2</t>
  </si>
  <si>
    <t>P:2</t>
  </si>
  <si>
    <t>A:3</t>
  </si>
  <si>
    <t>B:3</t>
  </si>
  <si>
    <t>C:3</t>
  </si>
  <si>
    <t>D:3</t>
  </si>
  <si>
    <t>E:3</t>
  </si>
  <si>
    <t>F:3</t>
  </si>
  <si>
    <t>G:3</t>
  </si>
  <si>
    <t>H:3</t>
  </si>
  <si>
    <t>I:3</t>
  </si>
  <si>
    <t>J:3</t>
  </si>
  <si>
    <t>K:3</t>
  </si>
  <si>
    <t>L:3</t>
  </si>
  <si>
    <t>M:3</t>
  </si>
  <si>
    <t>N:3</t>
  </si>
  <si>
    <t>O:3</t>
  </si>
  <si>
    <t>P:3</t>
  </si>
  <si>
    <t>A:4</t>
  </si>
  <si>
    <t>B:4</t>
  </si>
  <si>
    <t>C:4</t>
  </si>
  <si>
    <t>D:4</t>
  </si>
  <si>
    <t>E:4</t>
  </si>
  <si>
    <t>F:4</t>
  </si>
  <si>
    <t>G:4</t>
  </si>
  <si>
    <t>H:4</t>
  </si>
  <si>
    <t>I:4</t>
  </si>
  <si>
    <t>J:4</t>
  </si>
  <si>
    <t>K:4</t>
  </si>
  <si>
    <t>L:4</t>
  </si>
  <si>
    <t>M:4</t>
  </si>
  <si>
    <t>N:4</t>
  </si>
  <si>
    <t>O:4</t>
  </si>
  <si>
    <t>P:4</t>
  </si>
  <si>
    <t>A:5</t>
  </si>
  <si>
    <t>B:5</t>
  </si>
  <si>
    <t>C:5</t>
  </si>
  <si>
    <t>D:5</t>
  </si>
  <si>
    <t>E:5</t>
  </si>
  <si>
    <t>F:5</t>
  </si>
  <si>
    <t>G:5</t>
  </si>
  <si>
    <t>H:5</t>
  </si>
  <si>
    <t>I:5</t>
  </si>
  <si>
    <t>J:5</t>
  </si>
  <si>
    <t>K:5</t>
  </si>
  <si>
    <t>L:5</t>
  </si>
  <si>
    <t>M:5</t>
  </si>
  <si>
    <t>N:5</t>
  </si>
  <si>
    <t>O:5</t>
  </si>
  <si>
    <t>P:5</t>
  </si>
  <si>
    <t>A:6</t>
  </si>
  <si>
    <t>B:6</t>
  </si>
  <si>
    <t>C:6</t>
  </si>
  <si>
    <t>D:6</t>
  </si>
  <si>
    <t>E:6</t>
  </si>
  <si>
    <t>F:6</t>
  </si>
  <si>
    <t>G:6</t>
  </si>
  <si>
    <t>H:6</t>
  </si>
  <si>
    <t>I:6</t>
  </si>
  <si>
    <t>J:6</t>
  </si>
  <si>
    <t>K:6</t>
  </si>
  <si>
    <t>L:6</t>
  </si>
  <si>
    <t>M:6</t>
  </si>
  <si>
    <t>N:6</t>
  </si>
  <si>
    <t>O:6</t>
  </si>
  <si>
    <t>P:6</t>
  </si>
  <si>
    <t>A:7</t>
  </si>
  <si>
    <t>B:7</t>
  </si>
  <si>
    <t>C:7</t>
  </si>
  <si>
    <t>D:7</t>
  </si>
  <si>
    <t>E:7</t>
  </si>
  <si>
    <t>F:7</t>
  </si>
  <si>
    <t>G:7</t>
  </si>
  <si>
    <t>H:7</t>
  </si>
  <si>
    <t>I:7</t>
  </si>
  <si>
    <t>J:7</t>
  </si>
  <si>
    <t>K:7</t>
  </si>
  <si>
    <t>L:7</t>
  </si>
  <si>
    <t>M:7</t>
  </si>
  <si>
    <t>N:7</t>
  </si>
  <si>
    <t>O:7</t>
  </si>
  <si>
    <t>P:7</t>
  </si>
  <si>
    <t>A:8</t>
  </si>
  <si>
    <t>B:8</t>
  </si>
  <si>
    <t>C:8</t>
  </si>
  <si>
    <t>D:8</t>
  </si>
  <si>
    <t>E:8</t>
  </si>
  <si>
    <t>F:8</t>
  </si>
  <si>
    <t>G:8</t>
  </si>
  <si>
    <t>H:8</t>
  </si>
  <si>
    <t>I:8</t>
  </si>
  <si>
    <t>J:8</t>
  </si>
  <si>
    <t>K:8</t>
  </si>
  <si>
    <t>L:8</t>
  </si>
  <si>
    <t>M:8</t>
  </si>
  <si>
    <t>N:8</t>
  </si>
  <si>
    <t>O:8</t>
  </si>
  <si>
    <t>P:8</t>
  </si>
  <si>
    <t>A:9</t>
  </si>
  <si>
    <t>B:9</t>
  </si>
  <si>
    <t>C:9</t>
  </si>
  <si>
    <t>D:9</t>
  </si>
  <si>
    <t>E:9</t>
  </si>
  <si>
    <t>F:9</t>
  </si>
  <si>
    <t>G:9</t>
  </si>
  <si>
    <t>H:9</t>
  </si>
  <si>
    <t>I:9</t>
  </si>
  <si>
    <t>J:9</t>
  </si>
  <si>
    <t>K:9</t>
  </si>
  <si>
    <t>L:9</t>
  </si>
  <si>
    <t>M:9</t>
  </si>
  <si>
    <t>N:9</t>
  </si>
  <si>
    <t>O:9</t>
  </si>
  <si>
    <t>P:9</t>
  </si>
  <si>
    <t>A:10</t>
  </si>
  <si>
    <t>B:10</t>
  </si>
  <si>
    <t>C:10</t>
  </si>
  <si>
    <t>D:10</t>
  </si>
  <si>
    <t>E:10</t>
  </si>
  <si>
    <t>F:10</t>
  </si>
  <si>
    <t>G:10</t>
  </si>
  <si>
    <t>H:10</t>
  </si>
  <si>
    <t>I:10</t>
  </si>
  <si>
    <t>J:10</t>
  </si>
  <si>
    <t>K:10</t>
  </si>
  <si>
    <t>L:10</t>
  </si>
  <si>
    <t>M:10</t>
  </si>
  <si>
    <t>N:10</t>
  </si>
  <si>
    <t>O:10</t>
  </si>
  <si>
    <t>P:10</t>
  </si>
  <si>
    <t>A:11</t>
  </si>
  <si>
    <t>B:11</t>
  </si>
  <si>
    <t>C:11</t>
  </si>
  <si>
    <t>D:11</t>
  </si>
  <si>
    <t>E:11</t>
  </si>
  <si>
    <t>F:11</t>
  </si>
  <si>
    <t>G:11</t>
  </si>
  <si>
    <t>H:11</t>
  </si>
  <si>
    <t>I:11</t>
  </si>
  <si>
    <t>K:11</t>
  </si>
  <si>
    <t>L:11</t>
  </si>
  <si>
    <t>M:11</t>
  </si>
  <si>
    <t>N:11</t>
  </si>
  <si>
    <t>O:11</t>
  </si>
  <si>
    <t>P:11</t>
  </si>
  <si>
    <t>A:12</t>
  </si>
  <si>
    <t>B:12</t>
  </si>
  <si>
    <t>C:12</t>
  </si>
  <si>
    <t>D:12</t>
  </si>
  <si>
    <t>E:12</t>
  </si>
  <si>
    <t>F:12</t>
  </si>
  <si>
    <t>G:12</t>
  </si>
  <si>
    <t>H:12</t>
  </si>
  <si>
    <t>I:12</t>
  </si>
  <si>
    <t>J:12</t>
  </si>
  <si>
    <t>K:12</t>
  </si>
  <si>
    <t>L:12</t>
  </si>
  <si>
    <t>M:12</t>
  </si>
  <si>
    <t>N:12</t>
  </si>
  <si>
    <t>O:12</t>
  </si>
  <si>
    <t>P:12</t>
  </si>
  <si>
    <t>A:13</t>
  </si>
  <si>
    <t>amine</t>
  </si>
  <si>
    <t>B:13</t>
  </si>
  <si>
    <t>C:13</t>
  </si>
  <si>
    <t>D:13</t>
  </si>
  <si>
    <t>E:13</t>
  </si>
  <si>
    <t>F:13</t>
  </si>
  <si>
    <t>G:13</t>
  </si>
  <si>
    <t>H:13</t>
  </si>
  <si>
    <t>I:13</t>
  </si>
  <si>
    <t>J:13</t>
  </si>
  <si>
    <t>K:13</t>
  </si>
  <si>
    <t>L:13</t>
  </si>
  <si>
    <t>M:13</t>
  </si>
  <si>
    <t>N:13</t>
  </si>
  <si>
    <t>O:13</t>
  </si>
  <si>
    <t>P:13</t>
  </si>
  <si>
    <t>A:14</t>
  </si>
  <si>
    <t>B:14</t>
  </si>
  <si>
    <t>C:14</t>
  </si>
  <si>
    <t>D:14</t>
  </si>
  <si>
    <t>E:14</t>
  </si>
  <si>
    <t>F:14</t>
  </si>
  <si>
    <t>G:14</t>
  </si>
  <si>
    <t>H:14</t>
  </si>
  <si>
    <t>I:14</t>
  </si>
  <si>
    <t>J:14</t>
  </si>
  <si>
    <t>K:14</t>
  </si>
  <si>
    <t>L:14</t>
  </si>
  <si>
    <t>M:14</t>
  </si>
  <si>
    <t>N:14</t>
  </si>
  <si>
    <t>O:14</t>
  </si>
  <si>
    <t>P:14</t>
  </si>
  <si>
    <t>A:15</t>
  </si>
  <si>
    <t>B:15</t>
  </si>
  <si>
    <t>C:15</t>
  </si>
  <si>
    <t>D:15</t>
  </si>
  <si>
    <t>E:15</t>
  </si>
  <si>
    <t>F:15</t>
  </si>
  <si>
    <t>G:15</t>
  </si>
  <si>
    <t>H:15</t>
  </si>
  <si>
    <t>I:15</t>
  </si>
  <si>
    <t>J:15</t>
  </si>
  <si>
    <t>K:15</t>
  </si>
  <si>
    <t>L:15</t>
  </si>
  <si>
    <t>M:15</t>
  </si>
  <si>
    <t>N:15</t>
  </si>
  <si>
    <t>O:15</t>
  </si>
  <si>
    <t>P:15</t>
  </si>
  <si>
    <t>A:16</t>
  </si>
  <si>
    <t>B:16</t>
  </si>
  <si>
    <t>C:16</t>
  </si>
  <si>
    <t>D:16</t>
  </si>
  <si>
    <t>E:16</t>
  </si>
  <si>
    <t>F:16</t>
  </si>
  <si>
    <t>G:16</t>
  </si>
  <si>
    <t>H:16</t>
  </si>
  <si>
    <t>I:16</t>
  </si>
  <si>
    <t>J:16</t>
  </si>
  <si>
    <t>K:16</t>
  </si>
  <si>
    <t>L:16</t>
  </si>
  <si>
    <t>M:16</t>
  </si>
  <si>
    <t>N:16</t>
  </si>
  <si>
    <t>O:16</t>
  </si>
  <si>
    <t>P:16</t>
  </si>
  <si>
    <t>A:17</t>
  </si>
  <si>
    <t>B:17</t>
  </si>
  <si>
    <t>C:17</t>
  </si>
  <si>
    <t>D:17</t>
  </si>
  <si>
    <t>E:17</t>
  </si>
  <si>
    <t>F:17</t>
  </si>
  <si>
    <t>G:17</t>
  </si>
  <si>
    <t>H:17</t>
  </si>
  <si>
    <t>I:17</t>
  </si>
  <si>
    <t>J:17</t>
  </si>
  <si>
    <t>K:17</t>
  </si>
  <si>
    <t>L:17</t>
  </si>
  <si>
    <t>M:17</t>
  </si>
  <si>
    <t>N:17</t>
  </si>
  <si>
    <t>O:17</t>
  </si>
  <si>
    <t>P:17</t>
  </si>
  <si>
    <t>A:18</t>
  </si>
  <si>
    <t>B:18</t>
  </si>
  <si>
    <t>C:18</t>
  </si>
  <si>
    <t>D:18</t>
  </si>
  <si>
    <t>E:18</t>
  </si>
  <si>
    <t>F:18</t>
  </si>
  <si>
    <t>G:18</t>
  </si>
  <si>
    <t>H:18</t>
  </si>
  <si>
    <t>I:18</t>
  </si>
  <si>
    <t>J:18</t>
  </si>
  <si>
    <t>K:18</t>
  </si>
  <si>
    <t>L:18</t>
  </si>
  <si>
    <t>M:18</t>
  </si>
  <si>
    <t>N:18</t>
  </si>
  <si>
    <t>O:18</t>
  </si>
  <si>
    <t>P:18</t>
  </si>
  <si>
    <t>A:19</t>
  </si>
  <si>
    <t>B:19</t>
  </si>
  <si>
    <t>C:19</t>
  </si>
  <si>
    <t>D:19</t>
  </si>
  <si>
    <t>E:19</t>
  </si>
  <si>
    <t>F:19</t>
  </si>
  <si>
    <t>G:19</t>
  </si>
  <si>
    <t>H:19</t>
  </si>
  <si>
    <t>I:19</t>
  </si>
  <si>
    <t>J:19</t>
  </si>
  <si>
    <t>K:19</t>
  </si>
  <si>
    <t>L:19</t>
  </si>
  <si>
    <t>M:19</t>
  </si>
  <si>
    <t>N:19</t>
  </si>
  <si>
    <t>O:19</t>
  </si>
  <si>
    <t>P:19</t>
  </si>
  <si>
    <t>A:20</t>
  </si>
  <si>
    <t>B:20</t>
  </si>
  <si>
    <t>C:20</t>
  </si>
  <si>
    <t>D:20</t>
  </si>
  <si>
    <t>E:20</t>
  </si>
  <si>
    <t>F:20</t>
  </si>
  <si>
    <t>G:20</t>
  </si>
  <si>
    <t>H:20</t>
  </si>
  <si>
    <t>I:20</t>
  </si>
  <si>
    <t>J:20</t>
  </si>
  <si>
    <t>K:20</t>
  </si>
  <si>
    <t>L:20</t>
  </si>
  <si>
    <t>M:20</t>
  </si>
  <si>
    <t>N:20</t>
  </si>
  <si>
    <t>O:20</t>
  </si>
  <si>
    <t>P:20</t>
  </si>
  <si>
    <t>A:21</t>
  </si>
  <si>
    <t>B:21</t>
  </si>
  <si>
    <t>C:21</t>
  </si>
  <si>
    <t>D:21</t>
  </si>
  <si>
    <t>E:21</t>
  </si>
  <si>
    <t>F:21</t>
  </si>
  <si>
    <t>G:21</t>
  </si>
  <si>
    <t>H:21</t>
  </si>
  <si>
    <t>I:21</t>
  </si>
  <si>
    <t>J:21</t>
  </si>
  <si>
    <t>K:21</t>
  </si>
  <si>
    <t>L:21</t>
  </si>
  <si>
    <t>M:21</t>
  </si>
  <si>
    <t>N:21</t>
  </si>
  <si>
    <t>O:21</t>
  </si>
  <si>
    <t>P:21</t>
  </si>
  <si>
    <t>A:22</t>
  </si>
  <si>
    <t>B:22</t>
  </si>
  <si>
    <t>C:22</t>
  </si>
  <si>
    <t>D:22</t>
  </si>
  <si>
    <t>E:22</t>
  </si>
  <si>
    <t>F:22</t>
  </si>
  <si>
    <t>G:22</t>
  </si>
  <si>
    <t>H:22</t>
  </si>
  <si>
    <t>I:22</t>
  </si>
  <si>
    <t>J:22</t>
  </si>
  <si>
    <t>K:22</t>
  </si>
  <si>
    <t>L:22</t>
  </si>
  <si>
    <t>M:22</t>
  </si>
  <si>
    <t>N:22</t>
  </si>
  <si>
    <t>O:22</t>
  </si>
  <si>
    <t>P:22</t>
  </si>
  <si>
    <t>A:23</t>
  </si>
  <si>
    <t>B:23</t>
  </si>
  <si>
    <t>C:23</t>
  </si>
  <si>
    <t>D:23</t>
  </si>
  <si>
    <t>E:23</t>
  </si>
  <si>
    <t>F:23</t>
  </si>
  <si>
    <t>H:23</t>
  </si>
  <si>
    <t>I:23</t>
  </si>
  <si>
    <t>J:23</t>
  </si>
  <si>
    <t>K:23</t>
  </si>
  <si>
    <t>L:23</t>
  </si>
  <si>
    <t>M:23</t>
  </si>
  <si>
    <t>N:23</t>
  </si>
  <si>
    <t>O:23</t>
  </si>
  <si>
    <t>P:23</t>
  </si>
  <si>
    <t>A:24</t>
  </si>
  <si>
    <t>B:24</t>
  </si>
  <si>
    <t>C:24</t>
  </si>
  <si>
    <t>D:24</t>
  </si>
  <si>
    <t>E:24</t>
  </si>
  <si>
    <t>F:24</t>
  </si>
  <si>
    <t>G:24</t>
  </si>
  <si>
    <t>H:24</t>
  </si>
  <si>
    <t>I:24</t>
  </si>
  <si>
    <t>J:24</t>
  </si>
  <si>
    <t>K:24</t>
  </si>
  <si>
    <t>L:24</t>
  </si>
  <si>
    <t>M:24</t>
  </si>
  <si>
    <t>N:24</t>
  </si>
  <si>
    <t>O:24</t>
  </si>
  <si>
    <t>P:24</t>
  </si>
  <si>
    <t>CHEMISTRY</t>
  </si>
  <si>
    <t>1:A</t>
  </si>
  <si>
    <t>Chemistry 0</t>
  </si>
  <si>
    <t>OCCCCc1ccccc1</t>
  </si>
  <si>
    <t>1:B</t>
  </si>
  <si>
    <t>Chemistry 1</t>
  </si>
  <si>
    <t>CCCCCCCC(C)O</t>
  </si>
  <si>
    <t>1:C</t>
  </si>
  <si>
    <t>Chemistry 2</t>
  </si>
  <si>
    <t>CC(C)CCCC(C)(C)O</t>
  </si>
  <si>
    <t>1:D</t>
  </si>
  <si>
    <t>Chemistry 3</t>
  </si>
  <si>
    <t>Cc1ccc(O)cc1</t>
  </si>
  <si>
    <t>1:E</t>
  </si>
  <si>
    <t>Chemistry 4</t>
  </si>
  <si>
    <t>Cc1cccc(C)c1O</t>
  </si>
  <si>
    <t>1:F</t>
  </si>
  <si>
    <t>Chemistry 5</t>
  </si>
  <si>
    <t>Oc1ccc(cc1)C(F)(F)F</t>
  </si>
  <si>
    <t>1:G</t>
  </si>
  <si>
    <t>Chemistry 6</t>
  </si>
  <si>
    <t>COc1ccc(O)cc1</t>
  </si>
  <si>
    <t>1:H</t>
  </si>
  <si>
    <t>Chemistry 7</t>
  </si>
  <si>
    <t>FC(F)(F)c1ccc(S)cc1</t>
  </si>
  <si>
    <t>1:I</t>
  </si>
  <si>
    <t>Chemistry 8</t>
  </si>
  <si>
    <t>CC(C)c1ccc(S)cc1</t>
  </si>
  <si>
    <t>1:J</t>
  </si>
  <si>
    <t>Chemistry 9</t>
  </si>
  <si>
    <t>COc1ccc(S)cc1</t>
  </si>
  <si>
    <t>1:K</t>
  </si>
  <si>
    <t>Chemistry 10</t>
  </si>
  <si>
    <t>CCCCCCCCC=O</t>
  </si>
  <si>
    <t>1:L</t>
  </si>
  <si>
    <t>Chemistry 11</t>
  </si>
  <si>
    <t>O=CC1CCCCC1</t>
  </si>
  <si>
    <t>1:M</t>
  </si>
  <si>
    <t>Chemistry 12</t>
  </si>
  <si>
    <t>O=Cc1ccccc1</t>
  </si>
  <si>
    <t>1:N</t>
  </si>
  <si>
    <t>Chemistry 13</t>
  </si>
  <si>
    <t>O=C1CCCCC1</t>
  </si>
  <si>
    <t>1:O</t>
  </si>
  <si>
    <t>Chemistry 14</t>
  </si>
  <si>
    <t>CCCC(=O)CCC</t>
  </si>
  <si>
    <t>1:P</t>
  </si>
  <si>
    <t>Chemistry 15</t>
  </si>
  <si>
    <t>CC(C)C(=O)C(C)C</t>
  </si>
  <si>
    <t>2:A</t>
  </si>
  <si>
    <t>Chemistry 16</t>
  </si>
  <si>
    <t>O=C1CCCc2ccccc12</t>
  </si>
  <si>
    <t>2:B</t>
  </si>
  <si>
    <t>Chemistry 17</t>
  </si>
  <si>
    <t>O=C(c1ccccc1)c2ccccc2</t>
  </si>
  <si>
    <t>2:C</t>
  </si>
  <si>
    <t>Chemistry 18</t>
  </si>
  <si>
    <t>CC(=O)c1ccccc1</t>
  </si>
  <si>
    <t>2:D</t>
  </si>
  <si>
    <t>Chemistry 19</t>
  </si>
  <si>
    <t>CC(C)(C)OC(=O)NO</t>
  </si>
  <si>
    <t>2:E</t>
  </si>
  <si>
    <t>Chemistry 20</t>
  </si>
  <si>
    <t>OC(=O)C1CCCC1</t>
  </si>
  <si>
    <t>2:F</t>
  </si>
  <si>
    <t>Chemistry 21</t>
  </si>
  <si>
    <t>OC(=O)c1ccccc1</t>
  </si>
  <si>
    <t>2:G</t>
  </si>
  <si>
    <t>Chemistry 22</t>
  </si>
  <si>
    <t>Cc1cccc(C)c1C(=O)O</t>
  </si>
  <si>
    <t>2:H</t>
  </si>
  <si>
    <t>Chemistry 23</t>
  </si>
  <si>
    <t>OC(=O)c1ccc(cc1)C(F)(F)F</t>
  </si>
  <si>
    <t>2:I</t>
  </si>
  <si>
    <t>Chemistry 24</t>
  </si>
  <si>
    <t>COC(=O)CCCCc1ccccc1</t>
  </si>
  <si>
    <t>2:J</t>
  </si>
  <si>
    <t>Chemistry 25</t>
  </si>
  <si>
    <t>CCCC(C)C(=O)OC</t>
  </si>
  <si>
    <t>2:K</t>
  </si>
  <si>
    <t>Chemistry 26</t>
  </si>
  <si>
    <t>COC(=O)c1ccccc1</t>
  </si>
  <si>
    <t>2:L</t>
  </si>
  <si>
    <t>Chemistry 27</t>
  </si>
  <si>
    <t>O=C1CCCO1</t>
  </si>
  <si>
    <t>2:M</t>
  </si>
  <si>
    <t>Chemistry 28</t>
  </si>
  <si>
    <t>O=C1CCC(=O)O1</t>
  </si>
  <si>
    <t>2:N</t>
  </si>
  <si>
    <t>Chemistry 29</t>
  </si>
  <si>
    <t>CS(=O)c1ccccc1</t>
  </si>
  <si>
    <t>2:O</t>
  </si>
  <si>
    <t>Chemistry 30</t>
  </si>
  <si>
    <t>CCS(=O)(=O)CC</t>
  </si>
  <si>
    <t>2:P</t>
  </si>
  <si>
    <t>Chemistry 31</t>
  </si>
  <si>
    <t>CS(=O)(=O)c1ccccc1</t>
  </si>
  <si>
    <t>3:A</t>
  </si>
  <si>
    <t>Chemistry 32</t>
  </si>
  <si>
    <t>CNCCc1ccccc1</t>
  </si>
  <si>
    <t>3:B</t>
  </si>
  <si>
    <t>Chemistry 33</t>
  </si>
  <si>
    <t>NCCCCc1ccccc1</t>
  </si>
  <si>
    <t>3:C</t>
  </si>
  <si>
    <t>Chemistry 34</t>
  </si>
  <si>
    <t>CCCCCC[C@@H](C)N</t>
  </si>
  <si>
    <t>3:D</t>
  </si>
  <si>
    <t>Chemistry 35</t>
  </si>
  <si>
    <t>CC(C)(N)c1ccccc1</t>
  </si>
  <si>
    <t>3:E</t>
  </si>
  <si>
    <t>Chemistry 36</t>
  </si>
  <si>
    <t>Oc1ccccc1C(=O)CCc2ccccc2</t>
  </si>
  <si>
    <t>3:F</t>
  </si>
  <si>
    <t>Chemistry 37</t>
  </si>
  <si>
    <t>CNc1ccccc1</t>
  </si>
  <si>
    <t>3:G</t>
  </si>
  <si>
    <t>Chemistry 38</t>
  </si>
  <si>
    <t>C1Cc2ccccc2N1</t>
  </si>
  <si>
    <t>3:H</t>
  </si>
  <si>
    <t>Chemistry 39</t>
  </si>
  <si>
    <t>C1CNc2ccccc2C1</t>
  </si>
  <si>
    <t>3:I</t>
  </si>
  <si>
    <t>Chemistry 40</t>
  </si>
  <si>
    <t>COc1ccc2NCCCc2c1</t>
  </si>
  <si>
    <t>3:J</t>
  </si>
  <si>
    <t>Chemistry 41</t>
  </si>
  <si>
    <t>Cc1cccc(Nc2cccc(C)c2)c1</t>
  </si>
  <si>
    <t>3:K</t>
  </si>
  <si>
    <t>Chemistry 42</t>
  </si>
  <si>
    <t>CCCCC(=O)N</t>
  </si>
  <si>
    <t>3:L</t>
  </si>
  <si>
    <t>Chemistry 43</t>
  </si>
  <si>
    <t>NC(=O)c1ccccc1</t>
  </si>
  <si>
    <t>3:M</t>
  </si>
  <si>
    <t>Chemistry 44</t>
  </si>
  <si>
    <t>CC1(C)OC(=O)NC1=O</t>
  </si>
  <si>
    <t>3:N</t>
  </si>
  <si>
    <t>Chemistry 45</t>
  </si>
  <si>
    <t>CCNC(=O)C</t>
  </si>
  <si>
    <t>3:O</t>
  </si>
  <si>
    <t>Chemistry 46</t>
  </si>
  <si>
    <t>O=C1CCCCN1</t>
  </si>
  <si>
    <t>3:P</t>
  </si>
  <si>
    <t>Chemistry 47</t>
  </si>
  <si>
    <t>CC1CCC(=O)N1</t>
  </si>
  <si>
    <t>4:A</t>
  </si>
  <si>
    <t>Chemistry 48</t>
  </si>
  <si>
    <t>CNC(=O)c1ccccc1</t>
  </si>
  <si>
    <t>4:B</t>
  </si>
  <si>
    <t>Chemistry 49</t>
  </si>
  <si>
    <t>CC(=O)Nc1ccccc1</t>
  </si>
  <si>
    <t>4:C</t>
  </si>
  <si>
    <t>Chemistry 50</t>
  </si>
  <si>
    <t>O=C1CCc2ccccc2N1</t>
  </si>
  <si>
    <t>4:D</t>
  </si>
  <si>
    <t>Chemistry 51</t>
  </si>
  <si>
    <t>CC(=O)NCc1ccccc1</t>
  </si>
  <si>
    <t>4:E</t>
  </si>
  <si>
    <t>Chemistry 52</t>
  </si>
  <si>
    <t>O=C1CCCN1</t>
  </si>
  <si>
    <t>4:F</t>
  </si>
  <si>
    <t>Chemistry 53</t>
  </si>
  <si>
    <t>CCN(CC)C(=O)c1ccccc1</t>
  </si>
  <si>
    <t>4:G</t>
  </si>
  <si>
    <t>Chemistry 54</t>
  </si>
  <si>
    <t>COc1ccc(cc1)C(=O)N</t>
  </si>
  <si>
    <t>4:H</t>
  </si>
  <si>
    <t>Chemistry 55</t>
  </si>
  <si>
    <t>CCc1ccc(NC(=O)c2ccccc2)cc1</t>
  </si>
  <si>
    <t>4:I</t>
  </si>
  <si>
    <t>Chemistry 56</t>
  </si>
  <si>
    <t>O=C1CCC(=O)N1</t>
  </si>
  <si>
    <t>4:J</t>
  </si>
  <si>
    <t>Chemistry 57</t>
  </si>
  <si>
    <t>N(\N=C\c1ccccc1)c2ccccc2</t>
  </si>
  <si>
    <t>4:K</t>
  </si>
  <si>
    <t>Chemistry 58</t>
  </si>
  <si>
    <t>O\N=C\c1ccccc1</t>
  </si>
  <si>
    <t>4:L</t>
  </si>
  <si>
    <t>Chemistry 59</t>
  </si>
  <si>
    <t>C\C(=N/O)\c1ccccc1</t>
  </si>
  <si>
    <t>4:M</t>
  </si>
  <si>
    <t>Chemistry 60</t>
  </si>
  <si>
    <t>N\C(=N/O)\c1ccccc1</t>
  </si>
  <si>
    <t>4:N</t>
  </si>
  <si>
    <t>Chemistry 61</t>
  </si>
  <si>
    <t>CCNC(=O)OCC</t>
  </si>
  <si>
    <t>4:O</t>
  </si>
  <si>
    <t>Chemistry 62</t>
  </si>
  <si>
    <t>CC(C)(C)OC(=O)n1ccnc1</t>
  </si>
  <si>
    <t>4:P</t>
  </si>
  <si>
    <t>Chemistry 63</t>
  </si>
  <si>
    <t>CC(C)(C)OC(=O)N1CCCC1</t>
  </si>
  <si>
    <t>5:A</t>
  </si>
  <si>
    <t>Chemistry 64</t>
  </si>
  <si>
    <t>CCOC(=O)Nc1ccccc1</t>
  </si>
  <si>
    <t>5:B</t>
  </si>
  <si>
    <t>Chemistry 65</t>
  </si>
  <si>
    <t>O=C1N[C@H](Cc2ccccc2)CO1</t>
  </si>
  <si>
    <t>5:C</t>
  </si>
  <si>
    <t>Chemistry 66</t>
  </si>
  <si>
    <t>CN(C)C(=N)N(C)C</t>
  </si>
  <si>
    <t>5:D</t>
  </si>
  <si>
    <t>Chemistry 67</t>
  </si>
  <si>
    <t>Oc1cccc2cccnc12</t>
  </si>
  <si>
    <t>5:E</t>
  </si>
  <si>
    <t>Chemistry 68</t>
  </si>
  <si>
    <t>N=C(Nc1ccccc1)Nc2ccccc2</t>
  </si>
  <si>
    <t>5:F</t>
  </si>
  <si>
    <t>Chemistry 69</t>
  </si>
  <si>
    <t>NC(=N)C(F)(F)F</t>
  </si>
  <si>
    <t>5:G</t>
  </si>
  <si>
    <t>Chemistry 70</t>
  </si>
  <si>
    <t>CNC(=O)N</t>
  </si>
  <si>
    <t>5:H</t>
  </si>
  <si>
    <t>Chemistry 71</t>
  </si>
  <si>
    <t>O=C1NCCN1</t>
  </si>
  <si>
    <t>5:I</t>
  </si>
  <si>
    <t>Chemistry 72</t>
  </si>
  <si>
    <t>CN(C)C(=O)N</t>
  </si>
  <si>
    <t>5:J</t>
  </si>
  <si>
    <t>Chemistry 73</t>
  </si>
  <si>
    <t>CN1CCN(C)C1=O</t>
  </si>
  <si>
    <t>5:K</t>
  </si>
  <si>
    <t>Chemistry 74</t>
  </si>
  <si>
    <t>CCNC(=O)NCC</t>
  </si>
  <si>
    <t>5:L</t>
  </si>
  <si>
    <t>Chemistry 75</t>
  </si>
  <si>
    <t>CCC(=N)N</t>
  </si>
  <si>
    <t>5:M</t>
  </si>
  <si>
    <t>Chemistry 76</t>
  </si>
  <si>
    <t>CC[N+](=O)[O-]</t>
  </si>
  <si>
    <t>5:N</t>
  </si>
  <si>
    <t>Chemistry 77</t>
  </si>
  <si>
    <t>CCCCC#N</t>
  </si>
  <si>
    <t>5:O</t>
  </si>
  <si>
    <t>Chemistry 78</t>
  </si>
  <si>
    <t>N#CC1CCCC1</t>
  </si>
  <si>
    <t>5:P</t>
  </si>
  <si>
    <t>Chemistry 79</t>
  </si>
  <si>
    <t>CCCS(=O)(=O)N</t>
  </si>
  <si>
    <t>6:A</t>
  </si>
  <si>
    <t>Chemistry 80</t>
  </si>
  <si>
    <t>O=S1(=O)CCCCN1</t>
  </si>
  <si>
    <t>6:B</t>
  </si>
  <si>
    <t>Chemistry 81</t>
  </si>
  <si>
    <t>CCCNS(=O)(=O)C</t>
  </si>
  <si>
    <t>6:C</t>
  </si>
  <si>
    <t>Chemistry 82</t>
  </si>
  <si>
    <t>Cc1ccc(cc1)S(=O)(=O)N</t>
  </si>
  <si>
    <t>6:D</t>
  </si>
  <si>
    <t>Chemistry 83</t>
  </si>
  <si>
    <t>CN1CCCNS1(=O)=O</t>
  </si>
  <si>
    <t>6:E</t>
  </si>
  <si>
    <t>Chemistry 84</t>
  </si>
  <si>
    <t>CN(C)S(=O)(=O)N</t>
  </si>
  <si>
    <t>6:F</t>
  </si>
  <si>
    <t>Chemistry 85</t>
  </si>
  <si>
    <t>CCC(=S)N</t>
  </si>
  <si>
    <t>6:G</t>
  </si>
  <si>
    <t>Chemistry 86</t>
  </si>
  <si>
    <t>NC(=O)COc1ccccc1</t>
  </si>
  <si>
    <t>6:H</t>
  </si>
  <si>
    <t>Chemistry 87</t>
  </si>
  <si>
    <t>C=CCCc1ccccc1</t>
  </si>
  <si>
    <t>6:I</t>
  </si>
  <si>
    <t>Chemistry 88</t>
  </si>
  <si>
    <t>C\C=C/c1ccccc1</t>
  </si>
  <si>
    <t>6:J</t>
  </si>
  <si>
    <t>Chemistry 89</t>
  </si>
  <si>
    <t>CC(=C)c1ccccc1</t>
  </si>
  <si>
    <t>6:K</t>
  </si>
  <si>
    <t>Chemistry 90</t>
  </si>
  <si>
    <t>C#CCCCc1ccccc1</t>
  </si>
  <si>
    <t>6:L</t>
  </si>
  <si>
    <t>Chemistry 91</t>
  </si>
  <si>
    <t>C#Cc1ccccc1</t>
  </si>
  <si>
    <t>6:M</t>
  </si>
  <si>
    <t>Chemistry 92</t>
  </si>
  <si>
    <t>c1ccc(cc1)c2c[nH]nn2</t>
  </si>
  <si>
    <t>6:N</t>
  </si>
  <si>
    <t>Chemistry 93</t>
  </si>
  <si>
    <t>Cn1cncn1</t>
  </si>
  <si>
    <t>6:O</t>
  </si>
  <si>
    <t>Chemistry 94</t>
  </si>
  <si>
    <t>Cc1nc[nH]n1</t>
  </si>
  <si>
    <t>6:P</t>
  </si>
  <si>
    <t>Chemistry 95</t>
  </si>
  <si>
    <t>o1ncc2ccccc12</t>
  </si>
  <si>
    <t>7:A</t>
  </si>
  <si>
    <t>Chemistry 96</t>
  </si>
  <si>
    <t>Cc1cncs1</t>
  </si>
  <si>
    <t>7:B</t>
  </si>
  <si>
    <t>Chemistry 97</t>
  </si>
  <si>
    <t>Cc1cscn1</t>
  </si>
  <si>
    <t>7:C</t>
  </si>
  <si>
    <t>Chemistry 98</t>
  </si>
  <si>
    <t>Cc1cn[nH]c1</t>
  </si>
  <si>
    <t>7:D</t>
  </si>
  <si>
    <t>Chemistry 99</t>
  </si>
  <si>
    <t>Cc1cc[nH]n1</t>
  </si>
  <si>
    <t>7:E</t>
  </si>
  <si>
    <t>Chemistry 100</t>
  </si>
  <si>
    <t>Cn1cccn1</t>
  </si>
  <si>
    <t>7:F</t>
  </si>
  <si>
    <t>Chemistry 101</t>
  </si>
  <si>
    <t>CCc1ccc[nH]1</t>
  </si>
  <si>
    <t>7:G</t>
  </si>
  <si>
    <t>Chemistry 102</t>
  </si>
  <si>
    <t>Cc1ccc(C)[nH]1</t>
  </si>
  <si>
    <t>7:H</t>
  </si>
  <si>
    <t>Chemistry 103</t>
  </si>
  <si>
    <t>c1ccc2[nH]ccc2c1</t>
  </si>
  <si>
    <t>7:I</t>
  </si>
  <si>
    <t>Chemistry 104</t>
  </si>
  <si>
    <t>Cc1nnn[nH]1</t>
  </si>
  <si>
    <t>7:J</t>
  </si>
  <si>
    <t>Chemistry 105</t>
  </si>
  <si>
    <t>Cc1ccc(cc1)n2nc(C)cc2N</t>
  </si>
  <si>
    <t>7:K</t>
  </si>
  <si>
    <t>Chemistry 106</t>
  </si>
  <si>
    <t>Cc1cnccn1</t>
  </si>
  <si>
    <t>7:L</t>
  </si>
  <si>
    <t>Chemistry 107</t>
  </si>
  <si>
    <t>Cc1ccnnc1</t>
  </si>
  <si>
    <t>7:M</t>
  </si>
  <si>
    <t>Chemistry 108</t>
  </si>
  <si>
    <t>Cc1ccc(C)nc1</t>
  </si>
  <si>
    <t>7:N</t>
  </si>
  <si>
    <t>Chemistry 109</t>
  </si>
  <si>
    <t>Cc1ccc2[nH]cnc2c1</t>
  </si>
  <si>
    <t>7:O</t>
  </si>
  <si>
    <t>Chemistry 110</t>
  </si>
  <si>
    <t>Cn1cnc2ccccc12</t>
  </si>
  <si>
    <t>7:P</t>
  </si>
  <si>
    <t>Chemistry 111</t>
  </si>
  <si>
    <t>Cc1ccc2[nH]nnc2c1</t>
  </si>
  <si>
    <t>8:A</t>
  </si>
  <si>
    <t>Chemistry 112</t>
  </si>
  <si>
    <t>NC(=N)c1nc2ccccc2[nH]1</t>
  </si>
  <si>
    <t>8:B</t>
  </si>
  <si>
    <t>Chemistry 113</t>
  </si>
  <si>
    <t>c1ccc(cc1)c2c[nH]cn2</t>
  </si>
  <si>
    <t>8:C</t>
  </si>
  <si>
    <t>Chemistry 114</t>
  </si>
  <si>
    <t>Cc1ccc2[nH]ncc2c1</t>
  </si>
  <si>
    <t>8:D</t>
  </si>
  <si>
    <t>Chemistry 115</t>
  </si>
  <si>
    <t>CC(C)(C)OC(=O)Nc1ccccc1</t>
  </si>
  <si>
    <t>8:E</t>
  </si>
  <si>
    <t>Chemistry 116</t>
  </si>
  <si>
    <t>Cc1ccc2sccc2c1</t>
  </si>
  <si>
    <t>8:F</t>
  </si>
  <si>
    <t>Chemistry 117</t>
  </si>
  <si>
    <t>Cc1cocc1</t>
  </si>
  <si>
    <t>8:G</t>
  </si>
  <si>
    <t>Chemistry 118</t>
  </si>
  <si>
    <t>o1ccc2ccccc12</t>
  </si>
  <si>
    <t>8:H</t>
  </si>
  <si>
    <t>Chemistry 119</t>
  </si>
  <si>
    <t>CC(C)(C)c1ccc(cc1)c2nc[nH]n2</t>
  </si>
  <si>
    <t>8:I</t>
  </si>
  <si>
    <t>Chemistry 120</t>
  </si>
  <si>
    <t>Oc1ccccc1N2CCCC2</t>
  </si>
  <si>
    <t>8:J</t>
  </si>
  <si>
    <t>Chemistry 121</t>
  </si>
  <si>
    <t>CCNC(=O)Nc1ccccc1</t>
  </si>
  <si>
    <t>8:K</t>
  </si>
  <si>
    <t>Chemistry 122</t>
  </si>
  <si>
    <t>S=C(Nc1ccccc1)Nc2ccccc2</t>
  </si>
  <si>
    <t>8:L</t>
  </si>
  <si>
    <t>Chemistry 123</t>
  </si>
  <si>
    <t>C[C@H]1NC(=S)O[C@H]1c2ccccc2</t>
  </si>
  <si>
    <t>8:M</t>
  </si>
  <si>
    <t>Chemistry 124</t>
  </si>
  <si>
    <t>CCNc1ccccn1</t>
  </si>
  <si>
    <t>8:N</t>
  </si>
  <si>
    <t>Chemistry 125</t>
  </si>
  <si>
    <t>CN1CC(=O)NC1=O</t>
  </si>
  <si>
    <t>8:O</t>
  </si>
  <si>
    <t>Chemistry 126</t>
  </si>
  <si>
    <t>COc1ccc(C)nn1</t>
  </si>
  <si>
    <t>8:P</t>
  </si>
  <si>
    <t>Chemistry 127</t>
  </si>
  <si>
    <t>CCOC(=O)c1cnns1</t>
  </si>
  <si>
    <t>9:A</t>
  </si>
  <si>
    <t>Chemistry 128</t>
  </si>
  <si>
    <t>O[C@H]1CN(Cc2ccccc2)C[C@@H]1O</t>
  </si>
  <si>
    <t>9:B</t>
  </si>
  <si>
    <t>Chemistry 129</t>
  </si>
  <si>
    <t>Cc1nonc1N</t>
  </si>
  <si>
    <t>9:C</t>
  </si>
  <si>
    <t>Chemistry 130</t>
  </si>
  <si>
    <t>C[C@]1(CS(=O)(=O)C(C)(C)C(=N)N1)c2ccc(F)cc2F</t>
  </si>
  <si>
    <t>9:D</t>
  </si>
  <si>
    <t>Chemistry 131</t>
  </si>
  <si>
    <t>C[C@@H](Nc1nc(nc2ncn(Cc3ccc(cc3)C(F)(F)F)c12)C#N)C4CCC4</t>
  </si>
  <si>
    <t>9:E</t>
  </si>
  <si>
    <t>Chemistry 132</t>
  </si>
  <si>
    <t>CC(=O)Nc1nccs1</t>
  </si>
  <si>
    <t>9:F</t>
  </si>
  <si>
    <t>Chemistry 133</t>
  </si>
  <si>
    <t>Oc1cccc2C(=O)c3ccccc3C(=O)c12</t>
  </si>
  <si>
    <t>9:G</t>
  </si>
  <si>
    <t>Chemistry 134</t>
  </si>
  <si>
    <t>Nc1cc(n[nH]1)c2cccs2</t>
  </si>
  <si>
    <t>9:H</t>
  </si>
  <si>
    <t>Chemistry 135</t>
  </si>
  <si>
    <t>CCc1ccc(O)c(c1)C(=O)C</t>
  </si>
  <si>
    <t>9:I</t>
  </si>
  <si>
    <t>Chemistry 136</t>
  </si>
  <si>
    <t>CC(=O)C1=C(O)C(=O)N(CC(=O)O)C1c2ccccc2</t>
  </si>
  <si>
    <t>9:J</t>
  </si>
  <si>
    <t>Chemistry 137</t>
  </si>
  <si>
    <t>CN1C=CC(=O)N(C)C1=O</t>
  </si>
  <si>
    <t>9:K</t>
  </si>
  <si>
    <t>Chemistry 138</t>
  </si>
  <si>
    <t>CC(=O)C1=NCCS1</t>
  </si>
  <si>
    <t>9:L</t>
  </si>
  <si>
    <t>Chemistry 139</t>
  </si>
  <si>
    <t>CCSc1nnn[nH]1</t>
  </si>
  <si>
    <t>9:M</t>
  </si>
  <si>
    <t>Chemistry 140</t>
  </si>
  <si>
    <t>CC(=O)c1ncc(C)s1</t>
  </si>
  <si>
    <t>9:N</t>
  </si>
  <si>
    <t>Chemistry 141</t>
  </si>
  <si>
    <t>CC(=O)c1nc2ccccc2[nH]1</t>
  </si>
  <si>
    <t>9:O</t>
  </si>
  <si>
    <t>Chemistry 142</t>
  </si>
  <si>
    <t>NC(=N)c1ccccc1</t>
  </si>
  <si>
    <t>9:P</t>
  </si>
  <si>
    <t>Chemistry 143</t>
  </si>
  <si>
    <t>COc1ccc(C)cn1</t>
  </si>
  <si>
    <t>10:A</t>
  </si>
  <si>
    <t>Chemistry 144</t>
  </si>
  <si>
    <t>Nc1n[nH]c2ccccc12</t>
  </si>
  <si>
    <t>10:B</t>
  </si>
  <si>
    <t>Chemistry 145</t>
  </si>
  <si>
    <t>CC(=O)C(=O)C</t>
  </si>
  <si>
    <t>10:C</t>
  </si>
  <si>
    <t>Chemistry 146</t>
  </si>
  <si>
    <t>COC(=O)C(=O)C</t>
  </si>
  <si>
    <t>10:D</t>
  </si>
  <si>
    <t>Chemistry 147</t>
  </si>
  <si>
    <t>Nc1[nH]ncc1c2ccccc2</t>
  </si>
  <si>
    <t>10:E</t>
  </si>
  <si>
    <t>Chemistry 148</t>
  </si>
  <si>
    <t>CCOC(=O)Cn1nnc(n1)c2ccccc2</t>
  </si>
  <si>
    <t>10:F</t>
  </si>
  <si>
    <t>Chemistry 149</t>
  </si>
  <si>
    <t>Oc1cccc2CCC(=O)c12</t>
  </si>
  <si>
    <t>10:G</t>
  </si>
  <si>
    <t>Chemistry 150</t>
  </si>
  <si>
    <t>C[C@@H](O)c1ccccn1</t>
  </si>
  <si>
    <t>10:H</t>
  </si>
  <si>
    <t>Chemistry 151</t>
  </si>
  <si>
    <t>OC(Cc1ccncn1)c2ccccc2</t>
  </si>
  <si>
    <t>10:I</t>
  </si>
  <si>
    <t>Chemistry 152</t>
  </si>
  <si>
    <t>Cc1ccnc(CC=C)c1</t>
  </si>
  <si>
    <t>10:J</t>
  </si>
  <si>
    <t>Chemistry 153</t>
  </si>
  <si>
    <t>C#Cc1ncccn1</t>
  </si>
  <si>
    <t>10:K</t>
  </si>
  <si>
    <t>Chemistry 154</t>
  </si>
  <si>
    <t>NC(=O)c1ccccn1</t>
  </si>
  <si>
    <t>10:L</t>
  </si>
  <si>
    <t>Chemistry 155</t>
  </si>
  <si>
    <t>NC(=O)Cc1ccccn1</t>
  </si>
  <si>
    <t>10:M</t>
  </si>
  <si>
    <t>Chemistry 156</t>
  </si>
  <si>
    <t>CC(=O)Nc1ccccn1</t>
  </si>
  <si>
    <t>10:N</t>
  </si>
  <si>
    <t>Chemistry 157</t>
  </si>
  <si>
    <t>Nc1oncc1c2ccccn2</t>
  </si>
  <si>
    <t>10:O</t>
  </si>
  <si>
    <t>Chemistry 158</t>
  </si>
  <si>
    <t>Cn1ccnc1N</t>
  </si>
  <si>
    <t>10:P</t>
  </si>
  <si>
    <t>Chemistry 159</t>
  </si>
  <si>
    <t>C1CCC(NC1)c2ccccn2</t>
  </si>
  <si>
    <t>11:A</t>
  </si>
  <si>
    <t>Chemistry 160</t>
  </si>
  <si>
    <t>C(Nc1ccccn1)c2ccccc2</t>
  </si>
  <si>
    <t>11:B</t>
  </si>
  <si>
    <t>Chemistry 161</t>
  </si>
  <si>
    <t>Nc1cnc(cn1)c2ccccc2</t>
  </si>
  <si>
    <t>11:C</t>
  </si>
  <si>
    <t>Chemistry 162</t>
  </si>
  <si>
    <t>Cc1ccc(N)nc1</t>
  </si>
  <si>
    <t>11:D</t>
  </si>
  <si>
    <t>Chemistry 163</t>
  </si>
  <si>
    <t>CNc1ccccn1</t>
  </si>
  <si>
    <t>11:E</t>
  </si>
  <si>
    <t>Chemistry 164</t>
  </si>
  <si>
    <t>CCC(=O)c1nccs1</t>
  </si>
  <si>
    <t>11:F</t>
  </si>
  <si>
    <t>Chemistry 165</t>
  </si>
  <si>
    <t>N(c1ccccn1)c2ccccn2</t>
  </si>
  <si>
    <t>11:G</t>
  </si>
  <si>
    <t>Chemistry 166</t>
  </si>
  <si>
    <t>OC(=O)CCc1nc2ccccc2s1</t>
  </si>
  <si>
    <t>11:H</t>
  </si>
  <si>
    <t>Chemistry 167</t>
  </si>
  <si>
    <t>Nc1nccc(n1)c2ccccn2</t>
  </si>
  <si>
    <t>11:I</t>
  </si>
  <si>
    <t>Chemistry 168</t>
  </si>
  <si>
    <t>CNNC(=O)OC(C)(C)C</t>
  </si>
  <si>
    <t>11:J</t>
  </si>
  <si>
    <t>Chemistry 169</t>
  </si>
  <si>
    <t>COC(=O)c1ccccn1</t>
  </si>
  <si>
    <t>11:K</t>
  </si>
  <si>
    <t>Chemistry 170</t>
  </si>
  <si>
    <t>COC(=O)Cc1ccncn1</t>
  </si>
  <si>
    <t>11:L</t>
  </si>
  <si>
    <t>Chemistry 171</t>
  </si>
  <si>
    <t>COc1n[nH]c2ccccc12</t>
  </si>
  <si>
    <t>11:M</t>
  </si>
  <si>
    <t>Chemistry 172</t>
  </si>
  <si>
    <t>COc1cccc2cc[nH]c12</t>
  </si>
  <si>
    <t>11:N</t>
  </si>
  <si>
    <t>Chemistry 173</t>
  </si>
  <si>
    <t>CC(=O)Cc1cnccn1</t>
  </si>
  <si>
    <t>11:O</t>
  </si>
  <si>
    <t>Chemistry 174</t>
  </si>
  <si>
    <t>CC(=O)c1ccccn1</t>
  </si>
  <si>
    <t>11:P</t>
  </si>
  <si>
    <t>Chemistry 175</t>
  </si>
  <si>
    <t>N#Cc1ccccn1</t>
  </si>
  <si>
    <t>12:A</t>
  </si>
  <si>
    <t>Chemistry 176</t>
  </si>
  <si>
    <t>Oc1ncc(nn1)c2ccccc2</t>
  </si>
  <si>
    <t>12:B</t>
  </si>
  <si>
    <t>Chemistry 177</t>
  </si>
  <si>
    <t>C1CNC(C1)c2cc3ccccc3[nH]2</t>
  </si>
  <si>
    <t>12:C</t>
  </si>
  <si>
    <t>Chemistry 178</t>
  </si>
  <si>
    <t>Oc1cccc2nccnc12</t>
  </si>
  <si>
    <t>12:D</t>
  </si>
  <si>
    <t>Chemistry 179</t>
  </si>
  <si>
    <t>CCN1N=NNC1=O</t>
  </si>
  <si>
    <t>12:E</t>
  </si>
  <si>
    <t>Chemistry 180</t>
  </si>
  <si>
    <t>Oc1cccc2cncnc12</t>
  </si>
  <si>
    <t>12:F</t>
  </si>
  <si>
    <t>Chemistry 181</t>
  </si>
  <si>
    <t>Oc1ccccc1c2ccccn2</t>
  </si>
  <si>
    <t>12:G</t>
  </si>
  <si>
    <t>Chemistry 182</t>
  </si>
  <si>
    <t>Cc1cc(C)nc(n1)S(=O)(=O)C</t>
  </si>
  <si>
    <t>12:H</t>
  </si>
  <si>
    <t>Chemistry 183</t>
  </si>
  <si>
    <t>Cc1ccc(nc1)S(=O)(=O)N</t>
  </si>
  <si>
    <t>12:I</t>
  </si>
  <si>
    <t>Chemistry 184</t>
  </si>
  <si>
    <t>CC(C)(C)OC(=O)NCc1ccccn1</t>
  </si>
  <si>
    <t>12:J</t>
  </si>
  <si>
    <t>Chemistry 185</t>
  </si>
  <si>
    <t>Cc1ccc(nc1)C(=S)N</t>
  </si>
  <si>
    <t>12:K</t>
  </si>
  <si>
    <t>Chemistry 186</t>
  </si>
  <si>
    <t>Sc1ccccn1</t>
  </si>
  <si>
    <t>12:L</t>
  </si>
  <si>
    <t>Chemistry 187</t>
  </si>
  <si>
    <t>NC(=S)Nc1ccccn1</t>
  </si>
  <si>
    <t>12:M</t>
  </si>
  <si>
    <t>Chemistry 188</t>
  </si>
  <si>
    <t>NC(=O)Nc1ccccn1</t>
  </si>
  <si>
    <t>12:N</t>
  </si>
  <si>
    <t>Chemistry 189</t>
  </si>
  <si>
    <t>CC(=O)c1nc(C)cs1</t>
  </si>
  <si>
    <t>12:O</t>
  </si>
  <si>
    <t>Chemistry 190</t>
  </si>
  <si>
    <t>c1cnc2[nH]cnc2c1</t>
  </si>
  <si>
    <t>12:P</t>
  </si>
  <si>
    <t>Chemistry 191</t>
  </si>
  <si>
    <t>OC(=O)C1CCCCN1c2ncccn2</t>
  </si>
  <si>
    <t>13:A</t>
  </si>
  <si>
    <t>Chemistry 192</t>
  </si>
  <si>
    <t>OC(=O)c1cccc(n1)N2CCCCC2</t>
  </si>
  <si>
    <t>13:B</t>
  </si>
  <si>
    <t>Chemistry 193</t>
  </si>
  <si>
    <t>c1ccc(nc1)c2nc3ccccc3[nH]2</t>
  </si>
  <si>
    <t>13:C</t>
  </si>
  <si>
    <t>Chemistry 194</t>
  </si>
  <si>
    <t>c1cnc2[nH]ccc2c1</t>
  </si>
  <si>
    <t>13:D</t>
  </si>
  <si>
    <t>Chemistry 195</t>
  </si>
  <si>
    <t>13:E</t>
  </si>
  <si>
    <t>Chemistry 196</t>
  </si>
  <si>
    <t>CC(=O)CCn1cnc2ccccc12</t>
  </si>
  <si>
    <t>13:F</t>
  </si>
  <si>
    <t>Chemistry 197</t>
  </si>
  <si>
    <t>O=C1NN=C(S1)c2ccccc2</t>
  </si>
  <si>
    <t>13:G</t>
  </si>
  <si>
    <t>Chemistry 198</t>
  </si>
  <si>
    <t>CCOc1nc2ccccc2[nH]1</t>
  </si>
  <si>
    <t>13:H</t>
  </si>
  <si>
    <t>Chemistry 199</t>
  </si>
  <si>
    <t>OC(=O)CC[N+](=O)[O-]</t>
  </si>
  <si>
    <t>13:I</t>
  </si>
  <si>
    <t>Chemistry 200</t>
  </si>
  <si>
    <t>CC(NS(=O)(=O)c1ccc(C)cc1)C(=O)O</t>
  </si>
  <si>
    <t>13:J</t>
  </si>
  <si>
    <t>Chemistry 201</t>
  </si>
  <si>
    <t>Nc1cccc(n1)c2ccccn2</t>
  </si>
  <si>
    <t>13:K</t>
  </si>
  <si>
    <t>Chemistry 202</t>
  </si>
  <si>
    <t>COc1nsc(N)n1</t>
  </si>
  <si>
    <t>13:L</t>
  </si>
  <si>
    <t>Chemistry 203</t>
  </si>
  <si>
    <t>C[C@H](O)CNC(=O)OC(C)(C)C</t>
  </si>
  <si>
    <t>13:M</t>
  </si>
  <si>
    <t>Chemistry 204</t>
  </si>
  <si>
    <t>CC(C)(C)OC(=O)N[C@@H]1CCC[C@@H]1O</t>
  </si>
  <si>
    <t>13:N</t>
  </si>
  <si>
    <t>Chemistry 205</t>
  </si>
  <si>
    <t>O[C@@H]1CCCC[C@H]1C#N</t>
  </si>
  <si>
    <t>13:O</t>
  </si>
  <si>
    <t>Chemistry 206</t>
  </si>
  <si>
    <t>CC(C)(O)c1ccccc1O</t>
  </si>
  <si>
    <t>13:P</t>
  </si>
  <si>
    <t>Chemistry 207</t>
  </si>
  <si>
    <t>CC(C)(O)CC(=O)O</t>
  </si>
  <si>
    <t>14:A</t>
  </si>
  <si>
    <t>Chemistry 208</t>
  </si>
  <si>
    <t>O[C@@H](c1ccccc1)C(O)(c2ccccc2)c3ccccc3</t>
  </si>
  <si>
    <t>14:B</t>
  </si>
  <si>
    <t>Chemistry 209</t>
  </si>
  <si>
    <t>OC1CCCCC1=O</t>
  </si>
  <si>
    <t>14:C</t>
  </si>
  <si>
    <t>Chemistry 210</t>
  </si>
  <si>
    <t>C=CCNc1ccccc1</t>
  </si>
  <si>
    <t>14:D</t>
  </si>
  <si>
    <t>Chemistry 211</t>
  </si>
  <si>
    <t>CC(C)(C)OC(=O)NCCC#C</t>
  </si>
  <si>
    <t>14:E</t>
  </si>
  <si>
    <t>Chemistry 212</t>
  </si>
  <si>
    <t>CN(C)CC(=O)N</t>
  </si>
  <si>
    <t>14:F</t>
  </si>
  <si>
    <t>Chemistry 213</t>
  </si>
  <si>
    <t>CCNC(=O)C(=O)NCC</t>
  </si>
  <si>
    <t>14:G</t>
  </si>
  <si>
    <t>Chemistry 214</t>
  </si>
  <si>
    <t>COC(=O)[C@@H](NC(=O)C)c1ccccc1</t>
  </si>
  <si>
    <t>14:H</t>
  </si>
  <si>
    <t>Chemistry 215</t>
  </si>
  <si>
    <t>CC(=O)N1[C@H](Cc2ccccc2)COC1=O</t>
  </si>
  <si>
    <t>14:I</t>
  </si>
  <si>
    <t>Chemistry 216</t>
  </si>
  <si>
    <t>CC(NC(=O)C)C(=O)C</t>
  </si>
  <si>
    <t>14:J</t>
  </si>
  <si>
    <t>Chemistry 217</t>
  </si>
  <si>
    <t>CNC(=O)C[N+](=O)[O-]</t>
  </si>
  <si>
    <t>14:K</t>
  </si>
  <si>
    <t>Chemistry 218</t>
  </si>
  <si>
    <t>CN[C@@H]1[C@@H](O)Cc2ccccc12</t>
  </si>
  <si>
    <t>14:L</t>
  </si>
  <si>
    <t>Chemistry 219</t>
  </si>
  <si>
    <t>O=C(Nc1ccccc1)C2CCCN2</t>
  </si>
  <si>
    <t>14:M</t>
  </si>
  <si>
    <t>Chemistry 220</t>
  </si>
  <si>
    <t>CN(C)C(=O)C1CCCN1</t>
  </si>
  <si>
    <t>14:N</t>
  </si>
  <si>
    <t>Chemistry 221</t>
  </si>
  <si>
    <t>CC(=O)C1CCCN1</t>
  </si>
  <si>
    <t>14:O</t>
  </si>
  <si>
    <t>Chemistry 222</t>
  </si>
  <si>
    <t>CC(C)(O)C1CCCN1</t>
  </si>
  <si>
    <t>14:P</t>
  </si>
  <si>
    <t>Chemistry 223</t>
  </si>
  <si>
    <t>CN1CCCCC1C2CCCN2</t>
  </si>
  <si>
    <t>15:A</t>
  </si>
  <si>
    <t>Chemistry 224</t>
  </si>
  <si>
    <t>C(C1CCCCN1)N2CCCC2</t>
  </si>
  <si>
    <t>15:B</t>
  </si>
  <si>
    <t>Chemistry 225</t>
  </si>
  <si>
    <t>Oc1cccc2CCCNc12</t>
  </si>
  <si>
    <t>15:C</t>
  </si>
  <si>
    <t>Chemistry 226</t>
  </si>
  <si>
    <t>CC(C)(C)OC(=O)N[C@H]1CCCC[C@H]1O</t>
  </si>
  <si>
    <t>15:D</t>
  </si>
  <si>
    <t>Chemistry 227</t>
  </si>
  <si>
    <t>CC(C)(C)OC(=O)N[C@@H]1[C@H](O)Cc2ccccc12</t>
  </si>
  <si>
    <t>15:E</t>
  </si>
  <si>
    <t>Chemistry 228</t>
  </si>
  <si>
    <t>CC(C)(C)OC(=O)NCc1ccccc1O</t>
  </si>
  <si>
    <t>15:F</t>
  </si>
  <si>
    <t>Chemistry 229</t>
  </si>
  <si>
    <t>CCOC(=O)C(=O)N</t>
  </si>
  <si>
    <t>15:G</t>
  </si>
  <si>
    <t>Chemistry 230</t>
  </si>
  <si>
    <t>COC(=O)c1cccc(N)n1</t>
  </si>
  <si>
    <t>15:H</t>
  </si>
  <si>
    <t>Chemistry 231</t>
  </si>
  <si>
    <t>CCOC(=O)CNc1ccccc1</t>
  </si>
  <si>
    <t>15:I</t>
  </si>
  <si>
    <t>Chemistry 232</t>
  </si>
  <si>
    <t>COC(=O)CNC(=O)OC(C)(C)C</t>
  </si>
  <si>
    <t>15:J</t>
  </si>
  <si>
    <t>Chemistry 332</t>
  </si>
  <si>
    <t>CCOC(=O)CNNC(=O)OC(C)(C)C</t>
  </si>
  <si>
    <t>15:K</t>
  </si>
  <si>
    <t>Chemistry 233</t>
  </si>
  <si>
    <t>COC(=O)CN(C)C</t>
  </si>
  <si>
    <t>15:L</t>
  </si>
  <si>
    <t>Chemistry 234</t>
  </si>
  <si>
    <t>CCOC(=O)CCN(C)C</t>
  </si>
  <si>
    <t>15:M</t>
  </si>
  <si>
    <t>Chemistry 235</t>
  </si>
  <si>
    <t>CC(=O)CC(=O)N</t>
  </si>
  <si>
    <t>15:N</t>
  </si>
  <si>
    <t>Chemistry 236</t>
  </si>
  <si>
    <t>COc1nc(N)ns1</t>
  </si>
  <si>
    <t>15:O</t>
  </si>
  <si>
    <t>Chemistry 237</t>
  </si>
  <si>
    <t>COc1cc(on1)C(=O)C</t>
  </si>
  <si>
    <t>15:P</t>
  </si>
  <si>
    <t>Chemistry 238</t>
  </si>
  <si>
    <t>NC1=Nc2nc[nH]c2C(=S)N1</t>
  </si>
  <si>
    <t>16:A</t>
  </si>
  <si>
    <t>Chemistry 239</t>
  </si>
  <si>
    <t>Oc1ccccc1C(=O)c2ccccc2</t>
  </si>
  <si>
    <t>16:B</t>
  </si>
  <si>
    <t>Chemistry 240</t>
  </si>
  <si>
    <t>CC(C)(O)C(=O)c1ccccc1</t>
  </si>
  <si>
    <t>16:C</t>
  </si>
  <si>
    <t>Chemistry 241</t>
  </si>
  <si>
    <t>CN(C)CCCC(=O)C</t>
  </si>
  <si>
    <t>16:D</t>
  </si>
  <si>
    <t>Chemistry 242</t>
  </si>
  <si>
    <t>O\N=C\c1ccccc1O</t>
  </si>
  <si>
    <t>16:E</t>
  </si>
  <si>
    <t>Chemistry 243</t>
  </si>
  <si>
    <t>CNc1ccccc1O</t>
  </si>
  <si>
    <t>16:F</t>
  </si>
  <si>
    <t>Chemistry 244</t>
  </si>
  <si>
    <t>CC(C)(C)OC(=O)Nc1ccccc1O</t>
  </si>
  <si>
    <t>16:G</t>
  </si>
  <si>
    <t>Chemistry 245</t>
  </si>
  <si>
    <t>COC(=O)c1cc(C)ccc1O</t>
  </si>
  <si>
    <t>16:H</t>
  </si>
  <si>
    <t>Chemistry 246</t>
  </si>
  <si>
    <t>CC(=O)c1cc(C)ccc1O</t>
  </si>
  <si>
    <t>16:I</t>
  </si>
  <si>
    <t>Chemistry 247</t>
  </si>
  <si>
    <t>Oc1ccccc1[N+](=O)[O-]</t>
  </si>
  <si>
    <t>16:J</t>
  </si>
  <si>
    <t>Chemistry 248</t>
  </si>
  <si>
    <t>CN(C)Cc1ccccc1O</t>
  </si>
  <si>
    <t>16:K</t>
  </si>
  <si>
    <t>Chemistry 249</t>
  </si>
  <si>
    <t>O=C1NCc2ccccc2N1</t>
  </si>
  <si>
    <t>16:L</t>
  </si>
  <si>
    <t>Chemistry 250</t>
  </si>
  <si>
    <t>CN(C)CC#C</t>
  </si>
  <si>
    <t>16:M</t>
  </si>
  <si>
    <t>Chemistry 251</t>
  </si>
  <si>
    <t>C[C@H](CN(C)C)[C@@](O)(Cc1ccccc1)c2ccccc2</t>
  </si>
  <si>
    <t>16:N</t>
  </si>
  <si>
    <t>Chemistry 252</t>
  </si>
  <si>
    <t>Cc1nonc1CC(=O)O</t>
  </si>
  <si>
    <t>16:O</t>
  </si>
  <si>
    <t>Chemistry 253</t>
  </si>
  <si>
    <t>CCc1onc(c1)C(=O)O</t>
  </si>
  <si>
    <t>16:P</t>
  </si>
  <si>
    <t>Chemistry 254</t>
  </si>
  <si>
    <t>OC(=O)c1nccs1</t>
  </si>
  <si>
    <t>17:A</t>
  </si>
  <si>
    <t>Chemistry 255</t>
  </si>
  <si>
    <t>CN(Cc1ccccc1)C(=N)N</t>
  </si>
  <si>
    <t>17:B</t>
  </si>
  <si>
    <t>Chemistry 256</t>
  </si>
  <si>
    <t>CC(C(=O)O)n1cccn1</t>
  </si>
  <si>
    <t>17:C</t>
  </si>
  <si>
    <t>Chemistry 257</t>
  </si>
  <si>
    <t>OC(=O)CCc1cccc2cc[nH]c12</t>
  </si>
  <si>
    <t>17:D</t>
  </si>
  <si>
    <t>Chemistry 258</t>
  </si>
  <si>
    <t>CC(C)[C@H]([NH3+])C(=O)N1CCSC1.[O-]C(=O)\C=C\C(=O)[O-]</t>
  </si>
  <si>
    <t>17:E</t>
  </si>
  <si>
    <t>Chemistry 259</t>
  </si>
  <si>
    <t>C[C@H](O)c1nccs1</t>
  </si>
  <si>
    <t>17:F</t>
  </si>
  <si>
    <t>Chemistry 260</t>
  </si>
  <si>
    <t>CC(O)Cn1ccnc1</t>
  </si>
  <si>
    <t>17:G</t>
  </si>
  <si>
    <t>Chemistry 261</t>
  </si>
  <si>
    <t>CN1C(=O)NC(=O)c2c1ncn2C</t>
  </si>
  <si>
    <t>17:H</t>
  </si>
  <si>
    <t>Chemistry 262</t>
  </si>
  <si>
    <t>CC(O)C(C)O</t>
  </si>
  <si>
    <t>17:I</t>
  </si>
  <si>
    <t>Chemistry 263</t>
  </si>
  <si>
    <t>C#CCn1ccnc1</t>
  </si>
  <si>
    <t>17:J</t>
  </si>
  <si>
    <t>Chemistry 264</t>
  </si>
  <si>
    <t>CN1C(=O)Nc2c(ncn2C)C1=O</t>
  </si>
  <si>
    <t>17:K</t>
  </si>
  <si>
    <t>Chemistry 265</t>
  </si>
  <si>
    <t>CC(=O)Nc1cncs1</t>
  </si>
  <si>
    <t>17:L</t>
  </si>
  <si>
    <t>Chemistry 266</t>
  </si>
  <si>
    <t>CC(=O)CCc1nc2ccccc2[nH]1</t>
  </si>
  <si>
    <t>17:M</t>
  </si>
  <si>
    <t>Chemistry 267</t>
  </si>
  <si>
    <t>17:N</t>
  </si>
  <si>
    <t>Chemistry 268</t>
  </si>
  <si>
    <t>CNC(=O)c1cn2ccccc2n1</t>
  </si>
  <si>
    <t>17:O</t>
  </si>
  <si>
    <t>Chemistry 269</t>
  </si>
  <si>
    <t>O=C1CCc2cccnc2N1</t>
  </si>
  <si>
    <t>17:P</t>
  </si>
  <si>
    <t>Chemistry 270</t>
  </si>
  <si>
    <t>O=C1COc2cccnc2N1</t>
  </si>
  <si>
    <t>18:A</t>
  </si>
  <si>
    <t>Chemistry 271</t>
  </si>
  <si>
    <t>NC(=O)Cc1cc2ccccc2s1</t>
  </si>
  <si>
    <t>18:B</t>
  </si>
  <si>
    <t>Chemistry 272</t>
  </si>
  <si>
    <t>CNC(=O)C(=O)NC</t>
  </si>
  <si>
    <t>18:C</t>
  </si>
  <si>
    <t>Chemistry 273</t>
  </si>
  <si>
    <t>C1CCC(NC1)c2nccs2</t>
  </si>
  <si>
    <t>18:D</t>
  </si>
  <si>
    <t>Chemistry 274</t>
  </si>
  <si>
    <t>Cn1ccnc1C2CCCCN2</t>
  </si>
  <si>
    <t>18:E</t>
  </si>
  <si>
    <t>Blank</t>
  </si>
  <si>
    <t>18:F</t>
  </si>
  <si>
    <t>Chemistry 275</t>
  </si>
  <si>
    <t>Nc1noc2cccnc12</t>
  </si>
  <si>
    <t>18:G</t>
  </si>
  <si>
    <t>OC1CCCCC1NC(=O)c2ccccc2</t>
  </si>
  <si>
    <t>18:H</t>
  </si>
  <si>
    <t>Chemistry 276</t>
  </si>
  <si>
    <t>CCCn1cc(N)nn1</t>
  </si>
  <si>
    <t>18:I</t>
  </si>
  <si>
    <t>Chemistry 277</t>
  </si>
  <si>
    <t>Nc1cnn(n1)c2ccccc2</t>
  </si>
  <si>
    <t>18:J</t>
  </si>
  <si>
    <t>CN(CCCNC(=O)c1ccccc1)C(=O)c2ccccc2</t>
  </si>
  <si>
    <t>18:K</t>
  </si>
  <si>
    <t>CCOc1ccc(cc1)[N+](=O)[O-]</t>
  </si>
  <si>
    <t>18:L</t>
  </si>
  <si>
    <t>Cc1cc2NC(=O)CC(=Nc2cc1C)c3ccccc3</t>
  </si>
  <si>
    <t>18:M</t>
  </si>
  <si>
    <t>Chemistry 278</t>
  </si>
  <si>
    <t>Nc1oc(Cc2ccccc2)nn1</t>
  </si>
  <si>
    <t>18:N</t>
  </si>
  <si>
    <t>Chemistry 279</t>
  </si>
  <si>
    <t>CNc1nc(C)ns1</t>
  </si>
  <si>
    <t>18:O</t>
  </si>
  <si>
    <t>Chemistry 280</t>
  </si>
  <si>
    <t>CC(C)c1nsc(N)n1</t>
  </si>
  <si>
    <t>18:P</t>
  </si>
  <si>
    <t>CCN1C=C(C(=O)OC)C(=O)c2cc3OCOc3cc12</t>
  </si>
  <si>
    <t>19:A</t>
  </si>
  <si>
    <t>Chemistry 281</t>
  </si>
  <si>
    <t>Nc1nc(ns1)c2ccccc2</t>
  </si>
  <si>
    <t>19:B</t>
  </si>
  <si>
    <t>Chemistry 282</t>
  </si>
  <si>
    <t>Nc1nsc(n1)c2ccccc2</t>
  </si>
  <si>
    <t>19:C</t>
  </si>
  <si>
    <t>CNC(=O)C(C)(C)O</t>
  </si>
  <si>
    <t>19:D</t>
  </si>
  <si>
    <t>C\C=C\c1ccccn1</t>
  </si>
  <si>
    <t>19:E</t>
  </si>
  <si>
    <t>Chemistry 283</t>
  </si>
  <si>
    <t>CNc1nc(C)cs1</t>
  </si>
  <si>
    <t>19:F</t>
  </si>
  <si>
    <t>Chemistry 284</t>
  </si>
  <si>
    <t>Nc1nc(cs1)c2ccccc2</t>
  </si>
  <si>
    <t>19:G</t>
  </si>
  <si>
    <t>Chemistry 285</t>
  </si>
  <si>
    <t>Nc1nc2ccccc2[nH]1</t>
  </si>
  <si>
    <t>19:H</t>
  </si>
  <si>
    <t>CC(=O)NC(C)(C)C#N</t>
  </si>
  <si>
    <t>19:I</t>
  </si>
  <si>
    <t>CNC(=O)CCC(C)O</t>
  </si>
  <si>
    <t>19:J</t>
  </si>
  <si>
    <t>Chemistry 286</t>
  </si>
  <si>
    <t>Nc1cc(n[nH]1)c2ccccc2</t>
  </si>
  <si>
    <t>19:K</t>
  </si>
  <si>
    <t>Chemistry 287</t>
  </si>
  <si>
    <t>C(CNc1ccccc1)Nc2ccccc2</t>
  </si>
  <si>
    <t>19:L</t>
  </si>
  <si>
    <t>CC(C)(O)c1ccccn1</t>
  </si>
  <si>
    <t>19:M</t>
  </si>
  <si>
    <t>CNC(=O)c1cccs1</t>
  </si>
  <si>
    <t>19:N</t>
  </si>
  <si>
    <t>OC1(CCC1)c2nccs2</t>
  </si>
  <si>
    <t>19:O</t>
  </si>
  <si>
    <t>Chemistry 288</t>
  </si>
  <si>
    <t>Cc1nsc(NC(=O)OC(C)(C)C)n1</t>
  </si>
  <si>
    <t>19:P</t>
  </si>
  <si>
    <t>Chemistry 289</t>
  </si>
  <si>
    <t>CC(C)(C)OC(=O)Nc1nccs1</t>
  </si>
  <si>
    <t>20:A</t>
  </si>
  <si>
    <t>Cc1oc(nn1)c2ccccc2</t>
  </si>
  <si>
    <t>20:B</t>
  </si>
  <si>
    <t>CC1CC=NN1c2ccccc2</t>
  </si>
  <si>
    <t>20:C</t>
  </si>
  <si>
    <t>Chemistry 290</t>
  </si>
  <si>
    <t>COC(=O)c1c[nH]nn1</t>
  </si>
  <si>
    <t>20:D</t>
  </si>
  <si>
    <t>Chemistry 291</t>
  </si>
  <si>
    <t>COC(=O)c1oncc1</t>
  </si>
  <si>
    <t>20:E</t>
  </si>
  <si>
    <t>Chemistry 292</t>
  </si>
  <si>
    <t>COC(=O)c1nccs1</t>
  </si>
  <si>
    <t>20:F</t>
  </si>
  <si>
    <t>Chemistry 293</t>
  </si>
  <si>
    <t>COC(=O)Cc1nccs1</t>
  </si>
  <si>
    <t>20:G</t>
  </si>
  <si>
    <t>Chemistry 294</t>
  </si>
  <si>
    <t>COC(=O)Cc1ncc(Br)s1</t>
  </si>
  <si>
    <t>20:H</t>
  </si>
  <si>
    <t>Chemistry 295</t>
  </si>
  <si>
    <t>COC(=O)c1cc(C)[nH]n1</t>
  </si>
  <si>
    <t>20:I</t>
  </si>
  <si>
    <t>Chemistry 296</t>
  </si>
  <si>
    <t>COC(=O)c1ccccc1c2ccc[nH]2</t>
  </si>
  <si>
    <t>20:J</t>
  </si>
  <si>
    <t>Chemistry 297</t>
  </si>
  <si>
    <t>COC(=O)c1ccccc1S</t>
  </si>
  <si>
    <t>20:K</t>
  </si>
  <si>
    <t>Chemistry 298</t>
  </si>
  <si>
    <t>CC(=O)c1nc(c[nH]1)c2ccccc2</t>
  </si>
  <si>
    <t>20:L</t>
  </si>
  <si>
    <t>Chemistry 299</t>
  </si>
  <si>
    <t>CC(=O)c1ccc[nH]1</t>
  </si>
  <si>
    <t>20:M</t>
  </si>
  <si>
    <t>Chemistry 300</t>
  </si>
  <si>
    <t>CCc1oc(O)nn1</t>
  </si>
  <si>
    <t>20:N</t>
  </si>
  <si>
    <t>Chemistry 301</t>
  </si>
  <si>
    <t>Oc1noc2ccccc12</t>
  </si>
  <si>
    <t>20:O</t>
  </si>
  <si>
    <t>O=C1NC(CCO1)c2ccccc2</t>
  </si>
  <si>
    <t>20:P</t>
  </si>
  <si>
    <t>Chemistry 302</t>
  </si>
  <si>
    <t>Oc1ccccc1c2cc[nH]n2</t>
  </si>
  <si>
    <t>21:A</t>
  </si>
  <si>
    <t>Chemistry 303</t>
  </si>
  <si>
    <t>Oc1cccc2cc[nH]c12</t>
  </si>
  <si>
    <t>21:B</t>
  </si>
  <si>
    <t>Chemistry 304</t>
  </si>
  <si>
    <t>Oc1ccccc1S</t>
  </si>
  <si>
    <t>21:C</t>
  </si>
  <si>
    <t>Chemistry 305</t>
  </si>
  <si>
    <t>CN(C)CCN(C)C</t>
  </si>
  <si>
    <t>21:D</t>
  </si>
  <si>
    <t>Chemistry 306</t>
  </si>
  <si>
    <t>CN(C)CCOCCN(C)C</t>
  </si>
  <si>
    <t>21:E</t>
  </si>
  <si>
    <t>CC(C)(C)NC(=O)c1cnccn1</t>
  </si>
  <si>
    <t>21:F</t>
  </si>
  <si>
    <t>Chemistry 307</t>
  </si>
  <si>
    <t>Sc1nc(cs1)c2ccccc2</t>
  </si>
  <si>
    <t>21:G</t>
  </si>
  <si>
    <t>Chemistry 308</t>
  </si>
  <si>
    <t>c1csc(c1)c2ccn[nH]2</t>
  </si>
  <si>
    <t>21:H</t>
  </si>
  <si>
    <t>Chemistry 309</t>
  </si>
  <si>
    <t>Cc1cc([nH]n1)c2cccs2</t>
  </si>
  <si>
    <t>21:I</t>
  </si>
  <si>
    <t>NC(=O)c1ccc(cc1)C(F)(F)F</t>
  </si>
  <si>
    <t>21:J</t>
  </si>
  <si>
    <t>CN(C(=O)CC(=O)O)c1ccccc1</t>
  </si>
  <si>
    <t>21:K</t>
  </si>
  <si>
    <t>Chemistry 310</t>
  </si>
  <si>
    <t>Cc1onc(c1)c2ccn(C)n2</t>
  </si>
  <si>
    <t>21:L</t>
  </si>
  <si>
    <t>Chemistry 311</t>
  </si>
  <si>
    <t>c1c[nH]c(c1)c2cccs2</t>
  </si>
  <si>
    <t>21:M</t>
  </si>
  <si>
    <t>CCCNC(=O)OCc1ccccc1</t>
  </si>
  <si>
    <t>21:N</t>
  </si>
  <si>
    <t>Chemistry 312</t>
  </si>
  <si>
    <t>COC(=O)C(=C)NC(=O)C</t>
  </si>
  <si>
    <t>21:O</t>
  </si>
  <si>
    <t>Chemistry 313</t>
  </si>
  <si>
    <t>CC(=O)N\C(=C/c1ccccc1)\C(=O)O</t>
  </si>
  <si>
    <t>21:P</t>
  </si>
  <si>
    <t>Chemistry 314</t>
  </si>
  <si>
    <t>CCOC(=O)\C=C\N(C)C</t>
  </si>
  <si>
    <t>22:A</t>
  </si>
  <si>
    <t>Chemistry 315</t>
  </si>
  <si>
    <t>CC(=O)CC(=O)Nc1ccccc1</t>
  </si>
  <si>
    <t>22:B</t>
  </si>
  <si>
    <t>Chemistry 316</t>
  </si>
  <si>
    <t>CCN(CC)C(=O)CC(=O)C</t>
  </si>
  <si>
    <t>22:C</t>
  </si>
  <si>
    <t>O=C1CCCN1CCN2CCCC2=O</t>
  </si>
  <si>
    <t>22:D</t>
  </si>
  <si>
    <t>Chemistry 317</t>
  </si>
  <si>
    <t>COC(=O)C1CCCC(=O)N1</t>
  </si>
  <si>
    <t>22:E</t>
  </si>
  <si>
    <t>CC(=O)NCc1ccc2ccccc2n1</t>
  </si>
  <si>
    <t>22:F</t>
  </si>
  <si>
    <t>Chemistry 318</t>
  </si>
  <si>
    <t>CN(C)C(=O)CC(=O)C</t>
  </si>
  <si>
    <t>22:G</t>
  </si>
  <si>
    <t>Chemistry 319</t>
  </si>
  <si>
    <t>CCSc1nnc(N)s1</t>
  </si>
  <si>
    <t>22:H</t>
  </si>
  <si>
    <t>CNC(=O)c1ccc(cc1)C(F)(F)F</t>
  </si>
  <si>
    <t>22:I</t>
  </si>
  <si>
    <t>Chemistry 320</t>
  </si>
  <si>
    <t>O=C1NC(=O)C2CCCCC12</t>
  </si>
  <si>
    <t>22:J</t>
  </si>
  <si>
    <t>Chemistry 321</t>
  </si>
  <si>
    <t>O=C1CC(=O)NC(=O)N1</t>
  </si>
  <si>
    <t>22:K</t>
  </si>
  <si>
    <t>Chemistry 322</t>
  </si>
  <si>
    <t>O=C1CCCC=C1</t>
  </si>
  <si>
    <t>22:L</t>
  </si>
  <si>
    <t>Chemistry 323</t>
  </si>
  <si>
    <t>COC(=O)\C=C\C</t>
  </si>
  <si>
    <t>22:M</t>
  </si>
  <si>
    <t>Chemistry 324</t>
  </si>
  <si>
    <t>CCC(=O)C(=O)C</t>
  </si>
  <si>
    <t>22:N</t>
  </si>
  <si>
    <t>Chemistry 325</t>
  </si>
  <si>
    <t>O=C1OCc2ccccc12</t>
  </si>
  <si>
    <t>22:O</t>
  </si>
  <si>
    <t>Chemistry 326</t>
  </si>
  <si>
    <t>NN=C(c1ccccc1)c2ccccc2</t>
  </si>
  <si>
    <t>22:P</t>
  </si>
  <si>
    <t>CC(C)(C)OC(=O)NC1CCCNC1=O</t>
  </si>
  <si>
    <t>23:A</t>
  </si>
  <si>
    <t>Chemistry 327</t>
  </si>
  <si>
    <t>23:B</t>
  </si>
  <si>
    <t>Chemistry 328</t>
  </si>
  <si>
    <t>N#Cc1ccccc1</t>
  </si>
  <si>
    <t>23:C</t>
  </si>
  <si>
    <t>Chemistry 329</t>
  </si>
  <si>
    <t>Cc1onc(C)c1</t>
  </si>
  <si>
    <t>23:D</t>
  </si>
  <si>
    <t>Chemistry 330</t>
  </si>
  <si>
    <t>c1ccc(cc1)c2cc[nH]n2</t>
  </si>
  <si>
    <t>23:E</t>
  </si>
  <si>
    <t>Chemistry 331</t>
  </si>
  <si>
    <t>23:F</t>
  </si>
  <si>
    <t>Cc1ccc(cc1)\C(=N/O)\N</t>
  </si>
  <si>
    <t>23:G</t>
  </si>
  <si>
    <t>COn1c(nc2ccccc12)c3ccccc3</t>
  </si>
  <si>
    <t>23:H</t>
  </si>
  <si>
    <t>Chemistry 333</t>
  </si>
  <si>
    <t>COC(=O)n1cccc1</t>
  </si>
  <si>
    <t>23:I</t>
  </si>
  <si>
    <t>CCOC(=O)CNC(=O)c1snnc1C</t>
  </si>
  <si>
    <t>23:J</t>
  </si>
  <si>
    <t>Chemistry 334</t>
  </si>
  <si>
    <t>Oc1nccs1</t>
  </si>
  <si>
    <t>23:K</t>
  </si>
  <si>
    <t>Chemistry 335</t>
  </si>
  <si>
    <t>CSc1cnccn1</t>
  </si>
  <si>
    <t>23:L</t>
  </si>
  <si>
    <t>C(=C\c1ccc2ccccc2n1)/c3ccccc3</t>
  </si>
  <si>
    <t>23:M</t>
  </si>
  <si>
    <t>CC(C)C[C@H](Nc1ccccc1)C(=O)NCC#N</t>
  </si>
  <si>
    <t>23:N</t>
  </si>
  <si>
    <t>Chemistry 336</t>
  </si>
  <si>
    <t>OC(=O)CCc1onc(O)c1</t>
  </si>
  <si>
    <t>23:O</t>
  </si>
  <si>
    <t>Chemistry 337</t>
  </si>
  <si>
    <t>C[C@@H]([C@H](O)c1ccccc1)N2CCCC2</t>
  </si>
  <si>
    <t>23:P</t>
  </si>
  <si>
    <t>CCCC(=O)N1[C@@H](Cc2ccccc2)COC1=O</t>
  </si>
  <si>
    <t>24:A</t>
  </si>
  <si>
    <t>Chemistry 338</t>
  </si>
  <si>
    <t>CC(O)c1onc(C)n1</t>
  </si>
  <si>
    <t>24:B</t>
  </si>
  <si>
    <t>CC(O)(c1ccccc1)c2nc3ccccc3s2</t>
  </si>
  <si>
    <t>24:C</t>
  </si>
  <si>
    <t>Chemistry 339</t>
  </si>
  <si>
    <t>CC(=O)c1onc(C)c1</t>
  </si>
  <si>
    <t>24:D</t>
  </si>
  <si>
    <t>Chemistry 340</t>
  </si>
  <si>
    <t>CC(C)(C)c1ccc(O)c(O)c1</t>
  </si>
  <si>
    <t>24:E</t>
  </si>
  <si>
    <t>Chemistry 341</t>
  </si>
  <si>
    <t>o1cccc1c2cc[nH]n2</t>
  </si>
  <si>
    <t>24:F</t>
  </si>
  <si>
    <t>O[C@@H]1Cc2ccccc2[C@@H]1NC(=O)Cc3ccccc3</t>
  </si>
  <si>
    <t>24:G</t>
  </si>
  <si>
    <t>CC(C)(C)OC(=O)N[C@H]1CCCC[C@H]1NC(=O)c2ccc(F)cc2</t>
  </si>
  <si>
    <t>24:H</t>
  </si>
  <si>
    <t>CCCCCCCCc1ccc(OCCOCCOCCO)cc1</t>
  </si>
  <si>
    <t>24:I</t>
  </si>
  <si>
    <t>CC[C@H]1CCN([C@@H]1C(=O)N[C@@H](C)c2ccccc2)C(=O)OC(C)(C)C</t>
  </si>
  <si>
    <t>24:J</t>
  </si>
  <si>
    <t>CCN(CC)C(=O)[C@H](Cc1ccccc1)NS(=O)(=O)c2ccccc2</t>
  </si>
  <si>
    <t>24:K</t>
  </si>
  <si>
    <t>CC(NC(=O)C(C)(C)Oc1ccc(cn1)C(F)(F)F)C(O)c2ccccc2</t>
  </si>
  <si>
    <t>24:L</t>
  </si>
  <si>
    <t>Oc1ccc(nc1C(=O)NCc2cc(F)cc(F)c2)N3CCCCS3(=O)=O</t>
  </si>
  <si>
    <t>24:M</t>
  </si>
  <si>
    <t>CNc1snc2ccccc12</t>
  </si>
  <si>
    <t>24:N</t>
  </si>
  <si>
    <t>CC(C)c1ccc(cc1)[N+](=O)[O-]</t>
  </si>
  <si>
    <t>24:O</t>
  </si>
  <si>
    <t>o1cnc2ccccc12</t>
  </si>
  <si>
    <t>24:P</t>
  </si>
  <si>
    <t>Cc1cc[n+]([O-])cc1</t>
  </si>
  <si>
    <t>Sample #</t>
  </si>
  <si>
    <t>Fragment 1</t>
  </si>
  <si>
    <t>Fragment 2</t>
  </si>
  <si>
    <t>Fragment 3</t>
  </si>
  <si>
    <t>Fragment 4</t>
  </si>
  <si>
    <t>Fragment 5</t>
  </si>
  <si>
    <t>Fragment 6</t>
  </si>
  <si>
    <t>Fragment 7</t>
  </si>
  <si>
    <t>Fragment 8</t>
  </si>
  <si>
    <t>Fragment 9</t>
  </si>
  <si>
    <t>Fragment 10</t>
  </si>
  <si>
    <t>Fragment 11</t>
  </si>
  <si>
    <t>Fragment 12</t>
  </si>
  <si>
    <t>Fragment 13</t>
  </si>
  <si>
    <t>Fragment 14</t>
  </si>
  <si>
    <t>Fragment 15</t>
  </si>
  <si>
    <t>Fragment 16</t>
  </si>
  <si>
    <t>Fragment 17</t>
  </si>
  <si>
    <t>Fragment 18</t>
  </si>
  <si>
    <t>Fragment 19</t>
  </si>
  <si>
    <t>Fragment 20</t>
  </si>
  <si>
    <t>Fragment 21</t>
  </si>
  <si>
    <t>Fragment 22</t>
  </si>
  <si>
    <t>Fragment 23</t>
  </si>
  <si>
    <t>Fragment 24</t>
  </si>
  <si>
    <t>Fragment 25</t>
  </si>
  <si>
    <t>Fragment 26</t>
  </si>
  <si>
    <t>Fragment 27</t>
  </si>
  <si>
    <t>Fragment 28</t>
  </si>
  <si>
    <t>Fragment 29</t>
  </si>
  <si>
    <t>Fragment 30</t>
  </si>
  <si>
    <t>Fragment 31</t>
  </si>
  <si>
    <t>Fragment 32</t>
  </si>
  <si>
    <t>Fragment 33</t>
  </si>
  <si>
    <t>Fragment 34</t>
  </si>
  <si>
    <t>Fragment 35</t>
  </si>
  <si>
    <t>Fragment 36</t>
  </si>
  <si>
    <t>Fragment 37</t>
  </si>
  <si>
    <t>Fragment 38</t>
  </si>
  <si>
    <t>Fragment 39</t>
  </si>
  <si>
    <t>Fragment 40</t>
  </si>
  <si>
    <t>Fragment 41</t>
  </si>
  <si>
    <t>Fragment 42</t>
  </si>
  <si>
    <t>Fragment 43</t>
  </si>
  <si>
    <t>Fragment 44</t>
  </si>
  <si>
    <t>Fragment 45</t>
  </si>
  <si>
    <t>Fragment 46</t>
  </si>
  <si>
    <t>Fragment 47</t>
  </si>
  <si>
    <t>Fragment 48</t>
  </si>
  <si>
    <t>Fragment 49</t>
  </si>
  <si>
    <t>Fragment 50</t>
  </si>
  <si>
    <t>Fragment 51</t>
  </si>
  <si>
    <t>Fragment 52</t>
  </si>
  <si>
    <t>Fragment 53</t>
  </si>
  <si>
    <t>Fragment 54</t>
  </si>
  <si>
    <t>Fragment 55</t>
  </si>
  <si>
    <t>Fragment 56</t>
  </si>
  <si>
    <t>Fragment 57</t>
  </si>
  <si>
    <t>Fragment 58</t>
  </si>
  <si>
    <t>Fragment 59</t>
  </si>
  <si>
    <t>Fragment 60</t>
  </si>
  <si>
    <t>Fragment 61</t>
  </si>
  <si>
    <t>Fragment 62</t>
  </si>
  <si>
    <t>Fragment 63</t>
  </si>
  <si>
    <t>Fragment 64</t>
  </si>
  <si>
    <t>Fragment 65</t>
  </si>
  <si>
    <t>Fragment 66</t>
  </si>
  <si>
    <t>Fragment 67</t>
  </si>
  <si>
    <t>Fragment 68</t>
  </si>
  <si>
    <t>Fragment 69</t>
  </si>
  <si>
    <t>Fragment 70</t>
  </si>
  <si>
    <t>Fragment 71</t>
  </si>
  <si>
    <t>Fragment 72</t>
  </si>
  <si>
    <t>Fragment 73</t>
  </si>
  <si>
    <t>Fragment 74</t>
  </si>
  <si>
    <t>Fragment 75</t>
  </si>
  <si>
    <t>Fragment 76</t>
  </si>
  <si>
    <t>Fragment 77</t>
  </si>
  <si>
    <t>Fragment 78</t>
  </si>
  <si>
    <t>Fragment 79</t>
  </si>
  <si>
    <t>Fragment 80</t>
  </si>
  <si>
    <t>Fragment 81</t>
  </si>
  <si>
    <t>Fragment 82</t>
  </si>
  <si>
    <t>Fragment 83</t>
  </si>
  <si>
    <t>Fragment 84</t>
  </si>
  <si>
    <t>Fragment 85</t>
  </si>
  <si>
    <t>Fragment 86</t>
  </si>
  <si>
    <t>Fragment 87</t>
  </si>
  <si>
    <t>Fragment 88</t>
  </si>
  <si>
    <t>Fragment 89</t>
  </si>
  <si>
    <t>Fragment 90</t>
  </si>
  <si>
    <t>Fragment 91</t>
  </si>
  <si>
    <t>Fragment 92</t>
  </si>
  <si>
    <t>Fragment 93</t>
  </si>
  <si>
    <t>Fragment 94</t>
  </si>
  <si>
    <t>Fragment 95</t>
  </si>
  <si>
    <t>Fragment 96</t>
  </si>
  <si>
    <t>Fragment 97</t>
  </si>
  <si>
    <t>Fragment 98</t>
  </si>
  <si>
    <t>Fragment 99</t>
  </si>
  <si>
    <t>Fragment 100</t>
  </si>
  <si>
    <t>Fragment 101</t>
  </si>
  <si>
    <t>Fragment 102</t>
  </si>
  <si>
    <t>Fragment 103</t>
  </si>
  <si>
    <t>Fragment 104</t>
  </si>
  <si>
    <t>Fragment 105</t>
  </si>
  <si>
    <t>Fragment 106</t>
  </si>
  <si>
    <t>Fragment 107</t>
  </si>
  <si>
    <t>Fragment 108</t>
  </si>
  <si>
    <t>Fragment 109</t>
  </si>
  <si>
    <t>Fragment 110</t>
  </si>
  <si>
    <t>Fragment 111</t>
  </si>
  <si>
    <t>Fragment 112</t>
  </si>
  <si>
    <t>Fragment 113</t>
  </si>
  <si>
    <t>Fragment 114</t>
  </si>
  <si>
    <t>Fragment 115</t>
  </si>
  <si>
    <t>Fragment 116</t>
  </si>
  <si>
    <t>Fragment 117</t>
  </si>
  <si>
    <t>Fragment 118</t>
  </si>
  <si>
    <t>Fragment 119</t>
  </si>
  <si>
    <t>Fragment 120</t>
  </si>
  <si>
    <t>Fragment 121</t>
  </si>
  <si>
    <t>Fragment 122</t>
  </si>
  <si>
    <t>Fragment 123</t>
  </si>
  <si>
    <t>Fragment 124</t>
  </si>
  <si>
    <t>Fragment 125</t>
  </si>
  <si>
    <t>Fragment 126</t>
  </si>
  <si>
    <t>Fragment 127</t>
  </si>
  <si>
    <t>Fragment 128</t>
  </si>
  <si>
    <t>Fragment 129</t>
  </si>
  <si>
    <t>Fragment 130</t>
  </si>
  <si>
    <t>Fragment 131</t>
  </si>
  <si>
    <t>Fragment 132</t>
  </si>
  <si>
    <t>Fragment 133</t>
  </si>
  <si>
    <t>Fragment 134</t>
  </si>
  <si>
    <t>Fragment 135</t>
  </si>
  <si>
    <t>Fragment 136</t>
  </si>
  <si>
    <t>Fragment 137</t>
  </si>
  <si>
    <t>Fragment 138</t>
  </si>
  <si>
    <t>Fragment 139</t>
  </si>
  <si>
    <t>Fragment 140</t>
  </si>
  <si>
    <t>Fragment 141</t>
  </si>
  <si>
    <t>Fragment 142</t>
  </si>
  <si>
    <t>Fragment 143</t>
  </si>
  <si>
    <t>Fragment 144</t>
  </si>
  <si>
    <t>Fragment 145</t>
  </si>
  <si>
    <t>Fragment 146</t>
  </si>
  <si>
    <t>Fragment 147</t>
  </si>
  <si>
    <t>Fragment 148</t>
  </si>
  <si>
    <t>Fragment 149</t>
  </si>
  <si>
    <t>Fragment 150</t>
  </si>
  <si>
    <t>Fragment 151</t>
  </si>
  <si>
    <t>Fragment 152</t>
  </si>
  <si>
    <t>Fragment 153</t>
  </si>
  <si>
    <t>Fragment 154</t>
  </si>
  <si>
    <t>Fragment 155</t>
  </si>
  <si>
    <t>Fragment 156</t>
  </si>
  <si>
    <t>Fragment 157</t>
  </si>
  <si>
    <t>Fragment 158</t>
  </si>
  <si>
    <t>Fragment 159</t>
  </si>
  <si>
    <t>Fragment 160</t>
  </si>
  <si>
    <t>Fragment 161</t>
  </si>
  <si>
    <t>Fragment 162</t>
  </si>
  <si>
    <t>Fragment 163</t>
  </si>
  <si>
    <t>Fragment 164</t>
  </si>
  <si>
    <t>Fragment 165</t>
  </si>
  <si>
    <t>Fragment 166</t>
  </si>
  <si>
    <t>Fragment 167</t>
  </si>
  <si>
    <t>Fragment 168</t>
  </si>
  <si>
    <t>Fragment 169</t>
  </si>
  <si>
    <t>Fragment 170</t>
  </si>
  <si>
    <t>Fragment 171</t>
  </si>
  <si>
    <t>Fragment 172</t>
  </si>
  <si>
    <t>Fragment 173</t>
  </si>
  <si>
    <t>Fragment 174</t>
  </si>
  <si>
    <t>Fragment 175</t>
  </si>
  <si>
    <t>Fragment 176</t>
  </si>
  <si>
    <t>Fragment 177</t>
  </si>
  <si>
    <t>Fragment 178</t>
  </si>
  <si>
    <t>Fragment 179</t>
  </si>
  <si>
    <t>Fragment 180</t>
  </si>
  <si>
    <t>Fragment 181</t>
  </si>
  <si>
    <t>Fragment 182</t>
  </si>
  <si>
    <t>Fragment 183</t>
  </si>
  <si>
    <t>Fragment 184</t>
  </si>
  <si>
    <t>Fragment 185</t>
  </si>
  <si>
    <t>Fragment 186</t>
  </si>
  <si>
    <t>Fragment 187</t>
  </si>
  <si>
    <t>Fragment 188</t>
  </si>
  <si>
    <t>Fragment 189</t>
  </si>
  <si>
    <t>Fragment 190</t>
  </si>
  <si>
    <t>Fragment 191</t>
  </si>
  <si>
    <t>Fragment 192</t>
  </si>
  <si>
    <t>Fragment 193</t>
  </si>
  <si>
    <t>Fragment 194</t>
  </si>
  <si>
    <t>Fragment 195</t>
  </si>
  <si>
    <t>Fragment 196</t>
  </si>
  <si>
    <t>Fragment 197</t>
  </si>
  <si>
    <t>Fragment 198</t>
  </si>
  <si>
    <t>Fragment 199</t>
  </si>
  <si>
    <t>Fragment 200</t>
  </si>
  <si>
    <t>Fragment 201</t>
  </si>
  <si>
    <t>Fragment 202</t>
  </si>
  <si>
    <t>Fragment 203</t>
  </si>
  <si>
    <t>Fragment 204</t>
  </si>
  <si>
    <t>Fragment 205</t>
  </si>
  <si>
    <t>Fragment 206</t>
  </si>
  <si>
    <t>Fragment 207</t>
  </si>
  <si>
    <t>Fragment 208</t>
  </si>
  <si>
    <t>Fragment 209</t>
  </si>
  <si>
    <t>Fragment 210</t>
  </si>
  <si>
    <t>Fragment 211</t>
  </si>
  <si>
    <t>Fragment 212</t>
  </si>
  <si>
    <t>Fragment 213</t>
  </si>
  <si>
    <t>Fragment 214</t>
  </si>
  <si>
    <t>Fragment 215</t>
  </si>
  <si>
    <t>Fragment 216</t>
  </si>
  <si>
    <t>Fragment 217</t>
  </si>
  <si>
    <t>Fragment 218</t>
  </si>
  <si>
    <t>Fragment 219</t>
  </si>
  <si>
    <t>Fragment 220</t>
  </si>
  <si>
    <t>Fragment 221</t>
  </si>
  <si>
    <t>Fragment 222</t>
  </si>
  <si>
    <t>Fragment 223</t>
  </si>
  <si>
    <t>Fragment 224</t>
  </si>
  <si>
    <t>Fragment 225</t>
  </si>
  <si>
    <t>Fragment 226</t>
  </si>
  <si>
    <t>Fragment 227</t>
  </si>
  <si>
    <t>Fragment 228</t>
  </si>
  <si>
    <t>Fragment 229</t>
  </si>
  <si>
    <t>Fragment 230</t>
  </si>
  <si>
    <t>Fragment 231</t>
  </si>
  <si>
    <t>Fragment 232</t>
  </si>
  <si>
    <t>Fragment 233</t>
  </si>
  <si>
    <t>Fragment 234</t>
  </si>
  <si>
    <t>Fragment 235</t>
  </si>
  <si>
    <t>Fragment 236</t>
  </si>
  <si>
    <t>Fragment 237</t>
  </si>
  <si>
    <t>Fragment 238</t>
  </si>
  <si>
    <t>Fragment 239</t>
  </si>
  <si>
    <t>Fragment 240</t>
  </si>
  <si>
    <t>Fragment 241</t>
  </si>
  <si>
    <t>Fragment 242</t>
  </si>
  <si>
    <t>Fragment 243</t>
  </si>
  <si>
    <t>Fragment 244</t>
  </si>
  <si>
    <t>Fragment 245</t>
  </si>
  <si>
    <t>Fragment 246</t>
  </si>
  <si>
    <t>Fragment 247</t>
  </si>
  <si>
    <t>Fragment 248</t>
  </si>
  <si>
    <t>Fragment 249</t>
  </si>
  <si>
    <t>Fragment 250</t>
  </si>
  <si>
    <t>Fragment 251</t>
  </si>
  <si>
    <t>Fragment 252</t>
  </si>
  <si>
    <t>Fragment 253</t>
  </si>
  <si>
    <t>Fragment 254</t>
  </si>
  <si>
    <t>Fragment 255</t>
  </si>
  <si>
    <t>Fragment 256</t>
  </si>
  <si>
    <t>Fragment 257</t>
  </si>
  <si>
    <t>Fragment 258</t>
  </si>
  <si>
    <t>Fragment 259</t>
  </si>
  <si>
    <t>Fragment 260</t>
  </si>
  <si>
    <t>Fragment 261</t>
  </si>
  <si>
    <t>Fragment 262</t>
  </si>
  <si>
    <t>Fragment 263</t>
  </si>
  <si>
    <t>Fragment 264</t>
  </si>
  <si>
    <t>Fragment 265</t>
  </si>
  <si>
    <t>Fragment 266</t>
  </si>
  <si>
    <t>Fragment 267</t>
  </si>
  <si>
    <t>Fragment 268</t>
  </si>
  <si>
    <t>Fragment 269</t>
  </si>
  <si>
    <t>Fragment 270</t>
  </si>
  <si>
    <t>Fragment 271</t>
  </si>
  <si>
    <t>Fragment 272</t>
  </si>
  <si>
    <t>Fragment 273</t>
  </si>
  <si>
    <t>Fragment 274</t>
  </si>
  <si>
    <t>Fragment 275</t>
  </si>
  <si>
    <t>Fragment 276</t>
  </si>
  <si>
    <t>Fragment 277</t>
  </si>
  <si>
    <t>Fragment 278</t>
  </si>
  <si>
    <t>Fragment 279</t>
  </si>
  <si>
    <t>Fragment 280</t>
  </si>
  <si>
    <t>Fragment 281</t>
  </si>
  <si>
    <t>Fragment 282</t>
  </si>
  <si>
    <t>Fragment 283</t>
  </si>
  <si>
    <t>Fragment 284</t>
  </si>
  <si>
    <t>Fragment 285</t>
  </si>
  <si>
    <t>Fragment 286</t>
  </si>
  <si>
    <t>Fragment 287</t>
  </si>
  <si>
    <t>Fragment 288</t>
  </si>
  <si>
    <t>Fragment 289</t>
  </si>
  <si>
    <t>Fragment 290</t>
  </si>
  <si>
    <t>Fragment 291</t>
  </si>
  <si>
    <t>Fragment 292</t>
  </si>
  <si>
    <t>Fragment 293</t>
  </si>
  <si>
    <t>Fragment 294</t>
  </si>
  <si>
    <t>Fragment 295</t>
  </si>
  <si>
    <t>Fragment 296</t>
  </si>
  <si>
    <t>Fragment 297</t>
  </si>
  <si>
    <t>Fragment 298</t>
  </si>
  <si>
    <t>Fragment 299</t>
  </si>
  <si>
    <t>Fragment 300</t>
  </si>
  <si>
    <t>Fragment 301</t>
  </si>
  <si>
    <t>Fragment 302</t>
  </si>
  <si>
    <t>Fragment 303</t>
  </si>
  <si>
    <t>Fragment 304</t>
  </si>
  <si>
    <t>Fragment 305</t>
  </si>
  <si>
    <t>Fragment 306</t>
  </si>
  <si>
    <t>Fragment 307</t>
  </si>
  <si>
    <t>Fragment 308</t>
  </si>
  <si>
    <t>Fragment 309</t>
  </si>
  <si>
    <t>Fragment 310</t>
  </si>
  <si>
    <t>Fragment 311</t>
  </si>
  <si>
    <t>Fragment 312</t>
  </si>
  <si>
    <t>Fragment 313</t>
  </si>
  <si>
    <t>Fragment 314</t>
  </si>
  <si>
    <t>Fragment 315</t>
  </si>
  <si>
    <t>Fragment 316</t>
  </si>
  <si>
    <t>Fragment 317</t>
  </si>
  <si>
    <t>Fragment 318</t>
  </si>
  <si>
    <t>Fragment 319</t>
  </si>
  <si>
    <t>Fragment 320</t>
  </si>
  <si>
    <t>Fragment 321</t>
  </si>
  <si>
    <t>Fragment 322</t>
  </si>
  <si>
    <t>Fragment 323</t>
  </si>
  <si>
    <t>Fragment 324</t>
  </si>
  <si>
    <t>Fragment 325</t>
  </si>
  <si>
    <t>Fragment 326</t>
  </si>
  <si>
    <t>Fragment 327</t>
  </si>
  <si>
    <t>Fragment 328</t>
  </si>
  <si>
    <t>Fragment 329</t>
  </si>
  <si>
    <t>Fragment 330</t>
  </si>
  <si>
    <t>Fragment 331</t>
  </si>
  <si>
    <t>Fragment 332</t>
  </si>
  <si>
    <t>Fragment 333</t>
  </si>
  <si>
    <t>Fragment 334</t>
  </si>
  <si>
    <t>Fragment 335</t>
  </si>
  <si>
    <t>Fragment 336</t>
  </si>
  <si>
    <t>Fragment 337</t>
  </si>
  <si>
    <t>Fragment 338</t>
  </si>
  <si>
    <t>Fragment 339</t>
  </si>
  <si>
    <t>Fragment 340</t>
  </si>
  <si>
    <t>Fragment 341</t>
  </si>
  <si>
    <t>Fragment 342</t>
  </si>
  <si>
    <t>Fragment 343</t>
  </si>
  <si>
    <t>Fragment 344</t>
  </si>
  <si>
    <t>Fragment 345</t>
  </si>
  <si>
    <t>Fragment 346</t>
  </si>
  <si>
    <t>Fragment 347</t>
  </si>
  <si>
    <t>Fragment 348</t>
  </si>
  <si>
    <t>Fragment 349</t>
  </si>
  <si>
    <t>Fragment 350</t>
  </si>
  <si>
    <t>Fragment 351</t>
  </si>
  <si>
    <t>Fragment 352</t>
  </si>
  <si>
    <t>Fragment 353</t>
  </si>
  <si>
    <t>Fragment 354</t>
  </si>
  <si>
    <t>Fragment 355</t>
  </si>
  <si>
    <t>Fragment 356</t>
  </si>
  <si>
    <t>Fragment 357</t>
  </si>
  <si>
    <t>Fragment 358</t>
  </si>
  <si>
    <t>Fragment 359</t>
  </si>
  <si>
    <t>Fragment 360</t>
  </si>
  <si>
    <t>Fragment 361</t>
  </si>
  <si>
    <t>Fragment 362</t>
  </si>
  <si>
    <t>Fragment 363</t>
  </si>
  <si>
    <t>Fragment 364</t>
  </si>
  <si>
    <t>Fragment 365</t>
  </si>
  <si>
    <t>Fragment 366</t>
  </si>
  <si>
    <t>Fragment 367</t>
  </si>
  <si>
    <t>Fragment 368</t>
  </si>
  <si>
    <t>Fragment 369</t>
  </si>
  <si>
    <t>Fragment 370</t>
  </si>
  <si>
    <t>Fragment 371</t>
  </si>
  <si>
    <t>Fragment 372</t>
  </si>
  <si>
    <t>Fragment 373</t>
  </si>
  <si>
    <t>Fragment 374</t>
  </si>
  <si>
    <t>Fragment 375</t>
  </si>
  <si>
    <t>Fragment 376</t>
  </si>
  <si>
    <t>Fragment 377</t>
  </si>
  <si>
    <t>Fragment 378</t>
  </si>
  <si>
    <t>Fragment 379</t>
  </si>
  <si>
    <t>Fragment 380</t>
  </si>
  <si>
    <t>Fragment 381</t>
  </si>
  <si>
    <t>Fragment 382</t>
  </si>
  <si>
    <t>Fragment 383</t>
  </si>
  <si>
    <t>Fragment 384</t>
  </si>
  <si>
    <t>Sample Name</t>
  </si>
  <si>
    <t>Amine or Bromide</t>
  </si>
  <si>
    <t>Amine</t>
  </si>
  <si>
    <t>6 MR Heterocycles (all)</t>
  </si>
  <si>
    <t>5 MR Heterocycles (all)</t>
  </si>
  <si>
    <t>Hinderance (all)</t>
  </si>
  <si>
    <t>Bromide</t>
  </si>
  <si>
    <t>Cu MALDI Bromide  Pdt/IS</t>
  </si>
  <si>
    <t>Cu MALDI Amine Pdt/IS</t>
  </si>
  <si>
    <t>Ru MALDI Bromide  Pdt/IS</t>
  </si>
  <si>
    <t>Ru MALDI Amine Pdt/IS</t>
  </si>
  <si>
    <t>Random Bromide Location</t>
  </si>
  <si>
    <t>Random Amine Location</t>
  </si>
  <si>
    <t>Ru TIC A% x TWC A%</t>
  </si>
  <si>
    <t>Cu TIC A% x TWC A%</t>
  </si>
  <si>
    <t>J:11</t>
  </si>
  <si>
    <t>G:23</t>
  </si>
  <si>
    <t>CC1CNCCN1C(=O)OC(C)(C)C</t>
  </si>
  <si>
    <t>CCC1CNCCN1C(=O)OC(C)(C)C</t>
  </si>
  <si>
    <t>CC(C)(C)OC(=O)N1CCNC[C@@H]1CO</t>
  </si>
  <si>
    <t>CC(C)[C@H]1CNCCN1C(=O)OC(C)(C)C</t>
  </si>
  <si>
    <t>C[C@H]1CNCCN1C(=O)OCc2ccccc2</t>
  </si>
  <si>
    <t>CC(C)C[C@H]1CNCCN1C(=O)OC(C)(C)C</t>
  </si>
  <si>
    <t>COC(=O)[C@@H]1CNCCN1C(=O)OC(C)(C)C</t>
  </si>
  <si>
    <t>CC(C)(C)OC(=O)N1CCNC[C@H]1c2ccccc2</t>
  </si>
  <si>
    <t>CC(C)(C)OC(=O)N1CCNCC1Cc2ccccc2</t>
  </si>
  <si>
    <t>COC(=O)[C@@H]1CNCCN1C(=O)OCc2ccccc2</t>
  </si>
  <si>
    <t>CC(C)(C)OC(=O)C1CNCCN1C(=O)OC(C)(C)C</t>
  </si>
  <si>
    <t>CC(C)(C)OC(=O)N1CCNC[C@@H]1COCc2ccccc2</t>
  </si>
  <si>
    <t>CC(C)(C)OC(=O)N1CCNC[C@@H]1Cc2c[nH]c3ccccc23</t>
  </si>
  <si>
    <t>CC1CNCCN1c2ccccc2</t>
  </si>
  <si>
    <t>CC1(C)CN2CCNCC2c3ccccc13</t>
  </si>
  <si>
    <t>CCC(=O)N1CCNCC1</t>
  </si>
  <si>
    <t>COC(=O)N1CCNCC1</t>
  </si>
  <si>
    <t>CC(C)C(=O)N1CCNCC1</t>
  </si>
  <si>
    <t>CN(C)C(=O)N1CCNCC1</t>
  </si>
  <si>
    <t>CC(C)(C)OC(=O)N1CCNCC1</t>
  </si>
  <si>
    <t>O=C(N1CCCCC1)N2CCNCC2</t>
  </si>
  <si>
    <t>O=C(\C=C\c1ccccc1)N2CCNCC2</t>
  </si>
  <si>
    <t>C1Cn2c(CN1)ncc2c3ccccc3</t>
  </si>
  <si>
    <t>C(c1ccccc1)c2cnc3CNCCn23</t>
  </si>
  <si>
    <t>C1Cn2cccc2CN1</t>
  </si>
  <si>
    <t>C1Cn2ccnc2CN1</t>
  </si>
  <si>
    <t>C1Cn2nncc2CN1</t>
  </si>
  <si>
    <t>C1Cn2ncnc2CN1</t>
  </si>
  <si>
    <t>Cc1nnc2CNCCn12</t>
  </si>
  <si>
    <t>CCc1ncc2CNCCn12</t>
  </si>
  <si>
    <t>CC(C)c1ncc2CNCCn12</t>
  </si>
  <si>
    <t>CC(C)c1nnc2CNCCn12</t>
  </si>
  <si>
    <t>FC(F)(F)c1nc2CNCCn2n1</t>
  </si>
  <si>
    <t>CCOC(=O)c1nnc2CNCCn12</t>
  </si>
  <si>
    <t>COCC1CCCCN1</t>
  </si>
  <si>
    <t>Cc1cccnc1CC2CCCCN2</t>
  </si>
  <si>
    <t>C(Cc1ccccn1)C2CCCCN2</t>
  </si>
  <si>
    <t>C(Cc1cccs1)C2CCCCN2</t>
  </si>
  <si>
    <t>C(OCc1ccccc1)[C@H]2CN(Cc3ccccc3)CCN2</t>
  </si>
  <si>
    <t>C1CCC(NC1)c2ccccc2</t>
  </si>
  <si>
    <t>CN1CCNC(C1)c2ccccc2</t>
  </si>
  <si>
    <t>C(C1CCCCN1)N2CCCCC2</t>
  </si>
  <si>
    <t>C(C1CN(Cc2ccccc2)CCN1)c3ccccc3</t>
  </si>
  <si>
    <t>3-Substituted-4-carbonyl piperazines</t>
  </si>
  <si>
    <t>3,4-heterocycle appended piperazines</t>
  </si>
  <si>
    <t>Ru MALDI x MALDI Prediction</t>
  </si>
  <si>
    <t>Cu MALDI x MALDI Prediction</t>
  </si>
  <si>
    <t>FP</t>
  </si>
  <si>
    <t>TP</t>
  </si>
  <si>
    <t>TN</t>
  </si>
  <si>
    <t>FN</t>
  </si>
  <si>
    <t>Ru True Negative</t>
  </si>
  <si>
    <t>Ru False Negative</t>
  </si>
  <si>
    <t>Cu True Negative</t>
  </si>
  <si>
    <t>Cu False Negative</t>
  </si>
  <si>
    <t>Ru True Positive</t>
  </si>
  <si>
    <t>Ru False Positive</t>
  </si>
  <si>
    <t>Cu True Positive</t>
  </si>
  <si>
    <t>Cu False Positive</t>
  </si>
  <si>
    <t>Ru/ Ni Chemistry</t>
  </si>
  <si>
    <t>Cu Chemistry</t>
  </si>
  <si>
    <t>True Negative</t>
  </si>
  <si>
    <t>False Negative</t>
  </si>
  <si>
    <t>True Positive</t>
  </si>
  <si>
    <t>False Positive</t>
  </si>
  <si>
    <t>All 288 Reactions</t>
  </si>
  <si>
    <t>Pass</t>
  </si>
  <si>
    <t>Fail</t>
  </si>
  <si>
    <t>Cu UV210 product area</t>
  </si>
  <si>
    <t>Cu EIC(+)[M+H] product area</t>
  </si>
  <si>
    <t>Cu MALDI product response</t>
  </si>
  <si>
    <t>Cu MALDI internal standard response</t>
  </si>
  <si>
    <t>Cu normalized MALDI response (MALDI prod/ MALDI IS)</t>
  </si>
  <si>
    <t>Ir UV210 product area</t>
  </si>
  <si>
    <t>Ir EIC(+)[M+H] product area</t>
  </si>
  <si>
    <t>Ir MALDI product response</t>
  </si>
  <si>
    <t>Ir MALDI internal standard response</t>
  </si>
  <si>
    <t>Ir normalized MALDI response (MALDI prod/ MALDI IS)</t>
  </si>
  <si>
    <t>Pd UV210 product area</t>
  </si>
  <si>
    <t>Pd EIC(+)[M+H] product area</t>
  </si>
  <si>
    <t>Pd MALDI product response</t>
  </si>
  <si>
    <t>Pd MALDI internal standard response</t>
  </si>
  <si>
    <t>Pd normalized MALDI response (MALDI prod/ MALDI IS)</t>
  </si>
  <si>
    <t>Ru UV210 product area</t>
  </si>
  <si>
    <t>Ru EIC(+)[M+H] product area</t>
  </si>
  <si>
    <t>Ru MALDI product response</t>
  </si>
  <si>
    <t>Ru MALDI internal standard response</t>
  </si>
  <si>
    <t>Ru normalized MALDI response (MALDI prod/ MALDI IS)</t>
  </si>
  <si>
    <t>Total FG</t>
  </si>
  <si>
    <t>Amidines</t>
  </si>
  <si>
    <t>Acylhydrazide</t>
  </si>
  <si>
    <t>Anhydrides</t>
  </si>
  <si>
    <t>Hydrazone</t>
  </si>
  <si>
    <t>Hydroxamic acid</t>
  </si>
  <si>
    <t>N-oxide</t>
  </si>
  <si>
    <t>Oxime</t>
  </si>
  <si>
    <t>Primary Amine</t>
  </si>
  <si>
    <t>Secondary Amine</t>
  </si>
  <si>
    <t>Sulfoxide</t>
  </si>
  <si>
    <t>Thioamide</t>
  </si>
  <si>
    <t>Thiocarbamate</t>
  </si>
  <si>
    <t>Thiol</t>
  </si>
  <si>
    <t>Thiourea</t>
  </si>
  <si>
    <t>Anilines NH2</t>
  </si>
  <si>
    <t>Sulfonamides NH2</t>
  </si>
  <si>
    <t xml:space="preserve">Sulfonamides NHR </t>
  </si>
  <si>
    <t>Sulfonamides NR2</t>
  </si>
  <si>
    <t>5 MR Non NH Het</t>
  </si>
  <si>
    <t>5MR N-X Het</t>
  </si>
  <si>
    <t>5MR non NH, non N-X</t>
  </si>
  <si>
    <t>NR2 amide</t>
  </si>
  <si>
    <t>0</t>
  </si>
  <si>
    <t>1</t>
  </si>
  <si>
    <t>Canonical_Smiles</t>
  </si>
  <si>
    <t>Nitrogens, Mid (2 to 3)</t>
  </si>
  <si>
    <t>Piperidines (amines)</t>
  </si>
  <si>
    <t>Piperazines  (amines)</t>
  </si>
  <si>
    <t>Morpholines (amines)</t>
  </si>
  <si>
    <t>3-substituted (amines)</t>
  </si>
  <si>
    <t>4-Substituted (amines)</t>
  </si>
  <si>
    <t>Bridged Bicyclic (amines)</t>
  </si>
  <si>
    <t>Cu TWC Product Area</t>
  </si>
  <si>
    <t>Cu TWC Product Area%</t>
  </si>
  <si>
    <t>Cu EIC(+)[M+H] Product Area</t>
  </si>
  <si>
    <t>Cu MS TIC(+) Product Area%</t>
  </si>
  <si>
    <t>Cu Normalized MALDI Pdt/IS</t>
  </si>
  <si>
    <t>Ir TWC Product Area</t>
  </si>
  <si>
    <t>Ir TWC Product Area%</t>
  </si>
  <si>
    <t>Ir EIC(+)[M+H] Product Area</t>
  </si>
  <si>
    <t>Ir MS TIC(+) Product Area%</t>
  </si>
  <si>
    <t>Ir Normalized MALDI Pdt/IS</t>
  </si>
  <si>
    <t>Pd TWC Product Area</t>
  </si>
  <si>
    <t>Pd TWC Product Area%</t>
  </si>
  <si>
    <t>Pd EIC(+)[M+H] Product Area</t>
  </si>
  <si>
    <t>Pd MS TIC(+) Product Area%</t>
  </si>
  <si>
    <t>Pd MS TIC x TWC</t>
  </si>
  <si>
    <t>Pd Normalized MALDI Pdt/IS</t>
  </si>
  <si>
    <t>Ru TWC Product Area</t>
  </si>
  <si>
    <t>Ru TWC Product Area%</t>
  </si>
  <si>
    <t>Ru EIC(+)[M+H] Product Area</t>
  </si>
  <si>
    <t>Ru MS TIC(+) Product Area%</t>
  </si>
  <si>
    <t>Ru Normalized MALDI Pdt/IS</t>
  </si>
  <si>
    <t>Whole Molecule 1</t>
  </si>
  <si>
    <t>Brc1ccccn1</t>
  </si>
  <si>
    <t>Whole Molecule 2</t>
  </si>
  <si>
    <t>Brc1cccnc1</t>
  </si>
  <si>
    <t>Whole Molecule 3</t>
  </si>
  <si>
    <t>Brc1cncnc1</t>
  </si>
  <si>
    <t>Whole Molecule 4</t>
  </si>
  <si>
    <t>Cn1cccc1Br</t>
  </si>
  <si>
    <t>Whole Molecule 5</t>
  </si>
  <si>
    <t>Cn1cc(Br)cn1</t>
  </si>
  <si>
    <t>Whole Molecule 6</t>
  </si>
  <si>
    <t>Cn1cnc(Br)c1</t>
  </si>
  <si>
    <t>Whole Molecule 7</t>
  </si>
  <si>
    <t>Cc1[nH]cnc1Br</t>
  </si>
  <si>
    <t>Whole Molecule 8</t>
  </si>
  <si>
    <t>Cc1n[nH]cc1Br</t>
  </si>
  <si>
    <t>Whole Molecule 9</t>
  </si>
  <si>
    <t>Cc1nc(Br)n[nH]1</t>
  </si>
  <si>
    <t>Whole Molecule 10</t>
  </si>
  <si>
    <t>Cn1cc(Br)nn1</t>
  </si>
  <si>
    <t>Whole Molecule 11</t>
  </si>
  <si>
    <t>Cc1onc(Br)n1</t>
  </si>
  <si>
    <t>Whole Molecule 12</t>
  </si>
  <si>
    <t>Cn1nnnc1Br</t>
  </si>
  <si>
    <t>Whole Molecule 13</t>
  </si>
  <si>
    <t>Brc1cccs1</t>
  </si>
  <si>
    <t>Whole Molecule 14</t>
  </si>
  <si>
    <t>Brc1ccsc1</t>
  </si>
  <si>
    <t>Whole Molecule 15</t>
  </si>
  <si>
    <t>Brc1cnsc1</t>
  </si>
  <si>
    <t>Whole Molecule 16</t>
  </si>
  <si>
    <t>Brc1cscn1</t>
  </si>
  <si>
    <t>Whole Molecule 17</t>
  </si>
  <si>
    <t>Brc1cnsn1</t>
  </si>
  <si>
    <t>Whole Molecule 18</t>
  </si>
  <si>
    <t>Cc1cc(Br)ccn1</t>
  </si>
  <si>
    <t>Whole Molecule 19</t>
  </si>
  <si>
    <t>Cc1cccc(Br)n1</t>
  </si>
  <si>
    <t>Whole Molecule 20</t>
  </si>
  <si>
    <t>Cc1ncccc1Br</t>
  </si>
  <si>
    <t>Whole Molecule 21</t>
  </si>
  <si>
    <t>Cc1ncc(Br)cn1</t>
  </si>
  <si>
    <t>Whole Molecule 22</t>
  </si>
  <si>
    <t>Cc1nccnc1Br</t>
  </si>
  <si>
    <t>Whole Molecule 23</t>
  </si>
  <si>
    <t>BrC1=CNC(=O)C=C1</t>
  </si>
  <si>
    <t>Whole Molecule 24</t>
  </si>
  <si>
    <t>Oc1cccc(Br)n1</t>
  </si>
  <si>
    <t>Whole Molecule 25</t>
  </si>
  <si>
    <t>Oc1ncccc1Br</t>
  </si>
  <si>
    <t>Whole Molecule 26</t>
  </si>
  <si>
    <t>Brc1c[nH]c(C=O)c1</t>
  </si>
  <si>
    <t>Whole Molecule 27</t>
  </si>
  <si>
    <t>Brc1nc[nH]c1C=O</t>
  </si>
  <si>
    <t>Whole Molecule 28</t>
  </si>
  <si>
    <t>Brc1cc(on1)C=O</t>
  </si>
  <si>
    <t>Whole Molecule 29</t>
  </si>
  <si>
    <t>Cc1nsc(Br)n1</t>
  </si>
  <si>
    <t>Whole Molecule 30</t>
  </si>
  <si>
    <t>Brc1cccnc1C#N</t>
  </si>
  <si>
    <t>Whole Molecule 31</t>
  </si>
  <si>
    <t>Brc1ccc(C=O)nc1</t>
  </si>
  <si>
    <t>Whole Molecule 32</t>
  </si>
  <si>
    <t>COc1cc(Br)ccn1</t>
  </si>
  <si>
    <t>Whole Molecule 33</t>
  </si>
  <si>
    <t>COc1ccc(Br)cn1</t>
  </si>
  <si>
    <t>Whole Molecule 34</t>
  </si>
  <si>
    <t>COc1cccc(Br)n1</t>
  </si>
  <si>
    <t>Whole Molecule 35</t>
  </si>
  <si>
    <t>COc1ncccc1Br</t>
  </si>
  <si>
    <t>Whole Molecule 36</t>
  </si>
  <si>
    <t>CNc1cnc(Br)cn1</t>
  </si>
  <si>
    <t>Whole Molecule 37</t>
  </si>
  <si>
    <t>[O-][N+](=O)c1n[nH]cc1Br</t>
  </si>
  <si>
    <t>Whole Molecule 38</t>
  </si>
  <si>
    <t>Brc1cnc2[nH]ccc2c1</t>
  </si>
  <si>
    <t>Whole Molecule 39</t>
  </si>
  <si>
    <t>Brc1cnc2occc2c1</t>
  </si>
  <si>
    <t>Whole Molecule 40</t>
  </si>
  <si>
    <t>Brc1ccc2cnnn2c1</t>
  </si>
  <si>
    <t>Whole Molecule 41</t>
  </si>
  <si>
    <t>Brc1cnc2oncc2c1</t>
  </si>
  <si>
    <t>Whole Molecule 42</t>
  </si>
  <si>
    <t>Brc1ccn2ncnc2n1</t>
  </si>
  <si>
    <t>Whole Molecule 43</t>
  </si>
  <si>
    <t>CC(O)c1ccc(Br)cn1</t>
  </si>
  <si>
    <t>Whole Molecule 44</t>
  </si>
  <si>
    <t>CNC(=O)c1cc(Br)c[nH]1</t>
  </si>
  <si>
    <t>Whole Molecule 45</t>
  </si>
  <si>
    <t>COC(=O)c1cc(Br)c[nH]1</t>
  </si>
  <si>
    <t>Whole Molecule 46</t>
  </si>
  <si>
    <t>COC(=O)c1[nH]ncc1Br</t>
  </si>
  <si>
    <t>Whole Molecule 47</t>
  </si>
  <si>
    <t>COC(=O)c1nc[nH]c1Br</t>
  </si>
  <si>
    <t>Whole Molecule 48</t>
  </si>
  <si>
    <t>CC(=O)c1cc(Br)cs1</t>
  </si>
  <si>
    <t>Whole Molecule 49</t>
  </si>
  <si>
    <t>COC(=O)c1[nH]nnc1Br</t>
  </si>
  <si>
    <t>Whole Molecule 50</t>
  </si>
  <si>
    <t>Brc1cncc2ccccc12</t>
  </si>
  <si>
    <t>Whole Molecule 51</t>
  </si>
  <si>
    <t>Brc1nccc2ccccc12</t>
  </si>
  <si>
    <t>Whole Molecule 52</t>
  </si>
  <si>
    <t>Brc1cc2ccccc2cn1</t>
  </si>
  <si>
    <t>Whole Molecule 53</t>
  </si>
  <si>
    <t>Brc1ccc2ccccc2n1</t>
  </si>
  <si>
    <t>Whole Molecule 54</t>
  </si>
  <si>
    <t>Brc1ccnc2ccccc12</t>
  </si>
  <si>
    <t>Whole Molecule 55</t>
  </si>
  <si>
    <t>Brc1cnc2ccccc2c1</t>
  </si>
  <si>
    <t>Whole Molecule 56</t>
  </si>
  <si>
    <t>Brc1cnc2ncccc2c1</t>
  </si>
  <si>
    <t>Whole Molecule 57</t>
  </si>
  <si>
    <t>Brc1cnc2CCCCc2c1</t>
  </si>
  <si>
    <t>Whole Molecule 58</t>
  </si>
  <si>
    <t>FC(F)(F)c1n[nH]cc1Br</t>
  </si>
  <si>
    <t>Whole Molecule 59</t>
  </si>
  <si>
    <t>CNC(=O)c1ccc(Br)cn1</t>
  </si>
  <si>
    <t>Whole Molecule 60</t>
  </si>
  <si>
    <t>CC(=O)Nc1ccc(Br)cn1</t>
  </si>
  <si>
    <t>Whole Molecule 61</t>
  </si>
  <si>
    <t>CC(C)Nc1cc(Br)ccn1</t>
  </si>
  <si>
    <t>Whole Molecule 62</t>
  </si>
  <si>
    <t>COC(=O)c1ncccc1Br</t>
  </si>
  <si>
    <t>Whole Molecule 63</t>
  </si>
  <si>
    <t>COC(=O)c1cc(Br)ccn1</t>
  </si>
  <si>
    <t>Whole Molecule 64</t>
  </si>
  <si>
    <t>COC(=O)c1ccc(Br)cn1</t>
  </si>
  <si>
    <t>Whole Molecule 65</t>
  </si>
  <si>
    <t>O[C@H](Cn1cc(Br)cn1)C=C</t>
  </si>
  <si>
    <t>Whole Molecule 66</t>
  </si>
  <si>
    <t>Brc1noc(n1)c2ccccc2</t>
  </si>
  <si>
    <t>Whole Molecule 67</t>
  </si>
  <si>
    <t>Brc1ccccc1c2nnn[nH]2</t>
  </si>
  <si>
    <t>Whole Molecule 68</t>
  </si>
  <si>
    <t>OC(=O)CCc1ccc(Br)nc1</t>
  </si>
  <si>
    <t>Whole Molecule 69</t>
  </si>
  <si>
    <t>COc1cc(Br)cnc1C(=O)O</t>
  </si>
  <si>
    <t>Whole Molecule 70</t>
  </si>
  <si>
    <t>OC(=O)CNc1ccnc(Br)n1</t>
  </si>
  <si>
    <t>Whole Molecule 71</t>
  </si>
  <si>
    <t>COc1ccc(Br)nc1[N+](=O)[O-]</t>
  </si>
  <si>
    <t>Whole Molecule 72</t>
  </si>
  <si>
    <t>Brc1cccc(n1)c2ccccc2</t>
  </si>
  <si>
    <t>Whole Molecule 73</t>
  </si>
  <si>
    <t>Brc1ccc(nc1)c2cccnc2</t>
  </si>
  <si>
    <t>Whole Molecule 74</t>
  </si>
  <si>
    <t>CS(=O)(=O)c1ccc(Br)cn1</t>
  </si>
  <si>
    <t>Whole Molecule 75</t>
  </si>
  <si>
    <t>CCOC(=O)c1csc(Br)n1</t>
  </si>
  <si>
    <t>Whole Molecule 76</t>
  </si>
  <si>
    <t>Brc1cccc(n1)N2CCCC2=O</t>
  </si>
  <si>
    <t>Whole Molecule 77</t>
  </si>
  <si>
    <t>Brc1cccnc1N2CCC(=O)C2</t>
  </si>
  <si>
    <t>Whole Molecule 78</t>
  </si>
  <si>
    <t>Cc1onc(c1)c2nn(C)cc2Br</t>
  </si>
  <si>
    <t>Whole Molecule 79</t>
  </si>
  <si>
    <t>CON(C)C(=O)c1ncccc1Br</t>
  </si>
  <si>
    <t>Whole Molecule 80</t>
  </si>
  <si>
    <t>OC(c1ccc(Br)cn1)C(F)(F)F</t>
  </si>
  <si>
    <t>Whole Molecule 81</t>
  </si>
  <si>
    <t>COC(=O)CC(=O)c1cncc(Br)c1</t>
  </si>
  <si>
    <t>Whole Molecule 82</t>
  </si>
  <si>
    <t>COC(=O)c1cc(cc(Br)n1)[N+](=O)[O-]</t>
  </si>
  <si>
    <t>Whole Molecule 83</t>
  </si>
  <si>
    <t>O[C@H]1CCC[C@H]([C@@H]1O)n2cc(Br)cn2</t>
  </si>
  <si>
    <t>Whole Molecule 84</t>
  </si>
  <si>
    <t>FC(F)(F)c1ccc2nc(Br)ccc2c1</t>
  </si>
  <si>
    <t>Whole Molecule 85</t>
  </si>
  <si>
    <t>Brc1cccc(CNC(=O)c2ocnc2)n1</t>
  </si>
  <si>
    <t>Whole Molecule 86</t>
  </si>
  <si>
    <t>Brc1cnc(On2nnc3ccccc23)nc1</t>
  </si>
  <si>
    <t>Whole Molecule 87</t>
  </si>
  <si>
    <t>COC(=O)c1cn(Cc2cccc(Br)n2)nn1</t>
  </si>
  <si>
    <t>Whole Molecule 88</t>
  </si>
  <si>
    <t>COC(=O)C(C)(C)CCOc1ccc(Br)nc1</t>
  </si>
  <si>
    <t>Whole Molecule 89</t>
  </si>
  <si>
    <t>CSCCNC(=O)c1cc(Br)cn1C(C)C</t>
  </si>
  <si>
    <t>Whole Molecule 90</t>
  </si>
  <si>
    <t>Cc1cc(Br)nc(Nc2cc(ccn2)C(F)(F)F)c1</t>
  </si>
  <si>
    <t>Whole Molecule 91</t>
  </si>
  <si>
    <t>CC(C)(C)OC(=O)N1CCN(CC1)c2ccc(Br)cn2</t>
  </si>
  <si>
    <t>Whole Molecule 92</t>
  </si>
  <si>
    <t>CC(C)(C)OC(=O)N1CCN(CC1)c2cncc(Br)c2</t>
  </si>
  <si>
    <t>Whole Molecule 93</t>
  </si>
  <si>
    <t>Brc1cn(Cc2ccc(OCc3ccccc3)nc2)cn1</t>
  </si>
  <si>
    <t>Whole Molecule 94</t>
  </si>
  <si>
    <t>CC(=O)N1CCN(CC1)C2CCc3nc(Br)sc3C2</t>
  </si>
  <si>
    <t>Whole Molecule 95</t>
  </si>
  <si>
    <t>COc1ccc(Nc2nc(Br)cn3ccnc23)cc1OC</t>
  </si>
  <si>
    <t>Whole Molecule 96</t>
  </si>
  <si>
    <t>CCOC(=O)[C@H]1CC[C@@H](C[C@H]1C)C(C)(O)c2ccc(Br)cn2</t>
  </si>
  <si>
    <t>Whole Molecule 97</t>
  </si>
  <si>
    <t>COC(=O)C1Cc2ncc(Br)cc2N(Cc3ccccc3)C1=O</t>
  </si>
  <si>
    <t>Whole Molecule 98</t>
  </si>
  <si>
    <t>CC(C)OC(=O)[C@@H]1[C@H](C)C[C@](O)(C[C@@H]1C)c2ncc(Br)s2</t>
  </si>
  <si>
    <t>Whole Molecule 99</t>
  </si>
  <si>
    <t>Cc1cc(Br)nc(c1)N(c2cc(ccn2)C(F)(F)F)S(=O)(=O)C</t>
  </si>
  <si>
    <t>Whole Molecule 100</t>
  </si>
  <si>
    <t>Cc1cc(Br)nc(c1)N(C(=O)C(C)(C)C)c2cc(ccn2)C(F)(F)F</t>
  </si>
  <si>
    <t>Whole Molecule 101</t>
  </si>
  <si>
    <t>CCOC(=O)N1[C@H](CC)C[C@H](Nc2ncc(Br)cn2)c3cc(ccc13)C(F)(F)F</t>
  </si>
  <si>
    <t>Whole Molecule 102</t>
  </si>
  <si>
    <t>Brc1ccc2NCCc2c1</t>
  </si>
  <si>
    <t>Whole Molecule 103</t>
  </si>
  <si>
    <t>Brc1ccc2[nH]ccc2c1</t>
  </si>
  <si>
    <t>Whole Molecule 104</t>
  </si>
  <si>
    <t>Brc1ccc2cc[nH]c2c1</t>
  </si>
  <si>
    <t>Whole Molecule 105</t>
  </si>
  <si>
    <t>Brc1cccc2[nH]ccc12</t>
  </si>
  <si>
    <t>Whole Molecule 106</t>
  </si>
  <si>
    <t>Brc1cccc2cc[nH]c12</t>
  </si>
  <si>
    <t>Whole Molecule 107</t>
  </si>
  <si>
    <t>Brc1ccc2ccoc2c1</t>
  </si>
  <si>
    <t>Whole Molecule 108</t>
  </si>
  <si>
    <t>Brc1ccc2occc2c1</t>
  </si>
  <si>
    <t>Whole Molecule 109</t>
  </si>
  <si>
    <t>Brc1cccc2ccoc12</t>
  </si>
  <si>
    <t>Whole Molecule 110</t>
  </si>
  <si>
    <t>Brc1ccc2[nH]ncc2c1</t>
  </si>
  <si>
    <t>Whole Molecule 111</t>
  </si>
  <si>
    <t>Brc1cccc2[nH]ncc12</t>
  </si>
  <si>
    <t>Whole Molecule 112</t>
  </si>
  <si>
    <t>Brc1ccc2cnoc2c1</t>
  </si>
  <si>
    <t>Whole Molecule 113</t>
  </si>
  <si>
    <t>Brc1ccc2ncoc2c1</t>
  </si>
  <si>
    <t>Whole Molecule 114</t>
  </si>
  <si>
    <t>Brc1ccc2ocnc2c1</t>
  </si>
  <si>
    <t>Whole Molecule 115</t>
  </si>
  <si>
    <t>Brc1ccc2[nH]nnc2c1</t>
  </si>
  <si>
    <t>Whole Molecule 116</t>
  </si>
  <si>
    <t>Brc1ccc2nonc2c1</t>
  </si>
  <si>
    <t>Whole Molecule 117</t>
  </si>
  <si>
    <t>Brc1ccc2OCCc2c1</t>
  </si>
  <si>
    <t>Whole Molecule 118</t>
  </si>
  <si>
    <t>Brc1ccc2ccncc2c1</t>
  </si>
  <si>
    <t>Whole Molecule 119</t>
  </si>
  <si>
    <t>Brc1cccc2cccnc12</t>
  </si>
  <si>
    <t>Whole Molecule 120</t>
  </si>
  <si>
    <t>Brc1cccc2cnccc12</t>
  </si>
  <si>
    <t>Whole Molecule 121</t>
  </si>
  <si>
    <t>Brc1cccc2ncccc12</t>
  </si>
  <si>
    <t>Whole Molecule 122</t>
  </si>
  <si>
    <t>Brc1ccc2cnccc2c1</t>
  </si>
  <si>
    <t>Whole Molecule 123</t>
  </si>
  <si>
    <t>Brc1ccc2ncccc2c1</t>
  </si>
  <si>
    <t>Whole Molecule 124</t>
  </si>
  <si>
    <t>Brc1cccc2ccncc12</t>
  </si>
  <si>
    <t>Whole Molecule 125</t>
  </si>
  <si>
    <t>Brc1ccc2nccnc2c1</t>
  </si>
  <si>
    <t>Whole Molecule 126</t>
  </si>
  <si>
    <t>Cn1ccc2cc(Br)ccc12</t>
  </si>
  <si>
    <t>Whole Molecule 127</t>
  </si>
  <si>
    <t>Cc1nc2cc(Br)ccc2[nH]1</t>
  </si>
  <si>
    <t>Whole Molecule 128</t>
  </si>
  <si>
    <t>Cc1noc2cc(Br)ccc12</t>
  </si>
  <si>
    <t>Whole Molecule 129</t>
  </si>
  <si>
    <t>Cn1nnc2ccc(Br)cc12</t>
  </si>
  <si>
    <t>Whole Molecule 130</t>
  </si>
  <si>
    <t>Brc1ccc2sccc2c1</t>
  </si>
  <si>
    <t>Whole Molecule 131</t>
  </si>
  <si>
    <t>Oc1noc2cc(Br)ccc12</t>
  </si>
  <si>
    <t>Whole Molecule 132</t>
  </si>
  <si>
    <t>Brc1ccc2NC(=O)Oc2c1</t>
  </si>
  <si>
    <t>Whole Molecule 133</t>
  </si>
  <si>
    <t>Brc1ccc2ncsc2c1</t>
  </si>
  <si>
    <t>Whole Molecule 134</t>
  </si>
  <si>
    <t>Brc1ccc(cc1)c2cc[nH]n2</t>
  </si>
  <si>
    <t>Whole Molecule 135</t>
  </si>
  <si>
    <t>Brc1ccccc1n2cccn2</t>
  </si>
  <si>
    <t>Whole Molecule 136</t>
  </si>
  <si>
    <t>Brc1ccc(cc1)c2ccon2</t>
  </si>
  <si>
    <t>Whole Molecule 137</t>
  </si>
  <si>
    <t>Brc1ccc(cc1)c2ocnc2</t>
  </si>
  <si>
    <t>Whole Molecule 138</t>
  </si>
  <si>
    <t>Brc1cccc2CCC(=O)Nc12</t>
  </si>
  <si>
    <t>Whole Molecule 139</t>
  </si>
  <si>
    <t>Brc1ccc2NC(=O)OCc2c1</t>
  </si>
  <si>
    <t>Whole Molecule 140</t>
  </si>
  <si>
    <t>Brc1ccc2NC(=O)CCCc2c1</t>
  </si>
  <si>
    <t>Whole Molecule 141</t>
  </si>
  <si>
    <t>[O-][N+](=O)c1cc(Br)cc2cc[nH]c12</t>
  </si>
  <si>
    <t>Whole Molecule 142</t>
  </si>
  <si>
    <t>Brc1ccc2NC(=O)NC(=O)c2c1</t>
  </si>
  <si>
    <t>Whole Molecule 143</t>
  </si>
  <si>
    <t>Oc1oc(nn1)c2ccc(Br)cc2</t>
  </si>
  <si>
    <t>Whole Molecule 144</t>
  </si>
  <si>
    <t>Brc1ccc2NC(=O)CSc2c1</t>
  </si>
  <si>
    <t>Whole Molecule 145</t>
  </si>
  <si>
    <t>Brc1ccc2[nH]c3ccccc3c2c1</t>
  </si>
  <si>
    <t>Whole Molecule 146</t>
  </si>
  <si>
    <t>Brc1ccc2oc3ccccc3c2c1</t>
  </si>
  <si>
    <t>Whole Molecule 147</t>
  </si>
  <si>
    <t>Brc1ccc2c(OCc3nnnn23)c1</t>
  </si>
  <si>
    <t>Whole Molecule 148</t>
  </si>
  <si>
    <t>CCOC(=O)\C=C\c1ccc2cc(Br)ccc2n1</t>
  </si>
  <si>
    <t>Whole Molecule 149</t>
  </si>
  <si>
    <t>[O-][N+](=O)c1ccc(Br)cc1NCc2ccccc2</t>
  </si>
  <si>
    <t>Whole Molecule 150</t>
  </si>
  <si>
    <t>CC(=O)N1CCC[C@H]1c2nc3ccc(Br)cc3[nH]2</t>
  </si>
  <si>
    <t>Whole Molecule 151</t>
  </si>
  <si>
    <t>CC(=O)N1CCCc2c(C1)n(C)c3ccc(Br)cc23</t>
  </si>
  <si>
    <t>Whole Molecule 152</t>
  </si>
  <si>
    <t>CC(C)Oc1ccnc(Nc2cc(C)cc(Br)c2)n1</t>
  </si>
  <si>
    <t>Whole Molecule 153</t>
  </si>
  <si>
    <t>CCOC(=O)c1n[nH]c2c1COc3c(Br)cccc23</t>
  </si>
  <si>
    <t>Whole Molecule 154</t>
  </si>
  <si>
    <t>COC(=O)c1c2cc(Br)ccc2nn1Cc3ccccc3</t>
  </si>
  <si>
    <t>Whole Molecule 155</t>
  </si>
  <si>
    <t>CC(C)[Si](C(C)C)(C(C)C)n1ccc2c(Br)cccc12</t>
  </si>
  <si>
    <t>Whole Molecule 156</t>
  </si>
  <si>
    <t>COC(=O)c1cc(ccc1Br)C(=O)Nc2cc(ccn2)C(F)(F)F</t>
  </si>
  <si>
    <t>Whole Molecule 157</t>
  </si>
  <si>
    <t>CSc1ncc(Br)c(CN2[C@@H](C)[C@H](OC2=O)c3cc(cc(c3)C(F)(F)F)C(F)(F)F)n1</t>
  </si>
  <si>
    <t>Whole Molecule 158</t>
  </si>
  <si>
    <t>C[C@H]1c2ccccc2[C@@H]3C[C@H](CCN3c4ccc(Br)cc14)NC(=O)c5snnc5C</t>
  </si>
  <si>
    <t>Whole Molecule 159</t>
  </si>
  <si>
    <t>C[C@H]1C[C@]2(N)[C@@H]([C@@H](C)OC2=O)[C@@H](\C=C\c3ccc(Br)cn3)[C@@H]1C</t>
  </si>
  <si>
    <t>Whole Molecule 160</t>
  </si>
  <si>
    <t>CC(=O)N1CCC[C@H]1c2nc3ccc(Br)cc3n2Cc4ccccc4</t>
  </si>
  <si>
    <t>Whole Molecule 161</t>
  </si>
  <si>
    <t>Cc1cc(Br)ccc1CN2C3=C(COC3)C(=C(C(=O)NCC(=O)OC(C)(C)C)C2=O)O</t>
  </si>
  <si>
    <t>Whole Molecule 162</t>
  </si>
  <si>
    <t>[R]N([R])S(=O)(=O)c1cc(Cl)c(Br)cc1F</t>
  </si>
  <si>
    <t>Whole Molecule 163</t>
  </si>
  <si>
    <t>C[C@@H](NC(=O)C1=CC(=O)NC(=N1)Cc2ccc(Br)cc2)c3ccc(cc3)C(F)(F)F</t>
  </si>
  <si>
    <t>Whole Molecule 164</t>
  </si>
  <si>
    <t>FC(F)(F)c1ccc(Br)c(c1SCc2ccccc2)c3nnn[nH]3</t>
  </si>
  <si>
    <t>Whole Molecule 165</t>
  </si>
  <si>
    <t>COC(=O)N[C@@H](C(C)C)C(=O)N1C[C@H](F)C[C@H]1c2ncc([nH]2)c3ccc(Br)cc3</t>
  </si>
  <si>
    <t>Whole Molecule 166</t>
  </si>
  <si>
    <t>OC[C@H]1O[C@@H](Oc2c[nH]c3ccc(Br)c(Cl)c23)[C@H](O)[C@@H](O)[C@H]1O</t>
  </si>
  <si>
    <t>Whole Molecule 167</t>
  </si>
  <si>
    <t>[R]C1N(CCc2cc(OC)c(Oc3ccc(Br)c(F)c3)cc12)C(=O)OC(C)(C)C</t>
  </si>
  <si>
    <t>Whole Molecule 168</t>
  </si>
  <si>
    <t>C[C@@H](OC(=O)Nc1c(C)noc1c2ccc(Br)cc2)c3ccccc3</t>
  </si>
  <si>
    <t>Whole Molecule 169</t>
  </si>
  <si>
    <t>C[C@@H]1[C@H](N(N=C1C(F)(F)F)c2ccc(Br)cc2)C(=O)N3[C@@H](COC3=O)c4ccccc4</t>
  </si>
  <si>
    <t>Whole Molecule 170</t>
  </si>
  <si>
    <t>Brc1cncc(c1)c2ccccc2</t>
  </si>
  <si>
    <t>Whole Molecule 171</t>
  </si>
  <si>
    <t>CCOC(=O)C1=C2c3ccccc3C(=O)c4c(Br)cc(C)c(NC1=O)c24</t>
  </si>
  <si>
    <t>Whole Molecule 172</t>
  </si>
  <si>
    <t>[R]NC(=O)c1nc(N([R])S(=O)(=O)[R])c2cc(Br)cnc2c1O</t>
  </si>
  <si>
    <t>Whole Molecule 173</t>
  </si>
  <si>
    <t>[R]C(O)(Cc1nc(CC(C)(C)C)c(Br)[nH]1)C(F)(F)F</t>
  </si>
  <si>
    <t>Whole Molecule 174</t>
  </si>
  <si>
    <t>FC(F)(F)Oc1ccc(cc1)S(=O)(=O)N2Cc3ccc(nc3Nc4ccc(Br)cc24)C(F)(F)F</t>
  </si>
  <si>
    <t>Whole Molecule 175</t>
  </si>
  <si>
    <t>COc1cc2CCN(C(=O)OC(C)(C)C)C(C)(CC(=O)Nc3nccs3)c2cc1Br</t>
  </si>
  <si>
    <t>Whole Molecule 176</t>
  </si>
  <si>
    <t>[R]C(O)C1=C([R])N(Cc2ccc(Br)cn2)C=C(C(=O)OCC)C1=O</t>
  </si>
  <si>
    <t>Whole Molecule 177</t>
  </si>
  <si>
    <t>[R]Oc1cc(OC(F)(F)F)ccc1Br</t>
  </si>
  <si>
    <t>Whole Molecule 178</t>
  </si>
  <si>
    <t>COc1cnc(cn1)C(=O)Nc2cc(c(F)cc2Br)[C@]3(C)CS(=O)(=O)C(C)(C)C(=N)N3</t>
  </si>
  <si>
    <t>Whole Molecule 179</t>
  </si>
  <si>
    <t>[R]c1c([R])c2nnc([R])n2nc1OCc3ccccc3Br</t>
  </si>
  <si>
    <t>Whole Molecule 180</t>
  </si>
  <si>
    <t>[R]c1cc(Br)c(N2C[C@H](O)[C@@H](O)[C@@H]2C)n3c([R])c([R])nc13</t>
  </si>
  <si>
    <t>Whole Molecule 181</t>
  </si>
  <si>
    <t>[R]c1cnn2cc(Br)cnc12</t>
  </si>
  <si>
    <t>Whole Molecule 182</t>
  </si>
  <si>
    <t>COC(=O)c1cnc(NCc2ccc3CC4(Cc3c2)N(C)C(=O)NC4=O)c(Br)c1</t>
  </si>
  <si>
    <t>Whole Molecule 183</t>
  </si>
  <si>
    <t>Brc1ccccc1C(=O)N2CCN(CC2)c3nnc(s3)c4nn[nH]n4</t>
  </si>
  <si>
    <t>Whole Molecule 184</t>
  </si>
  <si>
    <t>C[C@@H](NC(=O)C(C)(C)Oc1ccc(cn1)C(F)(F)F)[C@@](O)(Cc2ccc(Cl)cc2)c3cccc(Br)c3</t>
  </si>
  <si>
    <t>Whole Molecule 185</t>
  </si>
  <si>
    <t>Cc1c(nn(c2ccc(Cl)cc2Cl)c1c3ccc(Br)cc3)C(=O)NN4CCCCC4</t>
  </si>
  <si>
    <t>Whole Molecule 186</t>
  </si>
  <si>
    <t>[R]c1nnc(c2ccccc2Br)n1[R]</t>
  </si>
  <si>
    <t>Whole Molecule 187</t>
  </si>
  <si>
    <t>COC(=O)CC(C)(C)CCOc1cccc(\C=C\c2ccc3ccc(Br)cc3n2)c1</t>
  </si>
  <si>
    <t>Whole Molecule 188</t>
  </si>
  <si>
    <t>CC1(C)C[C@](O)(CC[C@@H]1C(=O)NCCCN2CCCC2=O)c3ncc(Br)s3</t>
  </si>
  <si>
    <t>Whole Molecule 189</t>
  </si>
  <si>
    <t>CCOC(=O)C1=CN(Cc2cc3OCOc3cc2Br)c4cc5OCOc5cc4C1=O</t>
  </si>
  <si>
    <t>Whole Molecule 190</t>
  </si>
  <si>
    <t>COC(=O)c1nc(nc(OC)c1OC(=O)C(C)(C)C)c2sccc2Br</t>
  </si>
  <si>
    <t>Whole Molecule 191</t>
  </si>
  <si>
    <t>CC(C)(C)OC(=O)NC(CCNc1nc(nc2cnccc12)c3cccc(Br)c3)C(F)F</t>
  </si>
  <si>
    <t>Whole Molecule 192</t>
  </si>
  <si>
    <t>Cc1cc(Nc2nccc(n2)C(F)(F)F)cc(c1)c3cnc(s3)[C@@](C)(O)c4ccc(Br)nc4</t>
  </si>
  <si>
    <t>Whole Molecule 193</t>
  </si>
  <si>
    <t>CC(C)S(=O)(=O)N1CCNCC1</t>
  </si>
  <si>
    <t>Whole Molecule 194</t>
  </si>
  <si>
    <t>C(c1ccccc1)c2nnc3CNCCn23</t>
  </si>
  <si>
    <t>Whole Molecule 195</t>
  </si>
  <si>
    <t>O=C1CNCC2N1CCc3ccccc23</t>
  </si>
  <si>
    <t>Whole Molecule 196</t>
  </si>
  <si>
    <t>CC1(C)CNCc2nnc(n12)C(F)(F)F</t>
  </si>
  <si>
    <t>Whole Molecule 197</t>
  </si>
  <si>
    <t>C1CO[C@H](CN1)c2ccccc2</t>
  </si>
  <si>
    <t>Whole Molecule 198</t>
  </si>
  <si>
    <t>CC(C)(C)NC(=O)c1nnc2CNCCn12</t>
  </si>
  <si>
    <t>Whole Molecule 199</t>
  </si>
  <si>
    <t>O=C1OC2(CCNCC2)c3ccccc13</t>
  </si>
  <si>
    <t>Whole Molecule 200</t>
  </si>
  <si>
    <t>Whole Molecule 201</t>
  </si>
  <si>
    <t>C1CN(CCN1)c2cccs2</t>
  </si>
  <si>
    <t>Whole Molecule 202</t>
  </si>
  <si>
    <t>Whole Molecule 203</t>
  </si>
  <si>
    <t>Whole Molecule 204</t>
  </si>
  <si>
    <t>Whole Molecule 205</t>
  </si>
  <si>
    <t>CCOC(=O)C1CNCc2ccccc12</t>
  </si>
  <si>
    <t>Whole Molecule 206</t>
  </si>
  <si>
    <t>CC(C)(O)C1CCCNC1</t>
  </si>
  <si>
    <t>Whole Molecule 207</t>
  </si>
  <si>
    <t>CN(C)CC1(O)CCNCC1</t>
  </si>
  <si>
    <t>Whole Molecule 208</t>
  </si>
  <si>
    <t>Whole Molecule 209</t>
  </si>
  <si>
    <t>C([C@@H]1COCCN1)c2ccccc2</t>
  </si>
  <si>
    <t>Whole Molecule 210</t>
  </si>
  <si>
    <t>C(OC1CCNCC1)c2ccccn2</t>
  </si>
  <si>
    <t>Whole Molecule 211</t>
  </si>
  <si>
    <t>Whole Molecule 212</t>
  </si>
  <si>
    <t>C1NCC2C1C2c3ccccc3</t>
  </si>
  <si>
    <t>Whole Molecule 213</t>
  </si>
  <si>
    <t>C1NCC2COCC1O2</t>
  </si>
  <si>
    <t>Whole Molecule 214</t>
  </si>
  <si>
    <t>Whole Molecule 215</t>
  </si>
  <si>
    <t>CN1CCN[C@H](C1)c2ccccc2</t>
  </si>
  <si>
    <t>Whole Molecule 216</t>
  </si>
  <si>
    <t>C1COC2CCNCC2C1</t>
  </si>
  <si>
    <t>Whole Molecule 217</t>
  </si>
  <si>
    <t>FC(F)(F)COC1CCCNC1</t>
  </si>
  <si>
    <t>Whole Molecule 218</t>
  </si>
  <si>
    <t>CC(C)(C)OC(=O)n1cc(CC2CCCCN2)c3ccccc13</t>
  </si>
  <si>
    <t>Whole Molecule 219</t>
  </si>
  <si>
    <t>Cc1c(C)c(c(C)c2CCC(C)(C)Oc12)S(=O)(=O)NC(=N)NCC3CCCNC3</t>
  </si>
  <si>
    <t>Whole Molecule 220</t>
  </si>
  <si>
    <t>O=C(OCc1ccccc1)N2CC3CC2CN3</t>
  </si>
  <si>
    <t>Whole Molecule 221</t>
  </si>
  <si>
    <t>C(N1CC2CCC1CN2)c3ccccc3</t>
  </si>
  <si>
    <t>Whole Molecule 222</t>
  </si>
  <si>
    <t>C1Cc2c(CN1)snc2Nc3ccccc3</t>
  </si>
  <si>
    <t>Whole Molecule 223</t>
  </si>
  <si>
    <t>Fc1ccc(cc1)N2CCCN(C3CCNCC3)S2(=O)=O</t>
  </si>
  <si>
    <t>Whole Molecule 224</t>
  </si>
  <si>
    <t>FC(F)(F)c1ccc(Oc2cccc(C=C3CCNCC3)c2)nc1</t>
  </si>
  <si>
    <t>Whole Molecule 225</t>
  </si>
  <si>
    <t>CC(C)(C)OC(=O)\N=C/1\NC2(CCNCC2)C(=O)N1c3ccccc3F</t>
  </si>
  <si>
    <t>Whole Molecule 226</t>
  </si>
  <si>
    <t>C1Cc2c(CN1)snc2Nc3ccccn3</t>
  </si>
  <si>
    <t>Whole Molecule 227</t>
  </si>
  <si>
    <t>[R]\N=C/1\NC2(CCCNC2)C(=O)N1[R]</t>
  </si>
  <si>
    <t>Whole Molecule 228</t>
  </si>
  <si>
    <t>O=C1N[C@@H]2CNCC[C@@H]2N1C3CCCC3</t>
  </si>
  <si>
    <t>Whole Molecule 229</t>
  </si>
  <si>
    <t>CC(C)C1=CC(=O)N2CCNCC2=N1</t>
  </si>
  <si>
    <t>Whole Molecule 230</t>
  </si>
  <si>
    <t>CN1[C@H]2CCNC[C@H]2N(C1=O)c3ccncc3</t>
  </si>
  <si>
    <t>Whole Molecule 231</t>
  </si>
  <si>
    <t>CCC1=CC(=O)N2CCNCC2=N1</t>
  </si>
  <si>
    <t>Whole Molecule 232</t>
  </si>
  <si>
    <t>[R]C1=CC(=O)N2CCNCC2=N1</t>
  </si>
  <si>
    <t>Whole Molecule 233</t>
  </si>
  <si>
    <t>O=C1C=C(N=C2CNCCN12)c3ccccn3</t>
  </si>
  <si>
    <t>Whole Molecule 234</t>
  </si>
  <si>
    <t>Whole Molecule 235</t>
  </si>
  <si>
    <t>CN1[C@@H]2CNCC[C@@H]2N(C)C1=O</t>
  </si>
  <si>
    <t>Whole Molecule 236</t>
  </si>
  <si>
    <t>[R]OC1=NOC2(CCNCC2)C1</t>
  </si>
  <si>
    <t>Whole Molecule 237</t>
  </si>
  <si>
    <t>[R]N1C(=O)OC(C2CCNCC2)c3ccccc13</t>
  </si>
  <si>
    <t>Whole Molecule 238</t>
  </si>
  <si>
    <t>[R]NC(=O)C1=NOC2(CCNCC2)C1</t>
  </si>
  <si>
    <t>Whole Molecule 239</t>
  </si>
  <si>
    <t>[R]OC(=O)c1nnn(C2CCNCC2)c1[R]</t>
  </si>
  <si>
    <t>Whole Molecule 240</t>
  </si>
  <si>
    <t>[R]\N=C/1\NC([R])C(=O)N1C2CCNCC2</t>
  </si>
  <si>
    <t>Whole Molecule 241</t>
  </si>
  <si>
    <t>[O-][N+](=O)c1ccc(cc1)S(=O)(=O)NC(COc2ccccc2)CN3CCNCC3</t>
  </si>
  <si>
    <t>Whole Molecule 242</t>
  </si>
  <si>
    <t>CC(CN1CCNCC1)NS(=O)(=O)c2ccccc2[N+](=O)[O-]</t>
  </si>
  <si>
    <t>Whole Molecule 243</t>
  </si>
  <si>
    <t>COC1=NO[C@@]2(C)CCNC[C@@H]12</t>
  </si>
  <si>
    <t>Whole Molecule 244</t>
  </si>
  <si>
    <t>O=C1OC2(CCC3(CC2)OCCO3)C4CNCCN14</t>
  </si>
  <si>
    <t>Whole Molecule 245</t>
  </si>
  <si>
    <t>COC(=O)[C@@H]1CNC[C@@H](C1)c2cccc(c2)C(F)(F)F</t>
  </si>
  <si>
    <t>Whole Molecule 246</t>
  </si>
  <si>
    <t>CN1OC[C@@H]2CNCC[C@]12c3ccccc3</t>
  </si>
  <si>
    <t>Whole Molecule 247</t>
  </si>
  <si>
    <t>[R]NC(=O)c1nnn([R])c1C2CCNCC2</t>
  </si>
  <si>
    <t>Whole Molecule 248</t>
  </si>
  <si>
    <t>[R]N([R])C(=O)c1nnn([R])c1C2CCNCC2</t>
  </si>
  <si>
    <t>Whole Molecule 249</t>
  </si>
  <si>
    <t>Whole Molecule 250</t>
  </si>
  <si>
    <t>Whole Molecule 251</t>
  </si>
  <si>
    <t>COC(=O)C1CN(CCN1)c2ccc3ccccc3c2</t>
  </si>
  <si>
    <t>Whole Molecule 252</t>
  </si>
  <si>
    <t>FC(F)(C(=O)N1CCNCC1)c2ccccc2</t>
  </si>
  <si>
    <t>Whole Molecule 253</t>
  </si>
  <si>
    <t>[R]Nc1nc2c(O[R])cccc2c3nc(nn13)C4CCCNC4</t>
  </si>
  <si>
    <t>Whole Molecule 254</t>
  </si>
  <si>
    <t>Whole Molecule 255</t>
  </si>
  <si>
    <t>[R]N1C(=O)CCCC12CCNCC2</t>
  </si>
  <si>
    <t>Whole Molecule 256</t>
  </si>
  <si>
    <t>CN1CC[C@@H]2CNCC[C@H]12</t>
  </si>
  <si>
    <t>Whole Molecule 257</t>
  </si>
  <si>
    <t>[R]C(=O)NC1CCN(C)C2(CCNCC2)C1</t>
  </si>
  <si>
    <t>Whole Molecule 258</t>
  </si>
  <si>
    <t>Whole Molecule 259</t>
  </si>
  <si>
    <t>[R]NC(=O)NC1CCN(C)C2(CCNCC2)C1</t>
  </si>
  <si>
    <t>Whole Molecule 260</t>
  </si>
  <si>
    <t>Whole Molecule 261</t>
  </si>
  <si>
    <t>[R]S(=O)(=O)NC1CCN(C)C2(CCNCC2)C1</t>
  </si>
  <si>
    <t>Whole Molecule 262</t>
  </si>
  <si>
    <t>C1CN(CCN1)c2ccccc2</t>
  </si>
  <si>
    <t>Whole Molecule 263</t>
  </si>
  <si>
    <t>O=CN1CCNCC1</t>
  </si>
  <si>
    <t>Whole Molecule 264</t>
  </si>
  <si>
    <t>CCOC(=O)N1CCNCC1</t>
  </si>
  <si>
    <t>Whole Molecule 265</t>
  </si>
  <si>
    <t>CN1CCNCC1</t>
  </si>
  <si>
    <t>Whole Molecule 266</t>
  </si>
  <si>
    <t>CC(C)NC(=O)CN1CCNCC1</t>
  </si>
  <si>
    <t>Whole Molecule 267</t>
  </si>
  <si>
    <t>C1CSCCN1</t>
  </si>
  <si>
    <t>Whole Molecule 268</t>
  </si>
  <si>
    <t>C1CC2(CCN1)OCCO2</t>
  </si>
  <si>
    <t>Whole Molecule 269</t>
  </si>
  <si>
    <t>CC1CCCCN1</t>
  </si>
  <si>
    <t>Whole Molecule 270</t>
  </si>
  <si>
    <t>CCN(CC)C(=O)C1CCCNC1</t>
  </si>
  <si>
    <t>Whole Molecule 271</t>
  </si>
  <si>
    <t>CC1CCCNC1</t>
  </si>
  <si>
    <t>Whole Molecule 272</t>
  </si>
  <si>
    <t>OC1CCNCC1</t>
  </si>
  <si>
    <t>Whole Molecule 273</t>
  </si>
  <si>
    <t>CCOC(=O)C1CCNCC1</t>
  </si>
  <si>
    <t>Whole Molecule 274</t>
  </si>
  <si>
    <t>CC1CCNCC1</t>
  </si>
  <si>
    <t>Whole Molecule 275</t>
  </si>
  <si>
    <t>C(C1CCNCC1)c2ccccc2</t>
  </si>
  <si>
    <t>Whole Molecule 276</t>
  </si>
  <si>
    <t>O=C(CN1CCNCC1)N2CCOCC2</t>
  </si>
  <si>
    <t>Whole Molecule 277</t>
  </si>
  <si>
    <t>C1Cc2ccccc2CN1</t>
  </si>
  <si>
    <t>Whole Molecule 278</t>
  </si>
  <si>
    <t>Whole Molecule 279</t>
  </si>
  <si>
    <t>CN(C)C1CCNCC1</t>
  </si>
  <si>
    <t>Whole Molecule 280</t>
  </si>
  <si>
    <t>Cc1cccc(C)c1N2CCNCC2</t>
  </si>
  <si>
    <t>Whole Molecule 281</t>
  </si>
  <si>
    <t>C1CN(CCN1)C(c2ccccc2)c3ccccc3</t>
  </si>
  <si>
    <t>Whole Molecule 282</t>
  </si>
  <si>
    <t>CCOC(=O)CN1CCNCC1</t>
  </si>
  <si>
    <t>Whole Molecule 283</t>
  </si>
  <si>
    <t>C1CCC(CC1)N2CCNCC2</t>
  </si>
  <si>
    <t>Whole Molecule 284</t>
  </si>
  <si>
    <t>CC(=O)N1CCNCC1</t>
  </si>
  <si>
    <t>Whole Molecule 285</t>
  </si>
  <si>
    <t>CCN1CCNCC1</t>
  </si>
  <si>
    <t>Whole Molecule 286</t>
  </si>
  <si>
    <t>OC(=O)C1CCCCN1</t>
  </si>
  <si>
    <t>Whole Molecule 287</t>
  </si>
  <si>
    <t>Whole Molecule 288</t>
  </si>
  <si>
    <t>CN1CCC[C@H]1CC2CCCCN2</t>
  </si>
  <si>
    <t>Whole Molecule 289</t>
  </si>
  <si>
    <t>CN(C)CCCN1CCNCC1</t>
  </si>
  <si>
    <t>Whole Molecule 290</t>
  </si>
  <si>
    <t>Whole Molecule 291</t>
  </si>
  <si>
    <t>CCN(CC)CCN1CCNCC1</t>
  </si>
  <si>
    <t>Whole Molecule 292</t>
  </si>
  <si>
    <t>COC(=O)C1CCNCC1</t>
  </si>
  <si>
    <t>Whole Molecule 293</t>
  </si>
  <si>
    <t>CC(C)CN1CCNCC1</t>
  </si>
  <si>
    <t>Whole Molecule 294</t>
  </si>
  <si>
    <t>Fc1cccc2c3CNCCc3[nH]c12</t>
  </si>
  <si>
    <t>Whole Molecule 295</t>
  </si>
  <si>
    <t>Whole Molecule 296</t>
  </si>
  <si>
    <t>C1Cc2c([nH]c3ccccc23)C(N1)c4ccccc4</t>
  </si>
  <si>
    <t>Whole Molecule 297</t>
  </si>
  <si>
    <t>C1CC(CCN1)c2cc(n[nH]2)c3occc3</t>
  </si>
  <si>
    <t>Whole Molecule 298</t>
  </si>
  <si>
    <t>C1CNCC(C1)c2ccccc2</t>
  </si>
  <si>
    <t>Whole Molecule 299</t>
  </si>
  <si>
    <t>O=C(N1CCNCC1)c2ccccc2</t>
  </si>
  <si>
    <t>Whole Molecule 300</t>
  </si>
  <si>
    <t>C1Cc2ccccc2C(N1)c3cccs3</t>
  </si>
  <si>
    <t>Whole Molecule 301</t>
  </si>
  <si>
    <t>O=C1CCNCC1</t>
  </si>
  <si>
    <t>Whole Molecule 302</t>
  </si>
  <si>
    <t>Whole Molecule 303</t>
  </si>
  <si>
    <t>CCCCCCCN1CCNCC1</t>
  </si>
  <si>
    <t>Whole Molecule 304</t>
  </si>
  <si>
    <t>C(CN1CCNCC1)Cc2ccccc2</t>
  </si>
  <si>
    <t>Whole Molecule 305</t>
  </si>
  <si>
    <t>Cc1ccc(CN2CCNCC2)cc1</t>
  </si>
  <si>
    <t>Whole Molecule 306</t>
  </si>
  <si>
    <t>C1NCc2cccc3cccc1c23</t>
  </si>
  <si>
    <t>Whole Molecule 307</t>
  </si>
  <si>
    <t>C(CN1CCNCC1)C2CCCCC2</t>
  </si>
  <si>
    <t>Whole Molecule 308</t>
  </si>
  <si>
    <t>FC(F)(F)c1cccc(c1)S(=O)(=O)N(C2CC2)C3CCNCC3</t>
  </si>
  <si>
    <t>Whole Molecule 309</t>
  </si>
  <si>
    <t>NC(=O)C1(CCNCC1)N2CCCCC2</t>
  </si>
  <si>
    <t>Whole Molecule 310</t>
  </si>
  <si>
    <t>[R]C([R])N1CCNCC1</t>
  </si>
  <si>
    <t>Whole Molecule 311</t>
  </si>
  <si>
    <t>Whole Molecule 312</t>
  </si>
  <si>
    <t>CS(=O)(=O)N1CCNCC1</t>
  </si>
  <si>
    <t>Whole Molecule 313</t>
  </si>
  <si>
    <t>FC(F)(F)C1CCCNC1</t>
  </si>
  <si>
    <t>Whole Molecule 314</t>
  </si>
  <si>
    <t>Whole Molecule 315</t>
  </si>
  <si>
    <t>Whole Molecule 316</t>
  </si>
  <si>
    <t>C1CCC(NC1)c2cc3ccccc3[nH]2</t>
  </si>
  <si>
    <t>Whole Molecule 317</t>
  </si>
  <si>
    <t>CC(C)(C)OC(=O)C1CCNCC1</t>
  </si>
  <si>
    <t>Whole Molecule 318</t>
  </si>
  <si>
    <t>CN1CCN(CC1)C2CCNCC2</t>
  </si>
  <si>
    <t>Whole Molecule 319</t>
  </si>
  <si>
    <t>C1CN(CCN1)c2ncnc3ccsc23</t>
  </si>
  <si>
    <t>Whole Molecule 320</t>
  </si>
  <si>
    <t>Whole Molecule 321</t>
  </si>
  <si>
    <t>O=C(CN1CCNCC1)NCCc2ccccc2</t>
  </si>
  <si>
    <t>Whole Molecule 322</t>
  </si>
  <si>
    <t>O=C(N[C@H]1CCCNC1)OCc2ccccc2</t>
  </si>
  <si>
    <t>Whole Molecule 323</t>
  </si>
  <si>
    <t>Whole Molecule 324</t>
  </si>
  <si>
    <t>Whole Molecule 325</t>
  </si>
  <si>
    <t>C1C[C@H]2CNCCN2C1</t>
  </si>
  <si>
    <t>Whole Molecule 326</t>
  </si>
  <si>
    <t>Whole Molecule 327</t>
  </si>
  <si>
    <t>O=S(=O)(N1CCNCC1)c2cccs2</t>
  </si>
  <si>
    <t>Whole Molecule 328</t>
  </si>
  <si>
    <t>CS(=O)(=O)c1ccc(cc1)C2CCNCC2</t>
  </si>
  <si>
    <t>Whole Molecule 329</t>
  </si>
  <si>
    <t>COC1CCNCC1</t>
  </si>
  <si>
    <t>Whole Molecule 330</t>
  </si>
  <si>
    <t>CC1CNCCN1C(=O)OCc2ccccc2</t>
  </si>
  <si>
    <t>Whole Molecule 331</t>
  </si>
  <si>
    <t>Whole Molecule 332</t>
  </si>
  <si>
    <t>COC(=O)CC1CCNCC1</t>
  </si>
  <si>
    <t>Whole Molecule 333</t>
  </si>
  <si>
    <t>O=C(NCCN1CCNCC1)OCc2ccccc2</t>
  </si>
  <si>
    <t>Whole Molecule 334</t>
  </si>
  <si>
    <t>C1Cn2cccc2C(N1)c3cccs3</t>
  </si>
  <si>
    <t>Whole Molecule 335</t>
  </si>
  <si>
    <t>Cn1cc(cn1)S(=O)(=O)N2CCNCC2</t>
  </si>
  <si>
    <t>Whole Molecule 336</t>
  </si>
  <si>
    <t>Whole Molecule 337</t>
  </si>
  <si>
    <t>CN(C)S(=O)(=O)N1CCNCC1</t>
  </si>
  <si>
    <t>Whole Molecule 338</t>
  </si>
  <si>
    <t>O=S(=O)(N1CCCCC1)N2CCNCC2</t>
  </si>
  <si>
    <t>Whole Molecule 339</t>
  </si>
  <si>
    <t>CC(C)(C)C(=O)N1CCNCC1</t>
  </si>
  <si>
    <t>Whole Molecule 340</t>
  </si>
  <si>
    <t>Whole Molecule 341</t>
  </si>
  <si>
    <t>Whole Molecule 342</t>
  </si>
  <si>
    <t>N#CC1CCNCC1</t>
  </si>
  <si>
    <t>Whole Molecule 343</t>
  </si>
  <si>
    <t>C(Cc1ccccc1)C2CCNCC2</t>
  </si>
  <si>
    <t>Whole Molecule 344</t>
  </si>
  <si>
    <t>Cc1ccc(CC2CCNCC2)cc1</t>
  </si>
  <si>
    <t>Whole Molecule 345</t>
  </si>
  <si>
    <t>C1CCC(NC1)c2nc3ccccc3s2</t>
  </si>
  <si>
    <t>Whole Molecule 346</t>
  </si>
  <si>
    <t>C(C1CCCCN1)N2CCOCC2</t>
  </si>
  <si>
    <t>Whole Molecule 347</t>
  </si>
  <si>
    <t>NC(=O)C1CCCCN1</t>
  </si>
  <si>
    <t>Whole Molecule 348</t>
  </si>
  <si>
    <t>Whole Molecule 349</t>
  </si>
  <si>
    <t>Whole Molecule 350</t>
  </si>
  <si>
    <t>COC(=O)[C@H]1Cc2ccccc2CN1</t>
  </si>
  <si>
    <t>Whole Molecule 351</t>
  </si>
  <si>
    <t>Whole Molecule 352</t>
  </si>
  <si>
    <t>CC1(C)CNCCN1</t>
  </si>
  <si>
    <t>Whole Molecule 353</t>
  </si>
  <si>
    <t>CCN1CCNCC1=O</t>
  </si>
  <si>
    <t>Whole Molecule 354</t>
  </si>
  <si>
    <t>Whole Molecule 355</t>
  </si>
  <si>
    <t>C(C1CNCCN1)c2ccccc2</t>
  </si>
  <si>
    <t>Whole Molecule 356</t>
  </si>
  <si>
    <t>FC(F)(F)c1nnc2CNCCn12</t>
  </si>
  <si>
    <t>Whole Molecule 357</t>
  </si>
  <si>
    <t>Whole Molecule 358</t>
  </si>
  <si>
    <t>O=C(Nc1cccnc1)c2nnn(Cc3ccccc3)c2C4CCNCC4</t>
  </si>
  <si>
    <t>Whole Molecule 359</t>
  </si>
  <si>
    <t>C1CC(CCN1)c2ccccc2</t>
  </si>
  <si>
    <t>Whole Molecule 360</t>
  </si>
  <si>
    <t>[R]OC(=O)c1c2CCNCc2sc1NS(=O)(=O)[R]</t>
  </si>
  <si>
    <t>Whole Molecule 361</t>
  </si>
  <si>
    <t>COC(=O)c1ccc(cc1)C(=O)c2c3CCNCc3sc2NC(=O)N4CCCC4</t>
  </si>
  <si>
    <t>Whole Molecule 362</t>
  </si>
  <si>
    <t>OC(=O)[C@H](CNC(=O)c1cc2cc(CCC3CCNCC3)sc2s1)NS(=O)(=O)c4cccnc4</t>
  </si>
  <si>
    <t>Whole Molecule 363</t>
  </si>
  <si>
    <t>OC[C@H]1O[C@H](OC2[C@H](O)CO[C@@](O)(CN3CCNCC3)[C@H]2O)[C@H](O)[C@@H](O)[C@@H]1O</t>
  </si>
  <si>
    <t>Whole Molecule 364</t>
  </si>
  <si>
    <t>CC(C)(C)N1C[C@H]([C@@H](C1)c2ccc(F)cc2F)C(=O)N3C[C@@H]4C[C@H]3CN4</t>
  </si>
  <si>
    <t>Whole Molecule 365</t>
  </si>
  <si>
    <t>COc1ccc(cc1)n2nc(cc2NC(=O)c3cnn4cccnc34)C5CCNCC5</t>
  </si>
  <si>
    <t>Whole Molecule 366</t>
  </si>
  <si>
    <t>Cc1cc(Nc2nccc(OC3CCNCC3)n2)cc(c1)c4cnc(s4)C5(O)CCC5</t>
  </si>
  <si>
    <t>Whole Molecule 367</t>
  </si>
  <si>
    <t>CC(C)(C)OC(=O)[C@@H]1CCCN1C(=O)[C@@H]2CNCCN2C(=O)N(c3ccccc3)c4ccccc4</t>
  </si>
  <si>
    <t>Whole Molecule 368</t>
  </si>
  <si>
    <t>C[C@H](Nc1nccc(n1)n2cc(nc2c3ccccc3)C4CCNCC4)c5ccccc5</t>
  </si>
  <si>
    <t>Whole Molecule 369</t>
  </si>
  <si>
    <t>Cc1cc(Nc2cc(ccn2)C(F)F)nc(c1)c3cn(C[C@H]4CNCCO4)nn3</t>
  </si>
  <si>
    <t>Whole Molecule 370</t>
  </si>
  <si>
    <t>CN1C(=O)C(=Cc2ccccc12)CN(CC3(CCOCC3)N4CCNCC4)C(=O)C5CCCCC5</t>
  </si>
  <si>
    <t>Whole Molecule 371</t>
  </si>
  <si>
    <t>CC(C)C[C@H](Nc1snc(C)c1c2ccc(cc2)N3CCNCC3)C(=O)NCC#N</t>
  </si>
  <si>
    <t>Whole Molecule 372</t>
  </si>
  <si>
    <t>Cc1onc(C)c1CCC(CC(=O)O)NC(=O)CNC(=O)CCCC2CCNCC2</t>
  </si>
  <si>
    <t>Whole Molecule 373</t>
  </si>
  <si>
    <t>CC1(CCCNC1)C(=O)N(CC(=O)Nc2ccc3C[C@]4(Cc3c2)C(=O)Nc5ncccc45)Cc6cc(F)cc(F)c6</t>
  </si>
  <si>
    <t>Whole Molecule 374</t>
  </si>
  <si>
    <t>CC(C)(C)OC(=O)N[C@](C)(Cc1ccccc1)c2oc(CN3CCNCC3=O)nn2</t>
  </si>
  <si>
    <t>Whole Molecule 375</t>
  </si>
  <si>
    <t>CC(C)(C)OC(=O)CNC(=O)[C@@H]1CNCCN1C(=O)N(c2ccccc2)c3ccccc3</t>
  </si>
  <si>
    <t>Whole Molecule 376</t>
  </si>
  <si>
    <t>CC(C)(C)NC(=O)[C@@H]1CNCCN1C[C@H](O)C[C@H](Cc2ccccc2)C(=O)N[C@@H]3[C@H](O)Cc4ccccc34</t>
  </si>
  <si>
    <t>Whole Molecule 377</t>
  </si>
  <si>
    <t>Cc1onc(c1)c2nnc3c4ccccc4c(OCc5ccc(nc5)C6(O)CCNCC6)nn23</t>
  </si>
  <si>
    <t>Whole Molecule 378</t>
  </si>
  <si>
    <t>[R]N1C(=O)N(C2CCNCC2)c3ccc(Cl)cc13</t>
  </si>
  <si>
    <t>Whole Molecule 379</t>
  </si>
  <si>
    <t>[R]NC(=O)[C@@H]1CNCCN1S(=O)(=O)[R]</t>
  </si>
  <si>
    <t>Whole Molecule 380</t>
  </si>
  <si>
    <t>O[C@@]([C@@H]1CCC(F)(F)C1)(C(=O)NCC2CCNCC2)c3ccccc3</t>
  </si>
  <si>
    <t>Whole Molecule 381</t>
  </si>
  <si>
    <t>CCCc1c([nH]c(c2cccc(c2)C(F)(F)F)c1c3ccnc(N[C@@H](C)c4ccccc4)n3)C5CCNCC5</t>
  </si>
  <si>
    <t>Whole Molecule 382</t>
  </si>
  <si>
    <t>[R]C1=C(CNCC1)C(=O)N(C)CC(=O)N(C)C</t>
  </si>
  <si>
    <t>Whole Molecule 383</t>
  </si>
  <si>
    <t>CSc1ccc(cc1)C2=C(CNCC2)C(=O)NCc3ccc4ccccc4n3</t>
  </si>
  <si>
    <t>Whole Molecule 384</t>
  </si>
  <si>
    <t>COC(C(=O)N(C)CCN1C(=O)C=CC=C1N2CCNCC2)c3ccccc3</t>
  </si>
  <si>
    <t>Total # in set</t>
  </si>
  <si>
    <t>Bulk property or functional Group</t>
  </si>
  <si>
    <t>% Fail Cu MALDI 20% Threshold</t>
  </si>
  <si>
    <t>% Fail Cu EIC 20% Threshold</t>
  </si>
  <si>
    <t>% Fail Cu TWC 20% Threshold</t>
  </si>
  <si>
    <t>% Fail Ir MALDI 20% Threshold</t>
  </si>
  <si>
    <t>% Fail Ir EIC 20% Threshold</t>
  </si>
  <si>
    <t>% Fail Ir TWC 20% Threshold</t>
  </si>
  <si>
    <t>% Fail Pd MALDI 20% Threshold</t>
  </si>
  <si>
    <t>% Fail Pd EIC 20% Threshold</t>
  </si>
  <si>
    <t>% Fail Pd TWC 20% Threshold</t>
  </si>
  <si>
    <t>% Fail Ru MALDI 20% Threshold</t>
  </si>
  <si>
    <t>% Fail Ru EIC 20% Threshold</t>
  </si>
  <si>
    <t>% Fail Ru TWC 20% Threshold</t>
  </si>
  <si>
    <t>Avg % Fail MALDI Across Methods</t>
  </si>
  <si>
    <t>Avg % Fail EIC Across Methods</t>
  </si>
  <si>
    <t>Avg % Fail TWC Across Methods</t>
  </si>
  <si>
    <t>Bulk property</t>
  </si>
  <si>
    <t>MW, high &gt;250</t>
  </si>
  <si>
    <t>MW, low &lt;200</t>
  </si>
  <si>
    <t>3-substituted (all amines)</t>
  </si>
  <si>
    <t>Functional Group</t>
  </si>
  <si>
    <t>4-Substituted (all amines)</t>
  </si>
  <si>
    <t>3-substituted-N-carbonyl piperazines (amines)</t>
  </si>
  <si>
    <t>Piperazines N-Alkyl  (amines)</t>
  </si>
  <si>
    <t>Piperazines N-Aryl  (amines)</t>
  </si>
  <si>
    <t>Piperazines N-Carbonyl  (amines)</t>
  </si>
  <si>
    <t>Piperazines N-Het  (amines)</t>
  </si>
  <si>
    <t>Parameter</t>
  </si>
  <si>
    <t>Cu MALDI 20% Threshold Hits</t>
  </si>
  <si>
    <t>Cu EIC 20% Threshold Hits</t>
  </si>
  <si>
    <t>Cu TWC 20% Threshold Hits</t>
  </si>
  <si>
    <t>Ir MALDI 20% Threshold Hits</t>
  </si>
  <si>
    <t>Ir EIC 20% Threshold Hits</t>
  </si>
  <si>
    <t>Ir TWC 20% Threshold Hits</t>
  </si>
  <si>
    <t>Pd MALDI 20% Threshold Hits</t>
  </si>
  <si>
    <t>Pd EIC 20% Threshold Hits</t>
  </si>
  <si>
    <t>Pd TWC 20% Threshold Hits</t>
  </si>
  <si>
    <t>Ru MALDI 20% Threshold Hits</t>
  </si>
  <si>
    <t>Ru EIC 20% Threshold Hits</t>
  </si>
  <si>
    <t>Ru TWC 20% Threshold Hits</t>
  </si>
  <si>
    <t>MALDI fails is&lt;0.0073</t>
  </si>
  <si>
    <t>TIC A% x TWC A% fail is &lt;80</t>
  </si>
  <si>
    <t>Strong MALDI hits is &gt;0.167</t>
  </si>
  <si>
    <t>TIC A% x TWC A% hitsl is &gt;80</t>
  </si>
  <si>
    <t>TIC A% x TWC A% hits is &gt;80</t>
  </si>
  <si>
    <t>Middling MALDI values &gt;0.0073, &lt;0.167</t>
  </si>
  <si>
    <t>92% Predicitvity</t>
  </si>
  <si>
    <t>84% predictivity</t>
  </si>
  <si>
    <t>30% predictivity in middling MALDI region (112 reactions, 39% of space)</t>
  </si>
  <si>
    <t>90% Predictivity in low and high MALDI regions (176 reactions, 61% of the space)</t>
  </si>
  <si>
    <t>ParentSmiles</t>
  </si>
  <si>
    <t>Type</t>
  </si>
  <si>
    <t xml:space="preserve">TP </t>
  </si>
  <si>
    <t>Key</t>
  </si>
  <si>
    <t>Ru/Ni Photoredox chemistry (144 Experiments)</t>
  </si>
  <si>
    <t>Cu chemistry (144 Experiments)</t>
  </si>
  <si>
    <t>Structures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</si>
  <si>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</si>
  <si>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</si>
  <si>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</si>
  <si>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</si>
  <si>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</si>
  <si>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</si>
  <si>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</si>
  <si>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</si>
  <si>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</si>
  <si>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</si>
  <si>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</si>
  <si>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</si>
  <si>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</si>
  <si>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</si>
  <si>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</si>
  <si>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</si>
  <si>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</si>
  <si>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</si>
  <si>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</si>
  <si>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</si>
  <si>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</si>
  <si>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</si>
  <si>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</si>
  <si>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</si>
  <si>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</si>
  <si>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</si>
  <si>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</si>
  <si>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Pd TWC product Area</t>
  </si>
  <si>
    <t>PdEIC(+) Product Area</t>
  </si>
  <si>
    <t>Cu TWC product Area</t>
  </si>
  <si>
    <t>Cu EIC(+) Product Area</t>
  </si>
  <si>
    <t>Cross over Rxn #</t>
  </si>
  <si>
    <t>TN, FN, TP, FP</t>
  </si>
  <si>
    <t>Low MALDI x MALDI Values, Prediction of Fail</t>
  </si>
  <si>
    <t>Middling MALDI x MALDI values, poor predictivity</t>
  </si>
  <si>
    <t>High MALDI x MALDI values for both partners, predicted to work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</si>
</sst>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#.0"/>
    <numFmt numFmtId="167" formatCode="0.000"/>
    <numFmt numFmtId="168" formatCode="#.00000"/>
  </numFmts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2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4" tint="0.7999816888943144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32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NumberFormat="1" applyFont="1" applyBorder="1" applyAlignment="1">
      <alignment horizontal="center" vertical="center" wrapText="1"/>
    </xf>
    <xf numFmtId="164" fontId="14" fillId="0" borderId="3" xfId="0" applyNumberFormat="1" applyFont="1" applyFill="1" applyBorder="1" applyAlignment="1">
      <alignment horizontal="center" vertical="center" wrapText="1"/>
    </xf>
    <xf numFmtId="2" fontId="14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4" fillId="0" borderId="31" xfId="0" applyNumberFormat="1" applyFont="1" applyBorder="1" applyAlignment="1">
      <alignment horizontal="center" vertical="center" wrapText="1"/>
    </xf>
    <xf numFmtId="164" fontId="14" fillId="0" borderId="31" xfId="0" applyNumberFormat="1" applyFont="1" applyFill="1" applyBorder="1" applyAlignment="1">
      <alignment horizontal="center" vertical="center" wrapText="1"/>
    </xf>
    <xf numFmtId="2" fontId="14" fillId="0" borderId="31" xfId="0" applyNumberFormat="1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3" fillId="0" borderId="31" xfId="0" applyNumberFormat="1" applyFont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4" fillId="2" borderId="31" xfId="0" applyNumberFormat="1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4" fillId="0" borderId="31" xfId="0" applyNumberFormat="1" applyFont="1" applyFill="1" applyBorder="1" applyAlignment="1">
      <alignment horizontal="center" vertical="center" wrapText="1"/>
    </xf>
    <xf numFmtId="0" fontId="14" fillId="0" borderId="0" xfId="0" applyFont="1" applyFill="1"/>
    <xf numFmtId="168" fontId="14" fillId="0" borderId="0" xfId="0" applyNumberFormat="1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0" borderId="1" xfId="1" applyNumberFormat="1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4" borderId="27" xfId="0" applyFont="1" applyFill="1" applyBorder="1" applyAlignment="1">
      <alignment horizontal="center" vertical="center" wrapText="1"/>
    </xf>
    <xf numFmtId="0" fontId="18" fillId="4" borderId="28" xfId="0" applyFont="1" applyFill="1" applyBorder="1" applyAlignment="1">
      <alignment horizontal="center" vertical="center" wrapText="1"/>
    </xf>
    <xf numFmtId="0" fontId="18" fillId="0" borderId="30" xfId="0" applyFont="1" applyBorder="1"/>
    <xf numFmtId="0" fontId="18" fillId="0" borderId="2" xfId="0" applyFont="1" applyBorder="1"/>
    <xf numFmtId="0" fontId="18" fillId="4" borderId="25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164" fontId="18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64" fontId="18" fillId="4" borderId="11" xfId="0" applyNumberFormat="1" applyFont="1" applyFill="1" applyBorder="1" applyAlignment="1">
      <alignment horizontal="center" vertical="center" wrapText="1"/>
    </xf>
    <xf numFmtId="164" fontId="18" fillId="3" borderId="21" xfId="0" applyNumberFormat="1" applyFont="1" applyFill="1" applyBorder="1" applyAlignment="1">
      <alignment horizontal="center" vertical="center" wrapText="1"/>
    </xf>
    <xf numFmtId="164" fontId="18" fillId="0" borderId="11" xfId="0" applyNumberFormat="1" applyFont="1" applyFill="1" applyBorder="1" applyAlignment="1">
      <alignment horizontal="center" vertical="center" wrapText="1"/>
    </xf>
    <xf numFmtId="164" fontId="18" fillId="0" borderId="21" xfId="0" applyNumberFormat="1" applyFont="1" applyFill="1" applyBorder="1" applyAlignment="1">
      <alignment horizontal="center" vertical="center" wrapText="1"/>
    </xf>
    <xf numFmtId="164" fontId="18" fillId="0" borderId="11" xfId="0" applyNumberFormat="1" applyFont="1" applyBorder="1" applyAlignment="1">
      <alignment horizontal="center" vertical="center" wrapText="1"/>
    </xf>
    <xf numFmtId="164" fontId="18" fillId="0" borderId="21" xfId="0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/>
    </xf>
    <xf numFmtId="0" fontId="1" fillId="0" borderId="31" xfId="1" applyFont="1" applyBorder="1" applyAlignment="1">
      <alignment horizontal="center" vertical="center" wrapText="1"/>
    </xf>
    <xf numFmtId="0" fontId="6" fillId="0" borderId="31" xfId="1" applyNumberFormat="1" applyFont="1" applyBorder="1" applyAlignment="1">
      <alignment horizontal="center"/>
    </xf>
    <xf numFmtId="0" fontId="11" fillId="0" borderId="0" xfId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0" fontId="12" fillId="0" borderId="31" xfId="0" applyFont="1" applyFill="1" applyBorder="1" applyAlignment="1">
      <alignment horizontal="center" vertical="center"/>
    </xf>
    <xf numFmtId="0" fontId="13" fillId="0" borderId="31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164" fontId="15" fillId="0" borderId="31" xfId="1" applyNumberFormat="1" applyFont="1" applyFill="1" applyBorder="1" applyAlignment="1">
      <alignment horizontal="center" vertical="center" wrapText="1"/>
    </xf>
    <xf numFmtId="2" fontId="15" fillId="0" borderId="31" xfId="1" applyNumberFormat="1" applyFont="1" applyFill="1" applyBorder="1" applyAlignment="1">
      <alignment horizontal="center" vertical="center" wrapText="1"/>
    </xf>
    <xf numFmtId="0" fontId="21" fillId="5" borderId="31" xfId="0" applyNumberFormat="1" applyFont="1" applyFill="1" applyBorder="1" applyAlignment="1">
      <alignment horizontal="center" vertical="center"/>
    </xf>
    <xf numFmtId="0" fontId="15" fillId="0" borderId="31" xfId="1" applyNumberFormat="1" applyFont="1" applyFill="1" applyBorder="1" applyAlignment="1">
      <alignment horizontal="center" vertical="center" wrapText="1"/>
    </xf>
    <xf numFmtId="0" fontId="15" fillId="0" borderId="31" xfId="1" applyFont="1" applyFill="1" applyBorder="1" applyAlignment="1">
      <alignment horizontal="center" vertical="center" wrapText="1"/>
    </xf>
    <xf numFmtId="0" fontId="11" fillId="0" borderId="31" xfId="1" applyFont="1" applyFill="1" applyBorder="1" applyAlignment="1">
      <alignment horizontal="center" vertical="center" wrapText="1"/>
    </xf>
    <xf numFmtId="164" fontId="11" fillId="0" borderId="31" xfId="0" applyNumberFormat="1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2" fontId="11" fillId="0" borderId="31" xfId="0" applyNumberFormat="1" applyFont="1" applyFill="1" applyBorder="1" applyAlignment="1">
      <alignment horizontal="center" vertical="center" wrapText="1"/>
    </xf>
    <xf numFmtId="166" fontId="11" fillId="0" borderId="31" xfId="0" applyNumberFormat="1" applyFont="1" applyFill="1" applyBorder="1" applyAlignment="1">
      <alignment horizontal="center" vertical="center" wrapText="1"/>
    </xf>
    <xf numFmtId="0" fontId="11" fillId="0" borderId="31" xfId="0" applyNumberFormat="1" applyFont="1" applyFill="1" applyBorder="1" applyAlignment="1">
      <alignment horizontal="center" vertical="center" wrapText="1"/>
    </xf>
    <xf numFmtId="167" fontId="11" fillId="0" borderId="31" xfId="0" applyNumberFormat="1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/>
    </xf>
    <xf numFmtId="164" fontId="11" fillId="0" borderId="31" xfId="0" applyNumberFormat="1" applyFont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64" fontId="15" fillId="0" borderId="3" xfId="1" applyNumberFormat="1" applyFont="1" applyFill="1" applyBorder="1" applyAlignment="1">
      <alignment horizontal="center" vertical="center" wrapText="1"/>
    </xf>
    <xf numFmtId="2" fontId="15" fillId="0" borderId="3" xfId="1" applyNumberFormat="1" applyFont="1" applyFill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3" fillId="0" borderId="31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 wrapText="1"/>
    </xf>
    <xf numFmtId="0" fontId="3" fillId="0" borderId="31" xfId="1" applyNumberFormat="1" applyFont="1" applyBorder="1" applyAlignment="1">
      <alignment horizontal="center" vertical="center" wrapText="1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3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/>
    </xf>
    <xf numFmtId="0" fontId="12" fillId="0" borderId="3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8" fillId="0" borderId="34" xfId="0" applyNumberFormat="1" applyFont="1" applyBorder="1" applyAlignment="1">
      <alignment horizontal="center" vertical="center" wrapText="1"/>
    </xf>
    <xf numFmtId="164" fontId="18" fillId="0" borderId="6" xfId="0" applyNumberFormat="1" applyFont="1" applyBorder="1" applyAlignment="1">
      <alignment horizontal="center" vertical="center" wrapText="1"/>
    </xf>
    <xf numFmtId="164" fontId="18" fillId="0" borderId="12" xfId="0" applyNumberFormat="1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165" fontId="18" fillId="0" borderId="34" xfId="0" applyNumberFormat="1" applyFont="1" applyBorder="1" applyAlignment="1">
      <alignment horizontal="center"/>
    </xf>
    <xf numFmtId="164" fontId="18" fillId="0" borderId="6" xfId="0" applyNumberFormat="1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165" fontId="18" fillId="0" borderId="23" xfId="0" applyNumberFormat="1" applyFont="1" applyBorder="1" applyAlignment="1">
      <alignment horizontal="center" vertical="center" wrapText="1"/>
    </xf>
    <xf numFmtId="164" fontId="18" fillId="0" borderId="5" xfId="0" applyNumberFormat="1" applyFont="1" applyBorder="1" applyAlignment="1">
      <alignment horizontal="center" vertical="center" wrapText="1"/>
    </xf>
    <xf numFmtId="164" fontId="18" fillId="0" borderId="7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165" fontId="18" fillId="0" borderId="23" xfId="0" applyNumberFormat="1" applyFont="1" applyBorder="1" applyAlignment="1">
      <alignment horizontal="center"/>
    </xf>
    <xf numFmtId="164" fontId="18" fillId="0" borderId="5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3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 vertical="center"/>
    </xf>
    <xf numFmtId="165" fontId="18" fillId="0" borderId="35" xfId="0" applyNumberFormat="1" applyFont="1" applyBorder="1" applyAlignment="1">
      <alignment horizontal="center"/>
    </xf>
    <xf numFmtId="164" fontId="18" fillId="0" borderId="16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36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/>
    </xf>
    <xf numFmtId="165" fontId="18" fillId="0" borderId="35" xfId="0" applyNumberFormat="1" applyFont="1" applyBorder="1" applyAlignment="1">
      <alignment horizontal="center" vertical="center" wrapText="1"/>
    </xf>
    <xf numFmtId="164" fontId="18" fillId="0" borderId="16" xfId="0" applyNumberFormat="1" applyFont="1" applyBorder="1" applyAlignment="1">
      <alignment horizontal="center" vertical="center" wrapText="1"/>
    </xf>
    <xf numFmtId="164" fontId="18" fillId="0" borderId="17" xfId="0" applyNumberFormat="1" applyFont="1" applyBorder="1" applyAlignment="1">
      <alignment horizontal="center" vertical="center" wrapText="1"/>
    </xf>
    <xf numFmtId="0" fontId="12" fillId="0" borderId="3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18" fillId="0" borderId="7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165" fontId="18" fillId="0" borderId="0" xfId="0" applyNumberFormat="1" applyFont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2" fontId="18" fillId="0" borderId="9" xfId="0" applyNumberFormat="1" applyFont="1" applyFill="1" applyBorder="1" applyAlignment="1">
      <alignment horizontal="center" vertical="center" wrapText="1"/>
    </xf>
    <xf numFmtId="165" fontId="18" fillId="0" borderId="9" xfId="0" applyNumberFormat="1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165" fontId="18" fillId="0" borderId="9" xfId="0" applyNumberFormat="1" applyFont="1" applyBorder="1" applyAlignment="1">
      <alignment horizontal="center"/>
    </xf>
    <xf numFmtId="164" fontId="18" fillId="0" borderId="9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8" fillId="0" borderId="23" xfId="0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2" fillId="0" borderId="0" xfId="0" applyFont="1"/>
    <xf numFmtId="0" fontId="18" fillId="0" borderId="0" xfId="0" applyFont="1" applyFill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67" fontId="18" fillId="0" borderId="34" xfId="0" applyNumberFormat="1" applyFont="1" applyFill="1" applyBorder="1" applyAlignment="1">
      <alignment horizontal="center" vertical="center" wrapText="1"/>
    </xf>
    <xf numFmtId="167" fontId="18" fillId="0" borderId="6" xfId="0" applyNumberFormat="1" applyFont="1" applyFill="1" applyBorder="1" applyAlignment="1">
      <alignment horizontal="center" vertical="center" wrapText="1"/>
    </xf>
    <xf numFmtId="167" fontId="18" fillId="0" borderId="23" xfId="0" applyNumberFormat="1" applyFont="1" applyFill="1" applyBorder="1" applyAlignment="1">
      <alignment horizontal="center" vertical="center" wrapText="1"/>
    </xf>
    <xf numFmtId="167" fontId="18" fillId="0" borderId="5" xfId="0" applyNumberFormat="1" applyFont="1" applyFill="1" applyBorder="1" applyAlignment="1">
      <alignment horizontal="center" vertical="center" wrapText="1"/>
    </xf>
    <xf numFmtId="167" fontId="18" fillId="0" borderId="35" xfId="0" applyNumberFormat="1" applyFont="1" applyFill="1" applyBorder="1" applyAlignment="1">
      <alignment horizontal="center" vertical="center" wrapText="1"/>
    </xf>
    <xf numFmtId="167" fontId="18" fillId="0" borderId="16" xfId="0" applyNumberFormat="1" applyFont="1" applyFill="1" applyBorder="1" applyAlignment="1">
      <alignment horizontal="center" vertical="center" wrapText="1"/>
    </xf>
    <xf numFmtId="167" fontId="18" fillId="0" borderId="34" xfId="0" applyNumberFormat="1" applyFont="1" applyFill="1" applyBorder="1" applyAlignment="1">
      <alignment horizontal="center"/>
    </xf>
    <xf numFmtId="167" fontId="18" fillId="0" borderId="6" xfId="0" applyNumberFormat="1" applyFont="1" applyFill="1" applyBorder="1" applyAlignment="1">
      <alignment horizontal="center"/>
    </xf>
    <xf numFmtId="167" fontId="18" fillId="0" borderId="23" xfId="0" applyNumberFormat="1" applyFont="1" applyFill="1" applyBorder="1" applyAlignment="1">
      <alignment horizontal="center"/>
    </xf>
    <xf numFmtId="167" fontId="18" fillId="0" borderId="5" xfId="0" applyNumberFormat="1" applyFont="1" applyFill="1" applyBorder="1" applyAlignment="1">
      <alignment horizontal="center"/>
    </xf>
    <xf numFmtId="167" fontId="18" fillId="0" borderId="35" xfId="0" applyNumberFormat="1" applyFont="1" applyFill="1" applyBorder="1" applyAlignment="1">
      <alignment horizontal="center"/>
    </xf>
    <xf numFmtId="167" fontId="18" fillId="0" borderId="16" xfId="0" applyNumberFormat="1" applyFont="1" applyFill="1" applyBorder="1" applyAlignment="1">
      <alignment horizontal="center"/>
    </xf>
    <xf numFmtId="167" fontId="18" fillId="0" borderId="0" xfId="0" applyNumberFormat="1" applyFont="1" applyFill="1" applyBorder="1" applyAlignment="1">
      <alignment horizontal="center"/>
    </xf>
    <xf numFmtId="167" fontId="18" fillId="0" borderId="9" xfId="0" applyNumberFormat="1" applyFont="1" applyFill="1" applyBorder="1" applyAlignment="1">
      <alignment horizontal="center"/>
    </xf>
    <xf numFmtId="167" fontId="18" fillId="0" borderId="0" xfId="0" applyNumberFormat="1" applyFont="1" applyFill="1" applyBorder="1" applyAlignment="1">
      <alignment horizontal="center" vertical="center" wrapText="1"/>
    </xf>
    <xf numFmtId="167" fontId="18" fillId="0" borderId="9" xfId="0" applyNumberFormat="1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tmp"/><Relationship Id="rId299" Type="http://schemas.openxmlformats.org/officeDocument/2006/relationships/image" Target="../media/image299.tmp"/><Relationship Id="rId303" Type="http://schemas.openxmlformats.org/officeDocument/2006/relationships/image" Target="../media/image303.tmp"/><Relationship Id="rId21" Type="http://schemas.openxmlformats.org/officeDocument/2006/relationships/image" Target="../media/image21.tmp"/><Relationship Id="rId42" Type="http://schemas.openxmlformats.org/officeDocument/2006/relationships/image" Target="../media/image42.tmp"/><Relationship Id="rId63" Type="http://schemas.openxmlformats.org/officeDocument/2006/relationships/image" Target="../media/image63.tmp"/><Relationship Id="rId84" Type="http://schemas.openxmlformats.org/officeDocument/2006/relationships/image" Target="../media/image84.tmp"/><Relationship Id="rId138" Type="http://schemas.openxmlformats.org/officeDocument/2006/relationships/image" Target="../media/image138.tmp"/><Relationship Id="rId159" Type="http://schemas.openxmlformats.org/officeDocument/2006/relationships/image" Target="../media/image159.tmp"/><Relationship Id="rId324" Type="http://schemas.openxmlformats.org/officeDocument/2006/relationships/image" Target="../media/image324.tmp"/><Relationship Id="rId345" Type="http://schemas.openxmlformats.org/officeDocument/2006/relationships/image" Target="../media/image345.tmp"/><Relationship Id="rId366" Type="http://schemas.openxmlformats.org/officeDocument/2006/relationships/image" Target="../media/image366.tmp"/><Relationship Id="rId170" Type="http://schemas.openxmlformats.org/officeDocument/2006/relationships/image" Target="../media/image170.tmp"/><Relationship Id="rId191" Type="http://schemas.openxmlformats.org/officeDocument/2006/relationships/image" Target="../media/image191.tmp"/><Relationship Id="rId205" Type="http://schemas.openxmlformats.org/officeDocument/2006/relationships/image" Target="../media/image205.tmp"/><Relationship Id="rId226" Type="http://schemas.openxmlformats.org/officeDocument/2006/relationships/image" Target="../media/image226.tmp"/><Relationship Id="rId247" Type="http://schemas.openxmlformats.org/officeDocument/2006/relationships/image" Target="../media/image247.tmp"/><Relationship Id="rId107" Type="http://schemas.openxmlformats.org/officeDocument/2006/relationships/image" Target="../media/image107.tmp"/><Relationship Id="rId268" Type="http://schemas.openxmlformats.org/officeDocument/2006/relationships/image" Target="../media/image268.tmp"/><Relationship Id="rId289" Type="http://schemas.openxmlformats.org/officeDocument/2006/relationships/image" Target="../media/image289.tmp"/><Relationship Id="rId11" Type="http://schemas.openxmlformats.org/officeDocument/2006/relationships/image" Target="../media/image11.tmp"/><Relationship Id="rId32" Type="http://schemas.openxmlformats.org/officeDocument/2006/relationships/image" Target="../media/image32.tmp"/><Relationship Id="rId53" Type="http://schemas.openxmlformats.org/officeDocument/2006/relationships/image" Target="../media/image53.tmp"/><Relationship Id="rId74" Type="http://schemas.openxmlformats.org/officeDocument/2006/relationships/image" Target="../media/image74.tmp"/><Relationship Id="rId128" Type="http://schemas.openxmlformats.org/officeDocument/2006/relationships/image" Target="../media/image128.tmp"/><Relationship Id="rId149" Type="http://schemas.openxmlformats.org/officeDocument/2006/relationships/image" Target="../media/image149.tmp"/><Relationship Id="rId314" Type="http://schemas.openxmlformats.org/officeDocument/2006/relationships/image" Target="../media/image314.tmp"/><Relationship Id="rId335" Type="http://schemas.openxmlformats.org/officeDocument/2006/relationships/image" Target="../media/image335.tmp"/><Relationship Id="rId356" Type="http://schemas.openxmlformats.org/officeDocument/2006/relationships/image" Target="../media/image356.tmp"/><Relationship Id="rId377" Type="http://schemas.openxmlformats.org/officeDocument/2006/relationships/image" Target="../media/image377.tmp"/><Relationship Id="rId5" Type="http://schemas.openxmlformats.org/officeDocument/2006/relationships/image" Target="../media/image5.tmp"/><Relationship Id="rId95" Type="http://schemas.openxmlformats.org/officeDocument/2006/relationships/image" Target="../media/image95.tmp"/><Relationship Id="rId160" Type="http://schemas.openxmlformats.org/officeDocument/2006/relationships/image" Target="../media/image160.tmp"/><Relationship Id="rId181" Type="http://schemas.openxmlformats.org/officeDocument/2006/relationships/image" Target="../media/image181.tmp"/><Relationship Id="rId216" Type="http://schemas.openxmlformats.org/officeDocument/2006/relationships/image" Target="../media/image216.tmp"/><Relationship Id="rId237" Type="http://schemas.openxmlformats.org/officeDocument/2006/relationships/image" Target="../media/image237.tmp"/><Relationship Id="rId258" Type="http://schemas.openxmlformats.org/officeDocument/2006/relationships/image" Target="../media/image258.tmp"/><Relationship Id="rId279" Type="http://schemas.openxmlformats.org/officeDocument/2006/relationships/image" Target="../media/image279.tmp"/><Relationship Id="rId22" Type="http://schemas.openxmlformats.org/officeDocument/2006/relationships/image" Target="../media/image22.tmp"/><Relationship Id="rId43" Type="http://schemas.openxmlformats.org/officeDocument/2006/relationships/image" Target="../media/image43.tmp"/><Relationship Id="rId64" Type="http://schemas.openxmlformats.org/officeDocument/2006/relationships/image" Target="../media/image64.tmp"/><Relationship Id="rId118" Type="http://schemas.openxmlformats.org/officeDocument/2006/relationships/image" Target="../media/image118.tmp"/><Relationship Id="rId139" Type="http://schemas.openxmlformats.org/officeDocument/2006/relationships/image" Target="../media/image139.tmp"/><Relationship Id="rId290" Type="http://schemas.openxmlformats.org/officeDocument/2006/relationships/image" Target="../media/image290.tmp"/><Relationship Id="rId304" Type="http://schemas.openxmlformats.org/officeDocument/2006/relationships/image" Target="../media/image304.tmp"/><Relationship Id="rId325" Type="http://schemas.openxmlformats.org/officeDocument/2006/relationships/image" Target="../media/image325.tmp"/><Relationship Id="rId346" Type="http://schemas.openxmlformats.org/officeDocument/2006/relationships/image" Target="../media/image346.tmp"/><Relationship Id="rId367" Type="http://schemas.openxmlformats.org/officeDocument/2006/relationships/image" Target="../media/image367.tmp"/><Relationship Id="rId85" Type="http://schemas.openxmlformats.org/officeDocument/2006/relationships/image" Target="../media/image85.tmp"/><Relationship Id="rId150" Type="http://schemas.openxmlformats.org/officeDocument/2006/relationships/image" Target="../media/image150.tmp"/><Relationship Id="rId171" Type="http://schemas.openxmlformats.org/officeDocument/2006/relationships/image" Target="../media/image171.tmp"/><Relationship Id="rId192" Type="http://schemas.openxmlformats.org/officeDocument/2006/relationships/image" Target="../media/image192.tmp"/><Relationship Id="rId206" Type="http://schemas.openxmlformats.org/officeDocument/2006/relationships/image" Target="../media/image206.tmp"/><Relationship Id="rId227" Type="http://schemas.openxmlformats.org/officeDocument/2006/relationships/image" Target="../media/image227.tmp"/><Relationship Id="rId248" Type="http://schemas.openxmlformats.org/officeDocument/2006/relationships/image" Target="../media/image248.tmp"/><Relationship Id="rId269" Type="http://schemas.openxmlformats.org/officeDocument/2006/relationships/image" Target="../media/image269.tmp"/><Relationship Id="rId12" Type="http://schemas.openxmlformats.org/officeDocument/2006/relationships/image" Target="../media/image12.tmp"/><Relationship Id="rId33" Type="http://schemas.openxmlformats.org/officeDocument/2006/relationships/image" Target="../media/image33.tmp"/><Relationship Id="rId108" Type="http://schemas.openxmlformats.org/officeDocument/2006/relationships/image" Target="../media/image108.tmp"/><Relationship Id="rId129" Type="http://schemas.openxmlformats.org/officeDocument/2006/relationships/image" Target="../media/image129.tmp"/><Relationship Id="rId280" Type="http://schemas.openxmlformats.org/officeDocument/2006/relationships/image" Target="../media/image280.tmp"/><Relationship Id="rId315" Type="http://schemas.openxmlformats.org/officeDocument/2006/relationships/image" Target="../media/image315.tmp"/><Relationship Id="rId336" Type="http://schemas.openxmlformats.org/officeDocument/2006/relationships/image" Target="../media/image336.tmp"/><Relationship Id="rId357" Type="http://schemas.openxmlformats.org/officeDocument/2006/relationships/image" Target="../media/image357.tmp"/><Relationship Id="rId54" Type="http://schemas.openxmlformats.org/officeDocument/2006/relationships/image" Target="../media/image54.tmp"/><Relationship Id="rId75" Type="http://schemas.openxmlformats.org/officeDocument/2006/relationships/image" Target="../media/image75.tmp"/><Relationship Id="rId96" Type="http://schemas.openxmlformats.org/officeDocument/2006/relationships/image" Target="../media/image96.tmp"/><Relationship Id="rId140" Type="http://schemas.openxmlformats.org/officeDocument/2006/relationships/image" Target="../media/image140.tmp"/><Relationship Id="rId161" Type="http://schemas.openxmlformats.org/officeDocument/2006/relationships/image" Target="../media/image161.tmp"/><Relationship Id="rId182" Type="http://schemas.openxmlformats.org/officeDocument/2006/relationships/image" Target="../media/image182.tmp"/><Relationship Id="rId217" Type="http://schemas.openxmlformats.org/officeDocument/2006/relationships/image" Target="../media/image217.tmp"/><Relationship Id="rId378" Type="http://schemas.openxmlformats.org/officeDocument/2006/relationships/image" Target="../media/image378.tmp"/><Relationship Id="rId6" Type="http://schemas.openxmlformats.org/officeDocument/2006/relationships/image" Target="../media/image6.tmp"/><Relationship Id="rId238" Type="http://schemas.openxmlformats.org/officeDocument/2006/relationships/image" Target="../media/image238.tmp"/><Relationship Id="rId259" Type="http://schemas.openxmlformats.org/officeDocument/2006/relationships/image" Target="../media/image259.tmp"/><Relationship Id="rId23" Type="http://schemas.openxmlformats.org/officeDocument/2006/relationships/image" Target="../media/image23.tmp"/><Relationship Id="rId119" Type="http://schemas.openxmlformats.org/officeDocument/2006/relationships/image" Target="../media/image119.tmp"/><Relationship Id="rId270" Type="http://schemas.openxmlformats.org/officeDocument/2006/relationships/image" Target="../media/image270.tmp"/><Relationship Id="rId291" Type="http://schemas.openxmlformats.org/officeDocument/2006/relationships/image" Target="../media/image291.tmp"/><Relationship Id="rId305" Type="http://schemas.openxmlformats.org/officeDocument/2006/relationships/image" Target="../media/image305.tmp"/><Relationship Id="rId326" Type="http://schemas.openxmlformats.org/officeDocument/2006/relationships/image" Target="../media/image326.tmp"/><Relationship Id="rId347" Type="http://schemas.openxmlformats.org/officeDocument/2006/relationships/image" Target="../media/image347.tmp"/><Relationship Id="rId44" Type="http://schemas.openxmlformats.org/officeDocument/2006/relationships/image" Target="../media/image44.tmp"/><Relationship Id="rId65" Type="http://schemas.openxmlformats.org/officeDocument/2006/relationships/image" Target="../media/image65.tmp"/><Relationship Id="rId86" Type="http://schemas.openxmlformats.org/officeDocument/2006/relationships/image" Target="../media/image86.tmp"/><Relationship Id="rId130" Type="http://schemas.openxmlformats.org/officeDocument/2006/relationships/image" Target="../media/image130.tmp"/><Relationship Id="rId151" Type="http://schemas.openxmlformats.org/officeDocument/2006/relationships/image" Target="../media/image151.tmp"/><Relationship Id="rId368" Type="http://schemas.openxmlformats.org/officeDocument/2006/relationships/image" Target="../media/image368.tmp"/><Relationship Id="rId172" Type="http://schemas.openxmlformats.org/officeDocument/2006/relationships/image" Target="../media/image172.tmp"/><Relationship Id="rId193" Type="http://schemas.openxmlformats.org/officeDocument/2006/relationships/image" Target="../media/image193.tmp"/><Relationship Id="rId207" Type="http://schemas.openxmlformats.org/officeDocument/2006/relationships/image" Target="../media/image207.tmp"/><Relationship Id="rId228" Type="http://schemas.openxmlformats.org/officeDocument/2006/relationships/image" Target="../media/image228.tmp"/><Relationship Id="rId249" Type="http://schemas.openxmlformats.org/officeDocument/2006/relationships/image" Target="../media/image249.tmp"/><Relationship Id="rId13" Type="http://schemas.openxmlformats.org/officeDocument/2006/relationships/image" Target="../media/image13.tmp"/><Relationship Id="rId109" Type="http://schemas.openxmlformats.org/officeDocument/2006/relationships/image" Target="../media/image109.tmp"/><Relationship Id="rId260" Type="http://schemas.openxmlformats.org/officeDocument/2006/relationships/image" Target="../media/image260.tmp"/><Relationship Id="rId281" Type="http://schemas.openxmlformats.org/officeDocument/2006/relationships/image" Target="../media/image281.tmp"/><Relationship Id="rId316" Type="http://schemas.openxmlformats.org/officeDocument/2006/relationships/image" Target="../media/image316.tmp"/><Relationship Id="rId337" Type="http://schemas.openxmlformats.org/officeDocument/2006/relationships/image" Target="../media/image337.tmp"/><Relationship Id="rId34" Type="http://schemas.openxmlformats.org/officeDocument/2006/relationships/image" Target="../media/image34.tmp"/><Relationship Id="rId55" Type="http://schemas.openxmlformats.org/officeDocument/2006/relationships/image" Target="../media/image55.tmp"/><Relationship Id="rId76" Type="http://schemas.openxmlformats.org/officeDocument/2006/relationships/image" Target="../media/image76.tmp"/><Relationship Id="rId97" Type="http://schemas.openxmlformats.org/officeDocument/2006/relationships/image" Target="../media/image97.tmp"/><Relationship Id="rId120" Type="http://schemas.openxmlformats.org/officeDocument/2006/relationships/image" Target="../media/image120.tmp"/><Relationship Id="rId141" Type="http://schemas.openxmlformats.org/officeDocument/2006/relationships/image" Target="../media/image141.tmp"/><Relationship Id="rId358" Type="http://schemas.openxmlformats.org/officeDocument/2006/relationships/image" Target="../media/image358.tmp"/><Relationship Id="rId379" Type="http://schemas.openxmlformats.org/officeDocument/2006/relationships/image" Target="../media/image379.tmp"/><Relationship Id="rId7" Type="http://schemas.openxmlformats.org/officeDocument/2006/relationships/image" Target="../media/image7.tmp"/><Relationship Id="rId162" Type="http://schemas.openxmlformats.org/officeDocument/2006/relationships/image" Target="../media/image162.tmp"/><Relationship Id="rId183" Type="http://schemas.openxmlformats.org/officeDocument/2006/relationships/image" Target="../media/image183.tmp"/><Relationship Id="rId218" Type="http://schemas.openxmlformats.org/officeDocument/2006/relationships/image" Target="../media/image218.tmp"/><Relationship Id="rId239" Type="http://schemas.openxmlformats.org/officeDocument/2006/relationships/image" Target="../media/image239.tmp"/><Relationship Id="rId250" Type="http://schemas.openxmlformats.org/officeDocument/2006/relationships/image" Target="../media/image250.tmp"/><Relationship Id="rId271" Type="http://schemas.openxmlformats.org/officeDocument/2006/relationships/image" Target="../media/image271.tmp"/><Relationship Id="rId292" Type="http://schemas.openxmlformats.org/officeDocument/2006/relationships/image" Target="../media/image292.tmp"/><Relationship Id="rId306" Type="http://schemas.openxmlformats.org/officeDocument/2006/relationships/image" Target="../media/image306.tmp"/><Relationship Id="rId24" Type="http://schemas.openxmlformats.org/officeDocument/2006/relationships/image" Target="../media/image24.tmp"/><Relationship Id="rId45" Type="http://schemas.openxmlformats.org/officeDocument/2006/relationships/image" Target="../media/image45.tmp"/><Relationship Id="rId66" Type="http://schemas.openxmlformats.org/officeDocument/2006/relationships/image" Target="../media/image66.tmp"/><Relationship Id="rId87" Type="http://schemas.openxmlformats.org/officeDocument/2006/relationships/image" Target="../media/image87.tmp"/><Relationship Id="rId110" Type="http://schemas.openxmlformats.org/officeDocument/2006/relationships/image" Target="../media/image110.tmp"/><Relationship Id="rId131" Type="http://schemas.openxmlformats.org/officeDocument/2006/relationships/image" Target="../media/image131.tmp"/><Relationship Id="rId327" Type="http://schemas.openxmlformats.org/officeDocument/2006/relationships/image" Target="../media/image327.tmp"/><Relationship Id="rId348" Type="http://schemas.openxmlformats.org/officeDocument/2006/relationships/image" Target="../media/image348.tmp"/><Relationship Id="rId369" Type="http://schemas.openxmlformats.org/officeDocument/2006/relationships/image" Target="../media/image369.tmp"/><Relationship Id="rId152" Type="http://schemas.openxmlformats.org/officeDocument/2006/relationships/image" Target="../media/image152.tmp"/><Relationship Id="rId173" Type="http://schemas.openxmlformats.org/officeDocument/2006/relationships/image" Target="../media/image173.tmp"/><Relationship Id="rId194" Type="http://schemas.openxmlformats.org/officeDocument/2006/relationships/image" Target="../media/image194.tmp"/><Relationship Id="rId208" Type="http://schemas.openxmlformats.org/officeDocument/2006/relationships/image" Target="../media/image208.tmp"/><Relationship Id="rId229" Type="http://schemas.openxmlformats.org/officeDocument/2006/relationships/image" Target="../media/image229.tmp"/><Relationship Id="rId240" Type="http://schemas.openxmlformats.org/officeDocument/2006/relationships/image" Target="../media/image240.tmp"/><Relationship Id="rId261" Type="http://schemas.openxmlformats.org/officeDocument/2006/relationships/image" Target="../media/image261.tmp"/><Relationship Id="rId14" Type="http://schemas.openxmlformats.org/officeDocument/2006/relationships/image" Target="../media/image14.tmp"/><Relationship Id="rId35" Type="http://schemas.openxmlformats.org/officeDocument/2006/relationships/image" Target="../media/image35.tmp"/><Relationship Id="rId56" Type="http://schemas.openxmlformats.org/officeDocument/2006/relationships/image" Target="../media/image56.tmp"/><Relationship Id="rId77" Type="http://schemas.openxmlformats.org/officeDocument/2006/relationships/image" Target="../media/image77.tmp"/><Relationship Id="rId100" Type="http://schemas.openxmlformats.org/officeDocument/2006/relationships/image" Target="../media/image100.tmp"/><Relationship Id="rId282" Type="http://schemas.openxmlformats.org/officeDocument/2006/relationships/image" Target="../media/image282.tmp"/><Relationship Id="rId317" Type="http://schemas.openxmlformats.org/officeDocument/2006/relationships/image" Target="../media/image317.tmp"/><Relationship Id="rId338" Type="http://schemas.openxmlformats.org/officeDocument/2006/relationships/image" Target="../media/image338.tmp"/><Relationship Id="rId359" Type="http://schemas.openxmlformats.org/officeDocument/2006/relationships/image" Target="../media/image359.tmp"/><Relationship Id="rId8" Type="http://schemas.openxmlformats.org/officeDocument/2006/relationships/image" Target="../media/image8.tmp"/><Relationship Id="rId98" Type="http://schemas.openxmlformats.org/officeDocument/2006/relationships/image" Target="../media/image98.tmp"/><Relationship Id="rId121" Type="http://schemas.openxmlformats.org/officeDocument/2006/relationships/image" Target="../media/image121.tmp"/><Relationship Id="rId142" Type="http://schemas.openxmlformats.org/officeDocument/2006/relationships/image" Target="../media/image142.tmp"/><Relationship Id="rId163" Type="http://schemas.openxmlformats.org/officeDocument/2006/relationships/image" Target="../media/image163.tmp"/><Relationship Id="rId184" Type="http://schemas.openxmlformats.org/officeDocument/2006/relationships/image" Target="../media/image184.tmp"/><Relationship Id="rId219" Type="http://schemas.openxmlformats.org/officeDocument/2006/relationships/image" Target="../media/image219.tmp"/><Relationship Id="rId370" Type="http://schemas.openxmlformats.org/officeDocument/2006/relationships/image" Target="../media/image370.tmp"/><Relationship Id="rId230" Type="http://schemas.openxmlformats.org/officeDocument/2006/relationships/image" Target="../media/image230.tmp"/><Relationship Id="rId251" Type="http://schemas.openxmlformats.org/officeDocument/2006/relationships/image" Target="../media/image251.tmp"/><Relationship Id="rId25" Type="http://schemas.openxmlformats.org/officeDocument/2006/relationships/image" Target="../media/image25.tmp"/><Relationship Id="rId46" Type="http://schemas.openxmlformats.org/officeDocument/2006/relationships/image" Target="../media/image46.tmp"/><Relationship Id="rId67" Type="http://schemas.openxmlformats.org/officeDocument/2006/relationships/image" Target="../media/image67.tmp"/><Relationship Id="rId272" Type="http://schemas.openxmlformats.org/officeDocument/2006/relationships/image" Target="../media/image272.tmp"/><Relationship Id="rId293" Type="http://schemas.openxmlformats.org/officeDocument/2006/relationships/image" Target="../media/image293.tmp"/><Relationship Id="rId307" Type="http://schemas.openxmlformats.org/officeDocument/2006/relationships/image" Target="../media/image307.tmp"/><Relationship Id="rId328" Type="http://schemas.openxmlformats.org/officeDocument/2006/relationships/image" Target="../media/image328.tmp"/><Relationship Id="rId349" Type="http://schemas.openxmlformats.org/officeDocument/2006/relationships/image" Target="../media/image349.tmp"/><Relationship Id="rId88" Type="http://schemas.openxmlformats.org/officeDocument/2006/relationships/image" Target="../media/image88.tmp"/><Relationship Id="rId111" Type="http://schemas.openxmlformats.org/officeDocument/2006/relationships/image" Target="../media/image111.tmp"/><Relationship Id="rId132" Type="http://schemas.openxmlformats.org/officeDocument/2006/relationships/image" Target="../media/image132.tmp"/><Relationship Id="rId153" Type="http://schemas.openxmlformats.org/officeDocument/2006/relationships/image" Target="../media/image153.tmp"/><Relationship Id="rId174" Type="http://schemas.openxmlformats.org/officeDocument/2006/relationships/image" Target="../media/image174.tmp"/><Relationship Id="rId195" Type="http://schemas.openxmlformats.org/officeDocument/2006/relationships/image" Target="../media/image195.tmp"/><Relationship Id="rId209" Type="http://schemas.openxmlformats.org/officeDocument/2006/relationships/image" Target="../media/image209.tmp"/><Relationship Id="rId360" Type="http://schemas.openxmlformats.org/officeDocument/2006/relationships/image" Target="../media/image360.tmp"/><Relationship Id="rId220" Type="http://schemas.openxmlformats.org/officeDocument/2006/relationships/image" Target="../media/image220.tmp"/><Relationship Id="rId241" Type="http://schemas.openxmlformats.org/officeDocument/2006/relationships/image" Target="../media/image241.tmp"/><Relationship Id="rId15" Type="http://schemas.openxmlformats.org/officeDocument/2006/relationships/image" Target="../media/image15.tmp"/><Relationship Id="rId36" Type="http://schemas.openxmlformats.org/officeDocument/2006/relationships/image" Target="../media/image36.tmp"/><Relationship Id="rId57" Type="http://schemas.openxmlformats.org/officeDocument/2006/relationships/image" Target="../media/image57.tmp"/><Relationship Id="rId262" Type="http://schemas.openxmlformats.org/officeDocument/2006/relationships/image" Target="../media/image262.tmp"/><Relationship Id="rId283" Type="http://schemas.openxmlformats.org/officeDocument/2006/relationships/image" Target="../media/image283.tmp"/><Relationship Id="rId318" Type="http://schemas.openxmlformats.org/officeDocument/2006/relationships/image" Target="../media/image318.tmp"/><Relationship Id="rId339" Type="http://schemas.openxmlformats.org/officeDocument/2006/relationships/image" Target="../media/image339.tmp"/><Relationship Id="rId78" Type="http://schemas.openxmlformats.org/officeDocument/2006/relationships/image" Target="../media/image78.tmp"/><Relationship Id="rId99" Type="http://schemas.openxmlformats.org/officeDocument/2006/relationships/image" Target="../media/image99.tmp"/><Relationship Id="rId101" Type="http://schemas.openxmlformats.org/officeDocument/2006/relationships/image" Target="../media/image101.tmp"/><Relationship Id="rId122" Type="http://schemas.openxmlformats.org/officeDocument/2006/relationships/image" Target="../media/image122.tmp"/><Relationship Id="rId143" Type="http://schemas.openxmlformats.org/officeDocument/2006/relationships/image" Target="../media/image143.tmp"/><Relationship Id="rId164" Type="http://schemas.openxmlformats.org/officeDocument/2006/relationships/image" Target="../media/image164.tmp"/><Relationship Id="rId185" Type="http://schemas.openxmlformats.org/officeDocument/2006/relationships/image" Target="../media/image185.tmp"/><Relationship Id="rId350" Type="http://schemas.openxmlformats.org/officeDocument/2006/relationships/image" Target="../media/image350.tmp"/><Relationship Id="rId371" Type="http://schemas.openxmlformats.org/officeDocument/2006/relationships/image" Target="../media/image371.tmp"/><Relationship Id="rId9" Type="http://schemas.openxmlformats.org/officeDocument/2006/relationships/image" Target="../media/image9.tmp"/><Relationship Id="rId210" Type="http://schemas.openxmlformats.org/officeDocument/2006/relationships/image" Target="../media/image210.tmp"/><Relationship Id="rId26" Type="http://schemas.openxmlformats.org/officeDocument/2006/relationships/image" Target="../media/image26.tmp"/><Relationship Id="rId231" Type="http://schemas.openxmlformats.org/officeDocument/2006/relationships/image" Target="../media/image231.tmp"/><Relationship Id="rId252" Type="http://schemas.openxmlformats.org/officeDocument/2006/relationships/image" Target="../media/image252.tmp"/><Relationship Id="rId273" Type="http://schemas.openxmlformats.org/officeDocument/2006/relationships/image" Target="../media/image273.tmp"/><Relationship Id="rId294" Type="http://schemas.openxmlformats.org/officeDocument/2006/relationships/image" Target="../media/image294.tmp"/><Relationship Id="rId308" Type="http://schemas.openxmlformats.org/officeDocument/2006/relationships/image" Target="../media/image308.tmp"/><Relationship Id="rId329" Type="http://schemas.openxmlformats.org/officeDocument/2006/relationships/image" Target="../media/image329.tmp"/><Relationship Id="rId47" Type="http://schemas.openxmlformats.org/officeDocument/2006/relationships/image" Target="../media/image47.tmp"/><Relationship Id="rId68" Type="http://schemas.openxmlformats.org/officeDocument/2006/relationships/image" Target="../media/image68.tmp"/><Relationship Id="rId89" Type="http://schemas.openxmlformats.org/officeDocument/2006/relationships/image" Target="../media/image89.tmp"/><Relationship Id="rId112" Type="http://schemas.openxmlformats.org/officeDocument/2006/relationships/image" Target="../media/image112.tmp"/><Relationship Id="rId133" Type="http://schemas.openxmlformats.org/officeDocument/2006/relationships/image" Target="../media/image133.tmp"/><Relationship Id="rId154" Type="http://schemas.openxmlformats.org/officeDocument/2006/relationships/image" Target="../media/image154.tmp"/><Relationship Id="rId175" Type="http://schemas.openxmlformats.org/officeDocument/2006/relationships/image" Target="../media/image175.tmp"/><Relationship Id="rId340" Type="http://schemas.openxmlformats.org/officeDocument/2006/relationships/image" Target="../media/image340.tmp"/><Relationship Id="rId361" Type="http://schemas.openxmlformats.org/officeDocument/2006/relationships/image" Target="../media/image361.tmp"/><Relationship Id="rId196" Type="http://schemas.openxmlformats.org/officeDocument/2006/relationships/image" Target="../media/image196.tmp"/><Relationship Id="rId200" Type="http://schemas.openxmlformats.org/officeDocument/2006/relationships/image" Target="../media/image200.tmp"/><Relationship Id="rId16" Type="http://schemas.openxmlformats.org/officeDocument/2006/relationships/image" Target="../media/image16.tmp"/><Relationship Id="rId221" Type="http://schemas.openxmlformats.org/officeDocument/2006/relationships/image" Target="../media/image221.tmp"/><Relationship Id="rId242" Type="http://schemas.openxmlformats.org/officeDocument/2006/relationships/image" Target="../media/image242.tmp"/><Relationship Id="rId263" Type="http://schemas.openxmlformats.org/officeDocument/2006/relationships/image" Target="../media/image263.tmp"/><Relationship Id="rId284" Type="http://schemas.openxmlformats.org/officeDocument/2006/relationships/image" Target="../media/image284.tmp"/><Relationship Id="rId319" Type="http://schemas.openxmlformats.org/officeDocument/2006/relationships/image" Target="../media/image319.tmp"/><Relationship Id="rId37" Type="http://schemas.openxmlformats.org/officeDocument/2006/relationships/image" Target="../media/image37.tmp"/><Relationship Id="rId58" Type="http://schemas.openxmlformats.org/officeDocument/2006/relationships/image" Target="../media/image58.tmp"/><Relationship Id="rId79" Type="http://schemas.openxmlformats.org/officeDocument/2006/relationships/image" Target="../media/image79.tmp"/><Relationship Id="rId102" Type="http://schemas.openxmlformats.org/officeDocument/2006/relationships/image" Target="../media/image102.tmp"/><Relationship Id="rId123" Type="http://schemas.openxmlformats.org/officeDocument/2006/relationships/image" Target="../media/image123.tmp"/><Relationship Id="rId144" Type="http://schemas.openxmlformats.org/officeDocument/2006/relationships/image" Target="../media/image144.tmp"/><Relationship Id="rId330" Type="http://schemas.openxmlformats.org/officeDocument/2006/relationships/image" Target="../media/image330.tmp"/><Relationship Id="rId90" Type="http://schemas.openxmlformats.org/officeDocument/2006/relationships/image" Target="../media/image90.tmp"/><Relationship Id="rId165" Type="http://schemas.openxmlformats.org/officeDocument/2006/relationships/image" Target="../media/image165.tmp"/><Relationship Id="rId186" Type="http://schemas.openxmlformats.org/officeDocument/2006/relationships/image" Target="../media/image186.tmp"/><Relationship Id="rId351" Type="http://schemas.openxmlformats.org/officeDocument/2006/relationships/image" Target="../media/image351.tmp"/><Relationship Id="rId372" Type="http://schemas.openxmlformats.org/officeDocument/2006/relationships/image" Target="../media/image372.tmp"/><Relationship Id="rId211" Type="http://schemas.openxmlformats.org/officeDocument/2006/relationships/image" Target="../media/image211.tmp"/><Relationship Id="rId232" Type="http://schemas.openxmlformats.org/officeDocument/2006/relationships/image" Target="../media/image232.tmp"/><Relationship Id="rId253" Type="http://schemas.openxmlformats.org/officeDocument/2006/relationships/image" Target="../media/image253.tmp"/><Relationship Id="rId274" Type="http://schemas.openxmlformats.org/officeDocument/2006/relationships/image" Target="../media/image274.tmp"/><Relationship Id="rId295" Type="http://schemas.openxmlformats.org/officeDocument/2006/relationships/image" Target="../media/image295.tmp"/><Relationship Id="rId309" Type="http://schemas.openxmlformats.org/officeDocument/2006/relationships/image" Target="../media/image309.tmp"/><Relationship Id="rId27" Type="http://schemas.openxmlformats.org/officeDocument/2006/relationships/image" Target="../media/image27.tmp"/><Relationship Id="rId48" Type="http://schemas.openxmlformats.org/officeDocument/2006/relationships/image" Target="../media/image48.tmp"/><Relationship Id="rId69" Type="http://schemas.openxmlformats.org/officeDocument/2006/relationships/image" Target="../media/image69.tmp"/><Relationship Id="rId113" Type="http://schemas.openxmlformats.org/officeDocument/2006/relationships/image" Target="../media/image113.tmp"/><Relationship Id="rId134" Type="http://schemas.openxmlformats.org/officeDocument/2006/relationships/image" Target="../media/image134.tmp"/><Relationship Id="rId320" Type="http://schemas.openxmlformats.org/officeDocument/2006/relationships/image" Target="../media/image320.tmp"/><Relationship Id="rId80" Type="http://schemas.openxmlformats.org/officeDocument/2006/relationships/image" Target="../media/image80.tmp"/><Relationship Id="rId155" Type="http://schemas.openxmlformats.org/officeDocument/2006/relationships/image" Target="../media/image155.tmp"/><Relationship Id="rId176" Type="http://schemas.openxmlformats.org/officeDocument/2006/relationships/image" Target="../media/image176.tmp"/><Relationship Id="rId197" Type="http://schemas.openxmlformats.org/officeDocument/2006/relationships/image" Target="../media/image197.tmp"/><Relationship Id="rId341" Type="http://schemas.openxmlformats.org/officeDocument/2006/relationships/image" Target="../media/image341.tmp"/><Relationship Id="rId362" Type="http://schemas.openxmlformats.org/officeDocument/2006/relationships/image" Target="../media/image362.tmp"/><Relationship Id="rId201" Type="http://schemas.openxmlformats.org/officeDocument/2006/relationships/image" Target="../media/image201.tmp"/><Relationship Id="rId222" Type="http://schemas.openxmlformats.org/officeDocument/2006/relationships/image" Target="../media/image222.tmp"/><Relationship Id="rId243" Type="http://schemas.openxmlformats.org/officeDocument/2006/relationships/image" Target="../media/image243.tmp"/><Relationship Id="rId264" Type="http://schemas.openxmlformats.org/officeDocument/2006/relationships/image" Target="../media/image264.tmp"/><Relationship Id="rId285" Type="http://schemas.openxmlformats.org/officeDocument/2006/relationships/image" Target="../media/image285.tmp"/><Relationship Id="rId17" Type="http://schemas.openxmlformats.org/officeDocument/2006/relationships/image" Target="../media/image17.tmp"/><Relationship Id="rId38" Type="http://schemas.openxmlformats.org/officeDocument/2006/relationships/image" Target="../media/image38.tmp"/><Relationship Id="rId59" Type="http://schemas.openxmlformats.org/officeDocument/2006/relationships/image" Target="../media/image59.tmp"/><Relationship Id="rId103" Type="http://schemas.openxmlformats.org/officeDocument/2006/relationships/image" Target="../media/image103.tmp"/><Relationship Id="rId124" Type="http://schemas.openxmlformats.org/officeDocument/2006/relationships/image" Target="../media/image124.tmp"/><Relationship Id="rId310" Type="http://schemas.openxmlformats.org/officeDocument/2006/relationships/image" Target="../media/image310.tmp"/><Relationship Id="rId70" Type="http://schemas.openxmlformats.org/officeDocument/2006/relationships/image" Target="../media/image70.tmp"/><Relationship Id="rId91" Type="http://schemas.openxmlformats.org/officeDocument/2006/relationships/image" Target="../media/image91.tmp"/><Relationship Id="rId145" Type="http://schemas.openxmlformats.org/officeDocument/2006/relationships/image" Target="../media/image145.tmp"/><Relationship Id="rId166" Type="http://schemas.openxmlformats.org/officeDocument/2006/relationships/image" Target="../media/image166.tmp"/><Relationship Id="rId187" Type="http://schemas.openxmlformats.org/officeDocument/2006/relationships/image" Target="../media/image187.tmp"/><Relationship Id="rId331" Type="http://schemas.openxmlformats.org/officeDocument/2006/relationships/image" Target="../media/image331.tmp"/><Relationship Id="rId352" Type="http://schemas.openxmlformats.org/officeDocument/2006/relationships/image" Target="../media/image352.tmp"/><Relationship Id="rId373" Type="http://schemas.openxmlformats.org/officeDocument/2006/relationships/image" Target="../media/image373.tmp"/><Relationship Id="rId1" Type="http://schemas.openxmlformats.org/officeDocument/2006/relationships/image" Target="../media/image1.tmp"/><Relationship Id="rId212" Type="http://schemas.openxmlformats.org/officeDocument/2006/relationships/image" Target="../media/image212.tmp"/><Relationship Id="rId233" Type="http://schemas.openxmlformats.org/officeDocument/2006/relationships/image" Target="../media/image233.tmp"/><Relationship Id="rId254" Type="http://schemas.openxmlformats.org/officeDocument/2006/relationships/image" Target="../media/image254.tmp"/><Relationship Id="rId28" Type="http://schemas.openxmlformats.org/officeDocument/2006/relationships/image" Target="../media/image28.tmp"/><Relationship Id="rId49" Type="http://schemas.openxmlformats.org/officeDocument/2006/relationships/image" Target="../media/image49.tmp"/><Relationship Id="rId114" Type="http://schemas.openxmlformats.org/officeDocument/2006/relationships/image" Target="../media/image114.tmp"/><Relationship Id="rId275" Type="http://schemas.openxmlformats.org/officeDocument/2006/relationships/image" Target="../media/image275.tmp"/><Relationship Id="rId296" Type="http://schemas.openxmlformats.org/officeDocument/2006/relationships/image" Target="../media/image296.tmp"/><Relationship Id="rId300" Type="http://schemas.openxmlformats.org/officeDocument/2006/relationships/image" Target="../media/image300.tmp"/><Relationship Id="rId60" Type="http://schemas.openxmlformats.org/officeDocument/2006/relationships/image" Target="../media/image60.tmp"/><Relationship Id="rId81" Type="http://schemas.openxmlformats.org/officeDocument/2006/relationships/image" Target="../media/image81.tmp"/><Relationship Id="rId135" Type="http://schemas.openxmlformats.org/officeDocument/2006/relationships/image" Target="../media/image135.tmp"/><Relationship Id="rId156" Type="http://schemas.openxmlformats.org/officeDocument/2006/relationships/image" Target="../media/image156.tmp"/><Relationship Id="rId177" Type="http://schemas.openxmlformats.org/officeDocument/2006/relationships/image" Target="../media/image177.tmp"/><Relationship Id="rId198" Type="http://schemas.openxmlformats.org/officeDocument/2006/relationships/image" Target="../media/image198.tmp"/><Relationship Id="rId321" Type="http://schemas.openxmlformats.org/officeDocument/2006/relationships/image" Target="../media/image321.tmp"/><Relationship Id="rId342" Type="http://schemas.openxmlformats.org/officeDocument/2006/relationships/image" Target="../media/image342.tmp"/><Relationship Id="rId363" Type="http://schemas.openxmlformats.org/officeDocument/2006/relationships/image" Target="../media/image363.tmp"/><Relationship Id="rId202" Type="http://schemas.openxmlformats.org/officeDocument/2006/relationships/image" Target="../media/image202.tmp"/><Relationship Id="rId223" Type="http://schemas.openxmlformats.org/officeDocument/2006/relationships/image" Target="../media/image223.tmp"/><Relationship Id="rId244" Type="http://schemas.openxmlformats.org/officeDocument/2006/relationships/image" Target="../media/image244.tmp"/><Relationship Id="rId18" Type="http://schemas.openxmlformats.org/officeDocument/2006/relationships/image" Target="../media/image18.tmp"/><Relationship Id="rId39" Type="http://schemas.openxmlformats.org/officeDocument/2006/relationships/image" Target="../media/image39.tmp"/><Relationship Id="rId265" Type="http://schemas.openxmlformats.org/officeDocument/2006/relationships/image" Target="../media/image265.tmp"/><Relationship Id="rId286" Type="http://schemas.openxmlformats.org/officeDocument/2006/relationships/image" Target="../media/image286.tmp"/><Relationship Id="rId50" Type="http://schemas.openxmlformats.org/officeDocument/2006/relationships/image" Target="../media/image50.tmp"/><Relationship Id="rId104" Type="http://schemas.openxmlformats.org/officeDocument/2006/relationships/image" Target="../media/image104.tmp"/><Relationship Id="rId125" Type="http://schemas.openxmlformats.org/officeDocument/2006/relationships/image" Target="../media/image125.tmp"/><Relationship Id="rId146" Type="http://schemas.openxmlformats.org/officeDocument/2006/relationships/image" Target="../media/image146.tmp"/><Relationship Id="rId167" Type="http://schemas.openxmlformats.org/officeDocument/2006/relationships/image" Target="../media/image167.tmp"/><Relationship Id="rId188" Type="http://schemas.openxmlformats.org/officeDocument/2006/relationships/image" Target="../media/image188.tmp"/><Relationship Id="rId311" Type="http://schemas.openxmlformats.org/officeDocument/2006/relationships/image" Target="../media/image311.tmp"/><Relationship Id="rId332" Type="http://schemas.openxmlformats.org/officeDocument/2006/relationships/image" Target="../media/image332.tmp"/><Relationship Id="rId353" Type="http://schemas.openxmlformats.org/officeDocument/2006/relationships/image" Target="../media/image353.tmp"/><Relationship Id="rId374" Type="http://schemas.openxmlformats.org/officeDocument/2006/relationships/image" Target="../media/image374.tmp"/><Relationship Id="rId71" Type="http://schemas.openxmlformats.org/officeDocument/2006/relationships/image" Target="../media/image71.tmp"/><Relationship Id="rId92" Type="http://schemas.openxmlformats.org/officeDocument/2006/relationships/image" Target="../media/image92.tmp"/><Relationship Id="rId213" Type="http://schemas.openxmlformats.org/officeDocument/2006/relationships/image" Target="../media/image213.tmp"/><Relationship Id="rId234" Type="http://schemas.openxmlformats.org/officeDocument/2006/relationships/image" Target="../media/image234.tmp"/><Relationship Id="rId2" Type="http://schemas.openxmlformats.org/officeDocument/2006/relationships/image" Target="../media/image2.tmp"/><Relationship Id="rId29" Type="http://schemas.openxmlformats.org/officeDocument/2006/relationships/image" Target="../media/image29.tmp"/><Relationship Id="rId255" Type="http://schemas.openxmlformats.org/officeDocument/2006/relationships/image" Target="../media/image255.tmp"/><Relationship Id="rId276" Type="http://schemas.openxmlformats.org/officeDocument/2006/relationships/image" Target="../media/image276.tmp"/><Relationship Id="rId297" Type="http://schemas.openxmlformats.org/officeDocument/2006/relationships/image" Target="../media/image297.tmp"/><Relationship Id="rId40" Type="http://schemas.openxmlformats.org/officeDocument/2006/relationships/image" Target="../media/image40.tmp"/><Relationship Id="rId115" Type="http://schemas.openxmlformats.org/officeDocument/2006/relationships/image" Target="../media/image115.tmp"/><Relationship Id="rId136" Type="http://schemas.openxmlformats.org/officeDocument/2006/relationships/image" Target="../media/image136.tmp"/><Relationship Id="rId157" Type="http://schemas.openxmlformats.org/officeDocument/2006/relationships/image" Target="../media/image157.tmp"/><Relationship Id="rId178" Type="http://schemas.openxmlformats.org/officeDocument/2006/relationships/image" Target="../media/image178.tmp"/><Relationship Id="rId301" Type="http://schemas.openxmlformats.org/officeDocument/2006/relationships/image" Target="../media/image301.tmp"/><Relationship Id="rId322" Type="http://schemas.openxmlformats.org/officeDocument/2006/relationships/image" Target="../media/image322.tmp"/><Relationship Id="rId343" Type="http://schemas.openxmlformats.org/officeDocument/2006/relationships/image" Target="../media/image343.tmp"/><Relationship Id="rId364" Type="http://schemas.openxmlformats.org/officeDocument/2006/relationships/image" Target="../media/image364.tmp"/><Relationship Id="rId61" Type="http://schemas.openxmlformats.org/officeDocument/2006/relationships/image" Target="../media/image61.tmp"/><Relationship Id="rId82" Type="http://schemas.openxmlformats.org/officeDocument/2006/relationships/image" Target="../media/image82.tmp"/><Relationship Id="rId199" Type="http://schemas.openxmlformats.org/officeDocument/2006/relationships/image" Target="../media/image199.tmp"/><Relationship Id="rId203" Type="http://schemas.openxmlformats.org/officeDocument/2006/relationships/image" Target="../media/image203.tmp"/><Relationship Id="rId19" Type="http://schemas.openxmlformats.org/officeDocument/2006/relationships/image" Target="../media/image19.tmp"/><Relationship Id="rId224" Type="http://schemas.openxmlformats.org/officeDocument/2006/relationships/image" Target="../media/image224.tmp"/><Relationship Id="rId245" Type="http://schemas.openxmlformats.org/officeDocument/2006/relationships/image" Target="../media/image245.tmp"/><Relationship Id="rId266" Type="http://schemas.openxmlformats.org/officeDocument/2006/relationships/image" Target="../media/image266.tmp"/><Relationship Id="rId287" Type="http://schemas.openxmlformats.org/officeDocument/2006/relationships/image" Target="../media/image287.tmp"/><Relationship Id="rId30" Type="http://schemas.openxmlformats.org/officeDocument/2006/relationships/image" Target="../media/image30.tmp"/><Relationship Id="rId105" Type="http://schemas.openxmlformats.org/officeDocument/2006/relationships/image" Target="../media/image105.tmp"/><Relationship Id="rId126" Type="http://schemas.openxmlformats.org/officeDocument/2006/relationships/image" Target="../media/image126.tmp"/><Relationship Id="rId147" Type="http://schemas.openxmlformats.org/officeDocument/2006/relationships/image" Target="../media/image147.tmp"/><Relationship Id="rId168" Type="http://schemas.openxmlformats.org/officeDocument/2006/relationships/image" Target="../media/image168.tmp"/><Relationship Id="rId312" Type="http://schemas.openxmlformats.org/officeDocument/2006/relationships/image" Target="../media/image312.tmp"/><Relationship Id="rId333" Type="http://schemas.openxmlformats.org/officeDocument/2006/relationships/image" Target="../media/image333.tmp"/><Relationship Id="rId354" Type="http://schemas.openxmlformats.org/officeDocument/2006/relationships/image" Target="../media/image354.tmp"/><Relationship Id="rId51" Type="http://schemas.openxmlformats.org/officeDocument/2006/relationships/image" Target="../media/image51.tmp"/><Relationship Id="rId72" Type="http://schemas.openxmlformats.org/officeDocument/2006/relationships/image" Target="../media/image72.tmp"/><Relationship Id="rId93" Type="http://schemas.openxmlformats.org/officeDocument/2006/relationships/image" Target="../media/image93.tmp"/><Relationship Id="rId189" Type="http://schemas.openxmlformats.org/officeDocument/2006/relationships/image" Target="../media/image189.tmp"/><Relationship Id="rId375" Type="http://schemas.openxmlformats.org/officeDocument/2006/relationships/image" Target="../media/image375.tmp"/><Relationship Id="rId3" Type="http://schemas.openxmlformats.org/officeDocument/2006/relationships/image" Target="../media/image3.tmp"/><Relationship Id="rId214" Type="http://schemas.openxmlformats.org/officeDocument/2006/relationships/image" Target="../media/image214.tmp"/><Relationship Id="rId235" Type="http://schemas.openxmlformats.org/officeDocument/2006/relationships/image" Target="../media/image235.tmp"/><Relationship Id="rId256" Type="http://schemas.openxmlformats.org/officeDocument/2006/relationships/image" Target="../media/image256.tmp"/><Relationship Id="rId277" Type="http://schemas.openxmlformats.org/officeDocument/2006/relationships/image" Target="../media/image277.tmp"/><Relationship Id="rId298" Type="http://schemas.openxmlformats.org/officeDocument/2006/relationships/image" Target="../media/image298.tmp"/><Relationship Id="rId116" Type="http://schemas.openxmlformats.org/officeDocument/2006/relationships/image" Target="../media/image116.tmp"/><Relationship Id="rId137" Type="http://schemas.openxmlformats.org/officeDocument/2006/relationships/image" Target="../media/image137.tmp"/><Relationship Id="rId158" Type="http://schemas.openxmlformats.org/officeDocument/2006/relationships/image" Target="../media/image158.tmp"/><Relationship Id="rId302" Type="http://schemas.openxmlformats.org/officeDocument/2006/relationships/image" Target="../media/image302.tmp"/><Relationship Id="rId323" Type="http://schemas.openxmlformats.org/officeDocument/2006/relationships/image" Target="../media/image323.tmp"/><Relationship Id="rId344" Type="http://schemas.openxmlformats.org/officeDocument/2006/relationships/image" Target="../media/image344.tmp"/><Relationship Id="rId20" Type="http://schemas.openxmlformats.org/officeDocument/2006/relationships/image" Target="../media/image20.tmp"/><Relationship Id="rId41" Type="http://schemas.openxmlformats.org/officeDocument/2006/relationships/image" Target="../media/image41.tmp"/><Relationship Id="rId62" Type="http://schemas.openxmlformats.org/officeDocument/2006/relationships/image" Target="../media/image62.tmp"/><Relationship Id="rId83" Type="http://schemas.openxmlformats.org/officeDocument/2006/relationships/image" Target="../media/image83.tmp"/><Relationship Id="rId179" Type="http://schemas.openxmlformats.org/officeDocument/2006/relationships/image" Target="../media/image179.tmp"/><Relationship Id="rId365" Type="http://schemas.openxmlformats.org/officeDocument/2006/relationships/image" Target="../media/image365.tmp"/><Relationship Id="rId190" Type="http://schemas.openxmlformats.org/officeDocument/2006/relationships/image" Target="../media/image190.tmp"/><Relationship Id="rId204" Type="http://schemas.openxmlformats.org/officeDocument/2006/relationships/image" Target="../media/image204.tmp"/><Relationship Id="rId225" Type="http://schemas.openxmlformats.org/officeDocument/2006/relationships/image" Target="../media/image225.tmp"/><Relationship Id="rId246" Type="http://schemas.openxmlformats.org/officeDocument/2006/relationships/image" Target="../media/image246.tmp"/><Relationship Id="rId267" Type="http://schemas.openxmlformats.org/officeDocument/2006/relationships/image" Target="../media/image267.tmp"/><Relationship Id="rId288" Type="http://schemas.openxmlformats.org/officeDocument/2006/relationships/image" Target="../media/image288.tmp"/><Relationship Id="rId106" Type="http://schemas.openxmlformats.org/officeDocument/2006/relationships/image" Target="../media/image106.tmp"/><Relationship Id="rId127" Type="http://schemas.openxmlformats.org/officeDocument/2006/relationships/image" Target="../media/image127.tmp"/><Relationship Id="rId313" Type="http://schemas.openxmlformats.org/officeDocument/2006/relationships/image" Target="../media/image313.tmp"/><Relationship Id="rId10" Type="http://schemas.openxmlformats.org/officeDocument/2006/relationships/image" Target="../media/image10.tmp"/><Relationship Id="rId31" Type="http://schemas.openxmlformats.org/officeDocument/2006/relationships/image" Target="../media/image31.tmp"/><Relationship Id="rId52" Type="http://schemas.openxmlformats.org/officeDocument/2006/relationships/image" Target="../media/image52.tmp"/><Relationship Id="rId73" Type="http://schemas.openxmlformats.org/officeDocument/2006/relationships/image" Target="../media/image73.tmp"/><Relationship Id="rId94" Type="http://schemas.openxmlformats.org/officeDocument/2006/relationships/image" Target="../media/image94.tmp"/><Relationship Id="rId148" Type="http://schemas.openxmlformats.org/officeDocument/2006/relationships/image" Target="../media/image148.tmp"/><Relationship Id="rId169" Type="http://schemas.openxmlformats.org/officeDocument/2006/relationships/image" Target="../media/image169.tmp"/><Relationship Id="rId334" Type="http://schemas.openxmlformats.org/officeDocument/2006/relationships/image" Target="../media/image334.tmp"/><Relationship Id="rId355" Type="http://schemas.openxmlformats.org/officeDocument/2006/relationships/image" Target="../media/image355.tmp"/><Relationship Id="rId376" Type="http://schemas.openxmlformats.org/officeDocument/2006/relationships/image" Target="../media/image376.tmp"/><Relationship Id="rId4" Type="http://schemas.openxmlformats.org/officeDocument/2006/relationships/image" Target="../media/image4.tmp"/><Relationship Id="rId180" Type="http://schemas.openxmlformats.org/officeDocument/2006/relationships/image" Target="../media/image180.tmp"/><Relationship Id="rId215" Type="http://schemas.openxmlformats.org/officeDocument/2006/relationships/image" Target="../media/image215.tmp"/><Relationship Id="rId236" Type="http://schemas.openxmlformats.org/officeDocument/2006/relationships/image" Target="../media/image236.tmp"/><Relationship Id="rId257" Type="http://schemas.openxmlformats.org/officeDocument/2006/relationships/image" Target="../media/image257.tmp"/><Relationship Id="rId278" Type="http://schemas.openxmlformats.org/officeDocument/2006/relationships/image" Target="../media/image278.tmp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496.tmp"/><Relationship Id="rId299" Type="http://schemas.openxmlformats.org/officeDocument/2006/relationships/image" Target="../media/image678.tmp"/><Relationship Id="rId303" Type="http://schemas.openxmlformats.org/officeDocument/2006/relationships/image" Target="../media/image682.tmp"/><Relationship Id="rId21" Type="http://schemas.openxmlformats.org/officeDocument/2006/relationships/image" Target="../media/image400.tmp"/><Relationship Id="rId42" Type="http://schemas.openxmlformats.org/officeDocument/2006/relationships/image" Target="../media/image421.tmp"/><Relationship Id="rId63" Type="http://schemas.openxmlformats.org/officeDocument/2006/relationships/image" Target="../media/image442.tmp"/><Relationship Id="rId84" Type="http://schemas.openxmlformats.org/officeDocument/2006/relationships/image" Target="../media/image463.tmp"/><Relationship Id="rId138" Type="http://schemas.openxmlformats.org/officeDocument/2006/relationships/image" Target="../media/image517.tmp"/><Relationship Id="rId159" Type="http://schemas.openxmlformats.org/officeDocument/2006/relationships/image" Target="../media/image538.tmp"/><Relationship Id="rId324" Type="http://schemas.openxmlformats.org/officeDocument/2006/relationships/image" Target="../media/image703.tmp"/><Relationship Id="rId345" Type="http://schemas.openxmlformats.org/officeDocument/2006/relationships/image" Target="../media/image724.tmp"/><Relationship Id="rId366" Type="http://schemas.openxmlformats.org/officeDocument/2006/relationships/image" Target="../media/image745.tmp"/><Relationship Id="rId170" Type="http://schemas.openxmlformats.org/officeDocument/2006/relationships/image" Target="../media/image549.tmp"/><Relationship Id="rId191" Type="http://schemas.openxmlformats.org/officeDocument/2006/relationships/image" Target="../media/image570.tmp"/><Relationship Id="rId205" Type="http://schemas.openxmlformats.org/officeDocument/2006/relationships/image" Target="../media/image584.tmp"/><Relationship Id="rId226" Type="http://schemas.openxmlformats.org/officeDocument/2006/relationships/image" Target="../media/image605.tmp"/><Relationship Id="rId247" Type="http://schemas.openxmlformats.org/officeDocument/2006/relationships/image" Target="../media/image626.tmp"/><Relationship Id="rId107" Type="http://schemas.openxmlformats.org/officeDocument/2006/relationships/image" Target="../media/image486.tmp"/><Relationship Id="rId268" Type="http://schemas.openxmlformats.org/officeDocument/2006/relationships/image" Target="../media/image647.tmp"/><Relationship Id="rId289" Type="http://schemas.openxmlformats.org/officeDocument/2006/relationships/image" Target="../media/image668.tmp"/><Relationship Id="rId11" Type="http://schemas.openxmlformats.org/officeDocument/2006/relationships/image" Target="../media/image390.tmp"/><Relationship Id="rId32" Type="http://schemas.openxmlformats.org/officeDocument/2006/relationships/image" Target="../media/image411.tmp"/><Relationship Id="rId53" Type="http://schemas.openxmlformats.org/officeDocument/2006/relationships/image" Target="../media/image432.tmp"/><Relationship Id="rId74" Type="http://schemas.openxmlformats.org/officeDocument/2006/relationships/image" Target="../media/image453.tmp"/><Relationship Id="rId128" Type="http://schemas.openxmlformats.org/officeDocument/2006/relationships/image" Target="../media/image507.tmp"/><Relationship Id="rId149" Type="http://schemas.openxmlformats.org/officeDocument/2006/relationships/image" Target="../media/image528.tmp"/><Relationship Id="rId314" Type="http://schemas.openxmlformats.org/officeDocument/2006/relationships/image" Target="../media/image693.tmp"/><Relationship Id="rId335" Type="http://schemas.openxmlformats.org/officeDocument/2006/relationships/image" Target="../media/image714.tmp"/><Relationship Id="rId356" Type="http://schemas.openxmlformats.org/officeDocument/2006/relationships/image" Target="../media/image735.tmp"/><Relationship Id="rId377" Type="http://schemas.openxmlformats.org/officeDocument/2006/relationships/image" Target="../media/image756.tmp"/><Relationship Id="rId5" Type="http://schemas.openxmlformats.org/officeDocument/2006/relationships/image" Target="../media/image384.tmp"/><Relationship Id="rId95" Type="http://schemas.openxmlformats.org/officeDocument/2006/relationships/image" Target="../media/image474.tmp"/><Relationship Id="rId160" Type="http://schemas.openxmlformats.org/officeDocument/2006/relationships/image" Target="../media/image539.tmp"/><Relationship Id="rId181" Type="http://schemas.openxmlformats.org/officeDocument/2006/relationships/image" Target="../media/image560.tmp"/><Relationship Id="rId216" Type="http://schemas.openxmlformats.org/officeDocument/2006/relationships/image" Target="../media/image595.tmp"/><Relationship Id="rId237" Type="http://schemas.openxmlformats.org/officeDocument/2006/relationships/image" Target="../media/image616.tmp"/><Relationship Id="rId258" Type="http://schemas.openxmlformats.org/officeDocument/2006/relationships/image" Target="../media/image637.tmp"/><Relationship Id="rId279" Type="http://schemas.openxmlformats.org/officeDocument/2006/relationships/image" Target="../media/image658.tmp"/><Relationship Id="rId22" Type="http://schemas.openxmlformats.org/officeDocument/2006/relationships/image" Target="../media/image401.tmp"/><Relationship Id="rId43" Type="http://schemas.openxmlformats.org/officeDocument/2006/relationships/image" Target="../media/image422.tmp"/><Relationship Id="rId64" Type="http://schemas.openxmlformats.org/officeDocument/2006/relationships/image" Target="../media/image443.tmp"/><Relationship Id="rId118" Type="http://schemas.openxmlformats.org/officeDocument/2006/relationships/image" Target="../media/image497.tmp"/><Relationship Id="rId139" Type="http://schemas.openxmlformats.org/officeDocument/2006/relationships/image" Target="../media/image518.tmp"/><Relationship Id="rId290" Type="http://schemas.openxmlformats.org/officeDocument/2006/relationships/image" Target="../media/image669.tmp"/><Relationship Id="rId304" Type="http://schemas.openxmlformats.org/officeDocument/2006/relationships/image" Target="../media/image683.tmp"/><Relationship Id="rId325" Type="http://schemas.openxmlformats.org/officeDocument/2006/relationships/image" Target="../media/image704.tmp"/><Relationship Id="rId346" Type="http://schemas.openxmlformats.org/officeDocument/2006/relationships/image" Target="../media/image725.tmp"/><Relationship Id="rId367" Type="http://schemas.openxmlformats.org/officeDocument/2006/relationships/image" Target="../media/image746.tmp"/><Relationship Id="rId85" Type="http://schemas.openxmlformats.org/officeDocument/2006/relationships/image" Target="../media/image464.tmp"/><Relationship Id="rId150" Type="http://schemas.openxmlformats.org/officeDocument/2006/relationships/image" Target="../media/image529.tmp"/><Relationship Id="rId171" Type="http://schemas.openxmlformats.org/officeDocument/2006/relationships/image" Target="../media/image550.tmp"/><Relationship Id="rId192" Type="http://schemas.openxmlformats.org/officeDocument/2006/relationships/image" Target="../media/image571.tmp"/><Relationship Id="rId206" Type="http://schemas.openxmlformats.org/officeDocument/2006/relationships/image" Target="../media/image585.tmp"/><Relationship Id="rId227" Type="http://schemas.openxmlformats.org/officeDocument/2006/relationships/image" Target="../media/image606.tmp"/><Relationship Id="rId248" Type="http://schemas.openxmlformats.org/officeDocument/2006/relationships/image" Target="../media/image627.tmp"/><Relationship Id="rId269" Type="http://schemas.openxmlformats.org/officeDocument/2006/relationships/image" Target="../media/image648.tmp"/><Relationship Id="rId12" Type="http://schemas.openxmlformats.org/officeDocument/2006/relationships/image" Target="../media/image391.tmp"/><Relationship Id="rId33" Type="http://schemas.openxmlformats.org/officeDocument/2006/relationships/image" Target="../media/image412.tmp"/><Relationship Id="rId108" Type="http://schemas.openxmlformats.org/officeDocument/2006/relationships/image" Target="../media/image487.tmp"/><Relationship Id="rId129" Type="http://schemas.openxmlformats.org/officeDocument/2006/relationships/image" Target="../media/image508.tmp"/><Relationship Id="rId280" Type="http://schemas.openxmlformats.org/officeDocument/2006/relationships/image" Target="../media/image659.tmp"/><Relationship Id="rId315" Type="http://schemas.openxmlformats.org/officeDocument/2006/relationships/image" Target="../media/image694.tmp"/><Relationship Id="rId336" Type="http://schemas.openxmlformats.org/officeDocument/2006/relationships/image" Target="../media/image715.tmp"/><Relationship Id="rId357" Type="http://schemas.openxmlformats.org/officeDocument/2006/relationships/image" Target="../media/image736.tmp"/><Relationship Id="rId54" Type="http://schemas.openxmlformats.org/officeDocument/2006/relationships/image" Target="../media/image433.tmp"/><Relationship Id="rId75" Type="http://schemas.openxmlformats.org/officeDocument/2006/relationships/image" Target="../media/image454.tmp"/><Relationship Id="rId96" Type="http://schemas.openxmlformats.org/officeDocument/2006/relationships/image" Target="../media/image475.tmp"/><Relationship Id="rId140" Type="http://schemas.openxmlformats.org/officeDocument/2006/relationships/image" Target="../media/image519.tmp"/><Relationship Id="rId161" Type="http://schemas.openxmlformats.org/officeDocument/2006/relationships/image" Target="../media/image540.tmp"/><Relationship Id="rId182" Type="http://schemas.openxmlformats.org/officeDocument/2006/relationships/image" Target="../media/image561.tmp"/><Relationship Id="rId217" Type="http://schemas.openxmlformats.org/officeDocument/2006/relationships/image" Target="../media/image596.tmp"/><Relationship Id="rId378" Type="http://schemas.openxmlformats.org/officeDocument/2006/relationships/image" Target="../media/image757.tmp"/><Relationship Id="rId6" Type="http://schemas.openxmlformats.org/officeDocument/2006/relationships/image" Target="../media/image385.tmp"/><Relationship Id="rId238" Type="http://schemas.openxmlformats.org/officeDocument/2006/relationships/image" Target="../media/image617.tmp"/><Relationship Id="rId259" Type="http://schemas.openxmlformats.org/officeDocument/2006/relationships/image" Target="../media/image638.tmp"/><Relationship Id="rId23" Type="http://schemas.openxmlformats.org/officeDocument/2006/relationships/image" Target="../media/image402.tmp"/><Relationship Id="rId119" Type="http://schemas.openxmlformats.org/officeDocument/2006/relationships/image" Target="../media/image498.tmp"/><Relationship Id="rId270" Type="http://schemas.openxmlformats.org/officeDocument/2006/relationships/image" Target="../media/image649.tmp"/><Relationship Id="rId291" Type="http://schemas.openxmlformats.org/officeDocument/2006/relationships/image" Target="../media/image670.tmp"/><Relationship Id="rId305" Type="http://schemas.openxmlformats.org/officeDocument/2006/relationships/image" Target="../media/image684.tmp"/><Relationship Id="rId326" Type="http://schemas.openxmlformats.org/officeDocument/2006/relationships/image" Target="../media/image705.tmp"/><Relationship Id="rId347" Type="http://schemas.openxmlformats.org/officeDocument/2006/relationships/image" Target="../media/image726.tmp"/><Relationship Id="rId44" Type="http://schemas.openxmlformats.org/officeDocument/2006/relationships/image" Target="../media/image423.tmp"/><Relationship Id="rId65" Type="http://schemas.openxmlformats.org/officeDocument/2006/relationships/image" Target="../media/image444.tmp"/><Relationship Id="rId86" Type="http://schemas.openxmlformats.org/officeDocument/2006/relationships/image" Target="../media/image465.tmp"/><Relationship Id="rId130" Type="http://schemas.openxmlformats.org/officeDocument/2006/relationships/image" Target="../media/image509.tmp"/><Relationship Id="rId151" Type="http://schemas.openxmlformats.org/officeDocument/2006/relationships/image" Target="../media/image530.tmp"/><Relationship Id="rId368" Type="http://schemas.openxmlformats.org/officeDocument/2006/relationships/image" Target="../media/image747.tmp"/><Relationship Id="rId172" Type="http://schemas.openxmlformats.org/officeDocument/2006/relationships/image" Target="../media/image551.tmp"/><Relationship Id="rId193" Type="http://schemas.openxmlformats.org/officeDocument/2006/relationships/image" Target="../media/image572.tmp"/><Relationship Id="rId207" Type="http://schemas.openxmlformats.org/officeDocument/2006/relationships/image" Target="../media/image586.tmp"/><Relationship Id="rId228" Type="http://schemas.openxmlformats.org/officeDocument/2006/relationships/image" Target="../media/image607.tmp"/><Relationship Id="rId249" Type="http://schemas.openxmlformats.org/officeDocument/2006/relationships/image" Target="../media/image628.tmp"/><Relationship Id="rId13" Type="http://schemas.openxmlformats.org/officeDocument/2006/relationships/image" Target="../media/image392.tmp"/><Relationship Id="rId109" Type="http://schemas.openxmlformats.org/officeDocument/2006/relationships/image" Target="../media/image488.tmp"/><Relationship Id="rId260" Type="http://schemas.openxmlformats.org/officeDocument/2006/relationships/image" Target="../media/image639.tmp"/><Relationship Id="rId281" Type="http://schemas.openxmlformats.org/officeDocument/2006/relationships/image" Target="../media/image660.tmp"/><Relationship Id="rId316" Type="http://schemas.openxmlformats.org/officeDocument/2006/relationships/image" Target="../media/image695.tmp"/><Relationship Id="rId337" Type="http://schemas.openxmlformats.org/officeDocument/2006/relationships/image" Target="../media/image716.tmp"/><Relationship Id="rId34" Type="http://schemas.openxmlformats.org/officeDocument/2006/relationships/image" Target="../media/image413.tmp"/><Relationship Id="rId55" Type="http://schemas.openxmlformats.org/officeDocument/2006/relationships/image" Target="../media/image434.tmp"/><Relationship Id="rId76" Type="http://schemas.openxmlformats.org/officeDocument/2006/relationships/image" Target="../media/image455.tmp"/><Relationship Id="rId97" Type="http://schemas.openxmlformats.org/officeDocument/2006/relationships/image" Target="../media/image476.tmp"/><Relationship Id="rId120" Type="http://schemas.openxmlformats.org/officeDocument/2006/relationships/image" Target="../media/image499.tmp"/><Relationship Id="rId141" Type="http://schemas.openxmlformats.org/officeDocument/2006/relationships/image" Target="../media/image520.tmp"/><Relationship Id="rId358" Type="http://schemas.openxmlformats.org/officeDocument/2006/relationships/image" Target="../media/image737.tmp"/><Relationship Id="rId379" Type="http://schemas.openxmlformats.org/officeDocument/2006/relationships/image" Target="../media/image758.tmp"/><Relationship Id="rId7" Type="http://schemas.openxmlformats.org/officeDocument/2006/relationships/image" Target="../media/image386.tmp"/><Relationship Id="rId162" Type="http://schemas.openxmlformats.org/officeDocument/2006/relationships/image" Target="../media/image541.tmp"/><Relationship Id="rId183" Type="http://schemas.openxmlformats.org/officeDocument/2006/relationships/image" Target="../media/image562.tmp"/><Relationship Id="rId218" Type="http://schemas.openxmlformats.org/officeDocument/2006/relationships/image" Target="../media/image597.tmp"/><Relationship Id="rId239" Type="http://schemas.openxmlformats.org/officeDocument/2006/relationships/image" Target="../media/image618.tmp"/><Relationship Id="rId250" Type="http://schemas.openxmlformats.org/officeDocument/2006/relationships/image" Target="../media/image629.tmp"/><Relationship Id="rId271" Type="http://schemas.openxmlformats.org/officeDocument/2006/relationships/image" Target="../media/image650.tmp"/><Relationship Id="rId292" Type="http://schemas.openxmlformats.org/officeDocument/2006/relationships/image" Target="../media/image671.tmp"/><Relationship Id="rId306" Type="http://schemas.openxmlformats.org/officeDocument/2006/relationships/image" Target="../media/image685.tmp"/><Relationship Id="rId24" Type="http://schemas.openxmlformats.org/officeDocument/2006/relationships/image" Target="../media/image403.tmp"/><Relationship Id="rId45" Type="http://schemas.openxmlformats.org/officeDocument/2006/relationships/image" Target="../media/image424.tmp"/><Relationship Id="rId66" Type="http://schemas.openxmlformats.org/officeDocument/2006/relationships/image" Target="../media/image445.tmp"/><Relationship Id="rId87" Type="http://schemas.openxmlformats.org/officeDocument/2006/relationships/image" Target="../media/image466.tmp"/><Relationship Id="rId110" Type="http://schemas.openxmlformats.org/officeDocument/2006/relationships/image" Target="../media/image489.tmp"/><Relationship Id="rId131" Type="http://schemas.openxmlformats.org/officeDocument/2006/relationships/image" Target="../media/image510.tmp"/><Relationship Id="rId327" Type="http://schemas.openxmlformats.org/officeDocument/2006/relationships/image" Target="../media/image706.tmp"/><Relationship Id="rId348" Type="http://schemas.openxmlformats.org/officeDocument/2006/relationships/image" Target="../media/image727.tmp"/><Relationship Id="rId369" Type="http://schemas.openxmlformats.org/officeDocument/2006/relationships/image" Target="../media/image748.tmp"/><Relationship Id="rId152" Type="http://schemas.openxmlformats.org/officeDocument/2006/relationships/image" Target="../media/image531.tmp"/><Relationship Id="rId173" Type="http://schemas.openxmlformats.org/officeDocument/2006/relationships/image" Target="../media/image552.tmp"/><Relationship Id="rId194" Type="http://schemas.openxmlformats.org/officeDocument/2006/relationships/image" Target="../media/image573.tmp"/><Relationship Id="rId208" Type="http://schemas.openxmlformats.org/officeDocument/2006/relationships/image" Target="../media/image587.tmp"/><Relationship Id="rId229" Type="http://schemas.openxmlformats.org/officeDocument/2006/relationships/image" Target="../media/image608.tmp"/><Relationship Id="rId240" Type="http://schemas.openxmlformats.org/officeDocument/2006/relationships/image" Target="../media/image619.tmp"/><Relationship Id="rId261" Type="http://schemas.openxmlformats.org/officeDocument/2006/relationships/image" Target="../media/image640.tmp"/><Relationship Id="rId14" Type="http://schemas.openxmlformats.org/officeDocument/2006/relationships/image" Target="../media/image393.tmp"/><Relationship Id="rId35" Type="http://schemas.openxmlformats.org/officeDocument/2006/relationships/image" Target="../media/image414.tmp"/><Relationship Id="rId56" Type="http://schemas.openxmlformats.org/officeDocument/2006/relationships/image" Target="../media/image435.tmp"/><Relationship Id="rId77" Type="http://schemas.openxmlformats.org/officeDocument/2006/relationships/image" Target="../media/image456.tmp"/><Relationship Id="rId100" Type="http://schemas.openxmlformats.org/officeDocument/2006/relationships/image" Target="../media/image479.tmp"/><Relationship Id="rId282" Type="http://schemas.openxmlformats.org/officeDocument/2006/relationships/image" Target="../media/image661.tmp"/><Relationship Id="rId317" Type="http://schemas.openxmlformats.org/officeDocument/2006/relationships/image" Target="../media/image696.tmp"/><Relationship Id="rId338" Type="http://schemas.openxmlformats.org/officeDocument/2006/relationships/image" Target="../media/image717.tmp"/><Relationship Id="rId359" Type="http://schemas.openxmlformats.org/officeDocument/2006/relationships/image" Target="../media/image738.tmp"/><Relationship Id="rId8" Type="http://schemas.openxmlformats.org/officeDocument/2006/relationships/image" Target="../media/image387.tmp"/><Relationship Id="rId98" Type="http://schemas.openxmlformats.org/officeDocument/2006/relationships/image" Target="../media/image477.tmp"/><Relationship Id="rId121" Type="http://schemas.openxmlformats.org/officeDocument/2006/relationships/image" Target="../media/image500.tmp"/><Relationship Id="rId142" Type="http://schemas.openxmlformats.org/officeDocument/2006/relationships/image" Target="../media/image521.tmp"/><Relationship Id="rId163" Type="http://schemas.openxmlformats.org/officeDocument/2006/relationships/image" Target="../media/image542.tmp"/><Relationship Id="rId184" Type="http://schemas.openxmlformats.org/officeDocument/2006/relationships/image" Target="../media/image563.tmp"/><Relationship Id="rId219" Type="http://schemas.openxmlformats.org/officeDocument/2006/relationships/image" Target="../media/image598.tmp"/><Relationship Id="rId370" Type="http://schemas.openxmlformats.org/officeDocument/2006/relationships/image" Target="../media/image749.tmp"/><Relationship Id="rId230" Type="http://schemas.openxmlformats.org/officeDocument/2006/relationships/image" Target="../media/image609.tmp"/><Relationship Id="rId251" Type="http://schemas.openxmlformats.org/officeDocument/2006/relationships/image" Target="../media/image630.tmp"/><Relationship Id="rId25" Type="http://schemas.openxmlformats.org/officeDocument/2006/relationships/image" Target="../media/image404.tmp"/><Relationship Id="rId46" Type="http://schemas.openxmlformats.org/officeDocument/2006/relationships/image" Target="../media/image425.tmp"/><Relationship Id="rId67" Type="http://schemas.openxmlformats.org/officeDocument/2006/relationships/image" Target="../media/image446.tmp"/><Relationship Id="rId272" Type="http://schemas.openxmlformats.org/officeDocument/2006/relationships/image" Target="../media/image651.tmp"/><Relationship Id="rId293" Type="http://schemas.openxmlformats.org/officeDocument/2006/relationships/image" Target="../media/image672.tmp"/><Relationship Id="rId307" Type="http://schemas.openxmlformats.org/officeDocument/2006/relationships/image" Target="../media/image686.tmp"/><Relationship Id="rId328" Type="http://schemas.openxmlformats.org/officeDocument/2006/relationships/image" Target="../media/image707.tmp"/><Relationship Id="rId349" Type="http://schemas.openxmlformats.org/officeDocument/2006/relationships/image" Target="../media/image728.tmp"/><Relationship Id="rId88" Type="http://schemas.openxmlformats.org/officeDocument/2006/relationships/image" Target="../media/image467.tmp"/><Relationship Id="rId111" Type="http://schemas.openxmlformats.org/officeDocument/2006/relationships/image" Target="../media/image490.tmp"/><Relationship Id="rId132" Type="http://schemas.openxmlformats.org/officeDocument/2006/relationships/image" Target="../media/image511.tmp"/><Relationship Id="rId153" Type="http://schemas.openxmlformats.org/officeDocument/2006/relationships/image" Target="../media/image532.tmp"/><Relationship Id="rId174" Type="http://schemas.openxmlformats.org/officeDocument/2006/relationships/image" Target="../media/image553.tmp"/><Relationship Id="rId195" Type="http://schemas.openxmlformats.org/officeDocument/2006/relationships/image" Target="../media/image574.tmp"/><Relationship Id="rId209" Type="http://schemas.openxmlformats.org/officeDocument/2006/relationships/image" Target="../media/image588.tmp"/><Relationship Id="rId360" Type="http://schemas.openxmlformats.org/officeDocument/2006/relationships/image" Target="../media/image739.tmp"/><Relationship Id="rId220" Type="http://schemas.openxmlformats.org/officeDocument/2006/relationships/image" Target="../media/image599.tmp"/><Relationship Id="rId241" Type="http://schemas.openxmlformats.org/officeDocument/2006/relationships/image" Target="../media/image620.tmp"/><Relationship Id="rId15" Type="http://schemas.openxmlformats.org/officeDocument/2006/relationships/image" Target="../media/image394.tmp"/><Relationship Id="rId36" Type="http://schemas.openxmlformats.org/officeDocument/2006/relationships/image" Target="../media/image415.tmp"/><Relationship Id="rId57" Type="http://schemas.openxmlformats.org/officeDocument/2006/relationships/image" Target="../media/image436.tmp"/><Relationship Id="rId262" Type="http://schemas.openxmlformats.org/officeDocument/2006/relationships/image" Target="../media/image641.tmp"/><Relationship Id="rId283" Type="http://schemas.openxmlformats.org/officeDocument/2006/relationships/image" Target="../media/image662.tmp"/><Relationship Id="rId318" Type="http://schemas.openxmlformats.org/officeDocument/2006/relationships/image" Target="../media/image697.tmp"/><Relationship Id="rId339" Type="http://schemas.openxmlformats.org/officeDocument/2006/relationships/image" Target="../media/image718.tmp"/><Relationship Id="rId78" Type="http://schemas.openxmlformats.org/officeDocument/2006/relationships/image" Target="../media/image457.tmp"/><Relationship Id="rId99" Type="http://schemas.openxmlformats.org/officeDocument/2006/relationships/image" Target="../media/image478.tmp"/><Relationship Id="rId101" Type="http://schemas.openxmlformats.org/officeDocument/2006/relationships/image" Target="../media/image480.tmp"/><Relationship Id="rId122" Type="http://schemas.openxmlformats.org/officeDocument/2006/relationships/image" Target="../media/image501.tmp"/><Relationship Id="rId143" Type="http://schemas.openxmlformats.org/officeDocument/2006/relationships/image" Target="../media/image522.tmp"/><Relationship Id="rId164" Type="http://schemas.openxmlformats.org/officeDocument/2006/relationships/image" Target="../media/image543.tmp"/><Relationship Id="rId185" Type="http://schemas.openxmlformats.org/officeDocument/2006/relationships/image" Target="../media/image564.tmp"/><Relationship Id="rId350" Type="http://schemas.openxmlformats.org/officeDocument/2006/relationships/image" Target="../media/image729.tmp"/><Relationship Id="rId371" Type="http://schemas.openxmlformats.org/officeDocument/2006/relationships/image" Target="../media/image750.tmp"/><Relationship Id="rId9" Type="http://schemas.openxmlformats.org/officeDocument/2006/relationships/image" Target="../media/image388.tmp"/><Relationship Id="rId210" Type="http://schemas.openxmlformats.org/officeDocument/2006/relationships/image" Target="../media/image589.tmp"/><Relationship Id="rId26" Type="http://schemas.openxmlformats.org/officeDocument/2006/relationships/image" Target="../media/image405.tmp"/><Relationship Id="rId231" Type="http://schemas.openxmlformats.org/officeDocument/2006/relationships/image" Target="../media/image610.tmp"/><Relationship Id="rId252" Type="http://schemas.openxmlformats.org/officeDocument/2006/relationships/image" Target="../media/image631.tmp"/><Relationship Id="rId273" Type="http://schemas.openxmlformats.org/officeDocument/2006/relationships/image" Target="../media/image652.tmp"/><Relationship Id="rId294" Type="http://schemas.openxmlformats.org/officeDocument/2006/relationships/image" Target="../media/image673.tmp"/><Relationship Id="rId308" Type="http://schemas.openxmlformats.org/officeDocument/2006/relationships/image" Target="../media/image687.tmp"/><Relationship Id="rId329" Type="http://schemas.openxmlformats.org/officeDocument/2006/relationships/image" Target="../media/image708.tmp"/><Relationship Id="rId47" Type="http://schemas.openxmlformats.org/officeDocument/2006/relationships/image" Target="../media/image426.tmp"/><Relationship Id="rId68" Type="http://schemas.openxmlformats.org/officeDocument/2006/relationships/image" Target="../media/image447.tmp"/><Relationship Id="rId89" Type="http://schemas.openxmlformats.org/officeDocument/2006/relationships/image" Target="../media/image468.tmp"/><Relationship Id="rId112" Type="http://schemas.openxmlformats.org/officeDocument/2006/relationships/image" Target="../media/image491.tmp"/><Relationship Id="rId133" Type="http://schemas.openxmlformats.org/officeDocument/2006/relationships/image" Target="../media/image512.tmp"/><Relationship Id="rId154" Type="http://schemas.openxmlformats.org/officeDocument/2006/relationships/image" Target="../media/image533.tmp"/><Relationship Id="rId175" Type="http://schemas.openxmlformats.org/officeDocument/2006/relationships/image" Target="../media/image554.tmp"/><Relationship Id="rId340" Type="http://schemas.openxmlformats.org/officeDocument/2006/relationships/image" Target="../media/image719.tmp"/><Relationship Id="rId361" Type="http://schemas.openxmlformats.org/officeDocument/2006/relationships/image" Target="../media/image740.tmp"/><Relationship Id="rId196" Type="http://schemas.openxmlformats.org/officeDocument/2006/relationships/image" Target="../media/image575.tmp"/><Relationship Id="rId200" Type="http://schemas.openxmlformats.org/officeDocument/2006/relationships/image" Target="../media/image579.tmp"/><Relationship Id="rId16" Type="http://schemas.openxmlformats.org/officeDocument/2006/relationships/image" Target="../media/image395.tmp"/><Relationship Id="rId221" Type="http://schemas.openxmlformats.org/officeDocument/2006/relationships/image" Target="../media/image600.tmp"/><Relationship Id="rId242" Type="http://schemas.openxmlformats.org/officeDocument/2006/relationships/image" Target="../media/image621.tmp"/><Relationship Id="rId263" Type="http://schemas.openxmlformats.org/officeDocument/2006/relationships/image" Target="../media/image642.tmp"/><Relationship Id="rId284" Type="http://schemas.openxmlformats.org/officeDocument/2006/relationships/image" Target="../media/image663.tmp"/><Relationship Id="rId319" Type="http://schemas.openxmlformats.org/officeDocument/2006/relationships/image" Target="../media/image698.tmp"/><Relationship Id="rId37" Type="http://schemas.openxmlformats.org/officeDocument/2006/relationships/image" Target="../media/image416.tmp"/><Relationship Id="rId58" Type="http://schemas.openxmlformats.org/officeDocument/2006/relationships/image" Target="../media/image437.tmp"/><Relationship Id="rId79" Type="http://schemas.openxmlformats.org/officeDocument/2006/relationships/image" Target="../media/image458.tmp"/><Relationship Id="rId102" Type="http://schemas.openxmlformats.org/officeDocument/2006/relationships/image" Target="../media/image481.tmp"/><Relationship Id="rId123" Type="http://schemas.openxmlformats.org/officeDocument/2006/relationships/image" Target="../media/image502.tmp"/><Relationship Id="rId144" Type="http://schemas.openxmlformats.org/officeDocument/2006/relationships/image" Target="../media/image523.tmp"/><Relationship Id="rId330" Type="http://schemas.openxmlformats.org/officeDocument/2006/relationships/image" Target="../media/image709.tmp"/><Relationship Id="rId90" Type="http://schemas.openxmlformats.org/officeDocument/2006/relationships/image" Target="../media/image469.tmp"/><Relationship Id="rId165" Type="http://schemas.openxmlformats.org/officeDocument/2006/relationships/image" Target="../media/image544.tmp"/><Relationship Id="rId186" Type="http://schemas.openxmlformats.org/officeDocument/2006/relationships/image" Target="../media/image565.tmp"/><Relationship Id="rId351" Type="http://schemas.openxmlformats.org/officeDocument/2006/relationships/image" Target="../media/image730.tmp"/><Relationship Id="rId372" Type="http://schemas.openxmlformats.org/officeDocument/2006/relationships/image" Target="../media/image751.tmp"/><Relationship Id="rId211" Type="http://schemas.openxmlformats.org/officeDocument/2006/relationships/image" Target="../media/image590.tmp"/><Relationship Id="rId232" Type="http://schemas.openxmlformats.org/officeDocument/2006/relationships/image" Target="../media/image611.tmp"/><Relationship Id="rId253" Type="http://schemas.openxmlformats.org/officeDocument/2006/relationships/image" Target="../media/image632.tmp"/><Relationship Id="rId274" Type="http://schemas.openxmlformats.org/officeDocument/2006/relationships/image" Target="../media/image653.tmp"/><Relationship Id="rId295" Type="http://schemas.openxmlformats.org/officeDocument/2006/relationships/image" Target="../media/image674.tmp"/><Relationship Id="rId309" Type="http://schemas.openxmlformats.org/officeDocument/2006/relationships/image" Target="../media/image688.tmp"/><Relationship Id="rId27" Type="http://schemas.openxmlformats.org/officeDocument/2006/relationships/image" Target="../media/image406.tmp"/><Relationship Id="rId48" Type="http://schemas.openxmlformats.org/officeDocument/2006/relationships/image" Target="../media/image427.tmp"/><Relationship Id="rId69" Type="http://schemas.openxmlformats.org/officeDocument/2006/relationships/image" Target="../media/image448.tmp"/><Relationship Id="rId113" Type="http://schemas.openxmlformats.org/officeDocument/2006/relationships/image" Target="../media/image492.tmp"/><Relationship Id="rId134" Type="http://schemas.openxmlformats.org/officeDocument/2006/relationships/image" Target="../media/image513.tmp"/><Relationship Id="rId320" Type="http://schemas.openxmlformats.org/officeDocument/2006/relationships/image" Target="../media/image699.tmp"/><Relationship Id="rId80" Type="http://schemas.openxmlformats.org/officeDocument/2006/relationships/image" Target="../media/image459.tmp"/><Relationship Id="rId155" Type="http://schemas.openxmlformats.org/officeDocument/2006/relationships/image" Target="../media/image534.tmp"/><Relationship Id="rId176" Type="http://schemas.openxmlformats.org/officeDocument/2006/relationships/image" Target="../media/image555.tmp"/><Relationship Id="rId197" Type="http://schemas.openxmlformats.org/officeDocument/2006/relationships/image" Target="../media/image576.tmp"/><Relationship Id="rId341" Type="http://schemas.openxmlformats.org/officeDocument/2006/relationships/image" Target="../media/image720.tmp"/><Relationship Id="rId362" Type="http://schemas.openxmlformats.org/officeDocument/2006/relationships/image" Target="../media/image741.tmp"/><Relationship Id="rId201" Type="http://schemas.openxmlformats.org/officeDocument/2006/relationships/image" Target="../media/image580.tmp"/><Relationship Id="rId222" Type="http://schemas.openxmlformats.org/officeDocument/2006/relationships/image" Target="../media/image601.tmp"/><Relationship Id="rId243" Type="http://schemas.openxmlformats.org/officeDocument/2006/relationships/image" Target="../media/image622.tmp"/><Relationship Id="rId264" Type="http://schemas.openxmlformats.org/officeDocument/2006/relationships/image" Target="../media/image643.tmp"/><Relationship Id="rId285" Type="http://schemas.openxmlformats.org/officeDocument/2006/relationships/image" Target="../media/image664.tmp"/><Relationship Id="rId17" Type="http://schemas.openxmlformats.org/officeDocument/2006/relationships/image" Target="../media/image396.tmp"/><Relationship Id="rId38" Type="http://schemas.openxmlformats.org/officeDocument/2006/relationships/image" Target="../media/image417.tmp"/><Relationship Id="rId59" Type="http://schemas.openxmlformats.org/officeDocument/2006/relationships/image" Target="../media/image438.tmp"/><Relationship Id="rId103" Type="http://schemas.openxmlformats.org/officeDocument/2006/relationships/image" Target="../media/image482.tmp"/><Relationship Id="rId124" Type="http://schemas.openxmlformats.org/officeDocument/2006/relationships/image" Target="../media/image503.tmp"/><Relationship Id="rId310" Type="http://schemas.openxmlformats.org/officeDocument/2006/relationships/image" Target="../media/image689.tmp"/><Relationship Id="rId70" Type="http://schemas.openxmlformats.org/officeDocument/2006/relationships/image" Target="../media/image449.tmp"/><Relationship Id="rId91" Type="http://schemas.openxmlformats.org/officeDocument/2006/relationships/image" Target="../media/image470.tmp"/><Relationship Id="rId145" Type="http://schemas.openxmlformats.org/officeDocument/2006/relationships/image" Target="../media/image524.tmp"/><Relationship Id="rId166" Type="http://schemas.openxmlformats.org/officeDocument/2006/relationships/image" Target="../media/image545.tmp"/><Relationship Id="rId187" Type="http://schemas.openxmlformats.org/officeDocument/2006/relationships/image" Target="../media/image566.tmp"/><Relationship Id="rId331" Type="http://schemas.openxmlformats.org/officeDocument/2006/relationships/image" Target="../media/image710.tmp"/><Relationship Id="rId352" Type="http://schemas.openxmlformats.org/officeDocument/2006/relationships/image" Target="../media/image731.tmp"/><Relationship Id="rId373" Type="http://schemas.openxmlformats.org/officeDocument/2006/relationships/image" Target="../media/image752.tmp"/><Relationship Id="rId1" Type="http://schemas.openxmlformats.org/officeDocument/2006/relationships/image" Target="../media/image380.tmp"/><Relationship Id="rId212" Type="http://schemas.openxmlformats.org/officeDocument/2006/relationships/image" Target="../media/image591.tmp"/><Relationship Id="rId233" Type="http://schemas.openxmlformats.org/officeDocument/2006/relationships/image" Target="../media/image612.tmp"/><Relationship Id="rId254" Type="http://schemas.openxmlformats.org/officeDocument/2006/relationships/image" Target="../media/image633.tmp"/><Relationship Id="rId28" Type="http://schemas.openxmlformats.org/officeDocument/2006/relationships/image" Target="../media/image407.tmp"/><Relationship Id="rId49" Type="http://schemas.openxmlformats.org/officeDocument/2006/relationships/image" Target="../media/image428.tmp"/><Relationship Id="rId114" Type="http://schemas.openxmlformats.org/officeDocument/2006/relationships/image" Target="../media/image493.tmp"/><Relationship Id="rId275" Type="http://schemas.openxmlformats.org/officeDocument/2006/relationships/image" Target="../media/image654.tmp"/><Relationship Id="rId296" Type="http://schemas.openxmlformats.org/officeDocument/2006/relationships/image" Target="../media/image675.tmp"/><Relationship Id="rId300" Type="http://schemas.openxmlformats.org/officeDocument/2006/relationships/image" Target="../media/image679.tmp"/><Relationship Id="rId60" Type="http://schemas.openxmlformats.org/officeDocument/2006/relationships/image" Target="../media/image439.tmp"/><Relationship Id="rId81" Type="http://schemas.openxmlformats.org/officeDocument/2006/relationships/image" Target="../media/image460.tmp"/><Relationship Id="rId135" Type="http://schemas.openxmlformats.org/officeDocument/2006/relationships/image" Target="../media/image514.tmp"/><Relationship Id="rId156" Type="http://schemas.openxmlformats.org/officeDocument/2006/relationships/image" Target="../media/image535.tmp"/><Relationship Id="rId177" Type="http://schemas.openxmlformats.org/officeDocument/2006/relationships/image" Target="../media/image556.tmp"/><Relationship Id="rId198" Type="http://schemas.openxmlformats.org/officeDocument/2006/relationships/image" Target="../media/image577.tmp"/><Relationship Id="rId321" Type="http://schemas.openxmlformats.org/officeDocument/2006/relationships/image" Target="../media/image700.tmp"/><Relationship Id="rId342" Type="http://schemas.openxmlformats.org/officeDocument/2006/relationships/image" Target="../media/image721.tmp"/><Relationship Id="rId363" Type="http://schemas.openxmlformats.org/officeDocument/2006/relationships/image" Target="../media/image742.tmp"/><Relationship Id="rId202" Type="http://schemas.openxmlformats.org/officeDocument/2006/relationships/image" Target="../media/image581.tmp"/><Relationship Id="rId223" Type="http://schemas.openxmlformats.org/officeDocument/2006/relationships/image" Target="../media/image602.tmp"/><Relationship Id="rId244" Type="http://schemas.openxmlformats.org/officeDocument/2006/relationships/image" Target="../media/image623.tmp"/><Relationship Id="rId18" Type="http://schemas.openxmlformats.org/officeDocument/2006/relationships/image" Target="../media/image397.tmp"/><Relationship Id="rId39" Type="http://schemas.openxmlformats.org/officeDocument/2006/relationships/image" Target="../media/image418.tmp"/><Relationship Id="rId265" Type="http://schemas.openxmlformats.org/officeDocument/2006/relationships/image" Target="../media/image644.tmp"/><Relationship Id="rId286" Type="http://schemas.openxmlformats.org/officeDocument/2006/relationships/image" Target="../media/image665.tmp"/><Relationship Id="rId50" Type="http://schemas.openxmlformats.org/officeDocument/2006/relationships/image" Target="../media/image429.tmp"/><Relationship Id="rId104" Type="http://schemas.openxmlformats.org/officeDocument/2006/relationships/image" Target="../media/image483.tmp"/><Relationship Id="rId125" Type="http://schemas.openxmlformats.org/officeDocument/2006/relationships/image" Target="../media/image504.tmp"/><Relationship Id="rId146" Type="http://schemas.openxmlformats.org/officeDocument/2006/relationships/image" Target="../media/image525.tmp"/><Relationship Id="rId167" Type="http://schemas.openxmlformats.org/officeDocument/2006/relationships/image" Target="../media/image546.tmp"/><Relationship Id="rId188" Type="http://schemas.openxmlformats.org/officeDocument/2006/relationships/image" Target="../media/image567.tmp"/><Relationship Id="rId311" Type="http://schemas.openxmlformats.org/officeDocument/2006/relationships/image" Target="../media/image690.tmp"/><Relationship Id="rId332" Type="http://schemas.openxmlformats.org/officeDocument/2006/relationships/image" Target="../media/image711.tmp"/><Relationship Id="rId353" Type="http://schemas.openxmlformats.org/officeDocument/2006/relationships/image" Target="../media/image732.tmp"/><Relationship Id="rId374" Type="http://schemas.openxmlformats.org/officeDocument/2006/relationships/image" Target="../media/image753.tmp"/><Relationship Id="rId71" Type="http://schemas.openxmlformats.org/officeDocument/2006/relationships/image" Target="../media/image450.tmp"/><Relationship Id="rId92" Type="http://schemas.openxmlformats.org/officeDocument/2006/relationships/image" Target="../media/image471.tmp"/><Relationship Id="rId213" Type="http://schemas.openxmlformats.org/officeDocument/2006/relationships/image" Target="../media/image592.tmp"/><Relationship Id="rId234" Type="http://schemas.openxmlformats.org/officeDocument/2006/relationships/image" Target="../media/image613.tmp"/><Relationship Id="rId2" Type="http://schemas.openxmlformats.org/officeDocument/2006/relationships/image" Target="../media/image381.tmp"/><Relationship Id="rId29" Type="http://schemas.openxmlformats.org/officeDocument/2006/relationships/image" Target="../media/image408.tmp"/><Relationship Id="rId255" Type="http://schemas.openxmlformats.org/officeDocument/2006/relationships/image" Target="../media/image634.tmp"/><Relationship Id="rId276" Type="http://schemas.openxmlformats.org/officeDocument/2006/relationships/image" Target="../media/image655.tmp"/><Relationship Id="rId297" Type="http://schemas.openxmlformats.org/officeDocument/2006/relationships/image" Target="../media/image676.tmp"/><Relationship Id="rId40" Type="http://schemas.openxmlformats.org/officeDocument/2006/relationships/image" Target="../media/image419.tmp"/><Relationship Id="rId115" Type="http://schemas.openxmlformats.org/officeDocument/2006/relationships/image" Target="../media/image494.tmp"/><Relationship Id="rId136" Type="http://schemas.openxmlformats.org/officeDocument/2006/relationships/image" Target="../media/image515.tmp"/><Relationship Id="rId157" Type="http://schemas.openxmlformats.org/officeDocument/2006/relationships/image" Target="../media/image536.tmp"/><Relationship Id="rId178" Type="http://schemas.openxmlformats.org/officeDocument/2006/relationships/image" Target="../media/image557.tmp"/><Relationship Id="rId301" Type="http://schemas.openxmlformats.org/officeDocument/2006/relationships/image" Target="../media/image680.tmp"/><Relationship Id="rId322" Type="http://schemas.openxmlformats.org/officeDocument/2006/relationships/image" Target="../media/image701.tmp"/><Relationship Id="rId343" Type="http://schemas.openxmlformats.org/officeDocument/2006/relationships/image" Target="../media/image722.tmp"/><Relationship Id="rId364" Type="http://schemas.openxmlformats.org/officeDocument/2006/relationships/image" Target="../media/image743.tmp"/><Relationship Id="rId61" Type="http://schemas.openxmlformats.org/officeDocument/2006/relationships/image" Target="../media/image440.tmp"/><Relationship Id="rId82" Type="http://schemas.openxmlformats.org/officeDocument/2006/relationships/image" Target="../media/image461.tmp"/><Relationship Id="rId199" Type="http://schemas.openxmlformats.org/officeDocument/2006/relationships/image" Target="../media/image578.tmp"/><Relationship Id="rId203" Type="http://schemas.openxmlformats.org/officeDocument/2006/relationships/image" Target="../media/image582.tmp"/><Relationship Id="rId19" Type="http://schemas.openxmlformats.org/officeDocument/2006/relationships/image" Target="../media/image398.tmp"/><Relationship Id="rId224" Type="http://schemas.openxmlformats.org/officeDocument/2006/relationships/image" Target="../media/image603.tmp"/><Relationship Id="rId245" Type="http://schemas.openxmlformats.org/officeDocument/2006/relationships/image" Target="../media/image624.tmp"/><Relationship Id="rId266" Type="http://schemas.openxmlformats.org/officeDocument/2006/relationships/image" Target="../media/image645.tmp"/><Relationship Id="rId287" Type="http://schemas.openxmlformats.org/officeDocument/2006/relationships/image" Target="../media/image666.tmp"/><Relationship Id="rId30" Type="http://schemas.openxmlformats.org/officeDocument/2006/relationships/image" Target="../media/image409.tmp"/><Relationship Id="rId105" Type="http://schemas.openxmlformats.org/officeDocument/2006/relationships/image" Target="../media/image484.tmp"/><Relationship Id="rId126" Type="http://schemas.openxmlformats.org/officeDocument/2006/relationships/image" Target="../media/image505.tmp"/><Relationship Id="rId147" Type="http://schemas.openxmlformats.org/officeDocument/2006/relationships/image" Target="../media/image526.tmp"/><Relationship Id="rId168" Type="http://schemas.openxmlformats.org/officeDocument/2006/relationships/image" Target="../media/image547.tmp"/><Relationship Id="rId312" Type="http://schemas.openxmlformats.org/officeDocument/2006/relationships/image" Target="../media/image691.tmp"/><Relationship Id="rId333" Type="http://schemas.openxmlformats.org/officeDocument/2006/relationships/image" Target="../media/image712.tmp"/><Relationship Id="rId354" Type="http://schemas.openxmlformats.org/officeDocument/2006/relationships/image" Target="../media/image733.tmp"/><Relationship Id="rId51" Type="http://schemas.openxmlformats.org/officeDocument/2006/relationships/image" Target="../media/image430.tmp"/><Relationship Id="rId72" Type="http://schemas.openxmlformats.org/officeDocument/2006/relationships/image" Target="../media/image451.tmp"/><Relationship Id="rId93" Type="http://schemas.openxmlformats.org/officeDocument/2006/relationships/image" Target="../media/image472.tmp"/><Relationship Id="rId189" Type="http://schemas.openxmlformats.org/officeDocument/2006/relationships/image" Target="../media/image568.tmp"/><Relationship Id="rId375" Type="http://schemas.openxmlformats.org/officeDocument/2006/relationships/image" Target="../media/image754.tmp"/><Relationship Id="rId3" Type="http://schemas.openxmlformats.org/officeDocument/2006/relationships/image" Target="../media/image382.tmp"/><Relationship Id="rId214" Type="http://schemas.openxmlformats.org/officeDocument/2006/relationships/image" Target="../media/image593.tmp"/><Relationship Id="rId235" Type="http://schemas.openxmlformats.org/officeDocument/2006/relationships/image" Target="../media/image614.tmp"/><Relationship Id="rId256" Type="http://schemas.openxmlformats.org/officeDocument/2006/relationships/image" Target="../media/image635.tmp"/><Relationship Id="rId277" Type="http://schemas.openxmlformats.org/officeDocument/2006/relationships/image" Target="../media/image656.tmp"/><Relationship Id="rId298" Type="http://schemas.openxmlformats.org/officeDocument/2006/relationships/image" Target="../media/image677.tmp"/><Relationship Id="rId116" Type="http://schemas.openxmlformats.org/officeDocument/2006/relationships/image" Target="../media/image495.tmp"/><Relationship Id="rId137" Type="http://schemas.openxmlformats.org/officeDocument/2006/relationships/image" Target="../media/image516.tmp"/><Relationship Id="rId158" Type="http://schemas.openxmlformats.org/officeDocument/2006/relationships/image" Target="../media/image537.tmp"/><Relationship Id="rId302" Type="http://schemas.openxmlformats.org/officeDocument/2006/relationships/image" Target="../media/image681.tmp"/><Relationship Id="rId323" Type="http://schemas.openxmlformats.org/officeDocument/2006/relationships/image" Target="../media/image702.tmp"/><Relationship Id="rId344" Type="http://schemas.openxmlformats.org/officeDocument/2006/relationships/image" Target="../media/image723.tmp"/><Relationship Id="rId20" Type="http://schemas.openxmlformats.org/officeDocument/2006/relationships/image" Target="../media/image399.tmp"/><Relationship Id="rId41" Type="http://schemas.openxmlformats.org/officeDocument/2006/relationships/image" Target="../media/image420.tmp"/><Relationship Id="rId62" Type="http://schemas.openxmlformats.org/officeDocument/2006/relationships/image" Target="../media/image441.tmp"/><Relationship Id="rId83" Type="http://schemas.openxmlformats.org/officeDocument/2006/relationships/image" Target="../media/image462.tmp"/><Relationship Id="rId179" Type="http://schemas.openxmlformats.org/officeDocument/2006/relationships/image" Target="../media/image558.tmp"/><Relationship Id="rId365" Type="http://schemas.openxmlformats.org/officeDocument/2006/relationships/image" Target="../media/image744.tmp"/><Relationship Id="rId190" Type="http://schemas.openxmlformats.org/officeDocument/2006/relationships/image" Target="../media/image569.tmp"/><Relationship Id="rId204" Type="http://schemas.openxmlformats.org/officeDocument/2006/relationships/image" Target="../media/image583.tmp"/><Relationship Id="rId225" Type="http://schemas.openxmlformats.org/officeDocument/2006/relationships/image" Target="../media/image604.tmp"/><Relationship Id="rId246" Type="http://schemas.openxmlformats.org/officeDocument/2006/relationships/image" Target="../media/image625.tmp"/><Relationship Id="rId267" Type="http://schemas.openxmlformats.org/officeDocument/2006/relationships/image" Target="../media/image646.tmp"/><Relationship Id="rId288" Type="http://schemas.openxmlformats.org/officeDocument/2006/relationships/image" Target="../media/image667.tmp"/><Relationship Id="rId106" Type="http://schemas.openxmlformats.org/officeDocument/2006/relationships/image" Target="../media/image485.tmp"/><Relationship Id="rId127" Type="http://schemas.openxmlformats.org/officeDocument/2006/relationships/image" Target="../media/image506.tmp"/><Relationship Id="rId313" Type="http://schemas.openxmlformats.org/officeDocument/2006/relationships/image" Target="../media/image692.tmp"/><Relationship Id="rId10" Type="http://schemas.openxmlformats.org/officeDocument/2006/relationships/image" Target="../media/image389.tmp"/><Relationship Id="rId31" Type="http://schemas.openxmlformats.org/officeDocument/2006/relationships/image" Target="../media/image410.tmp"/><Relationship Id="rId52" Type="http://schemas.openxmlformats.org/officeDocument/2006/relationships/image" Target="../media/image431.tmp"/><Relationship Id="rId73" Type="http://schemas.openxmlformats.org/officeDocument/2006/relationships/image" Target="../media/image452.tmp"/><Relationship Id="rId94" Type="http://schemas.openxmlformats.org/officeDocument/2006/relationships/image" Target="../media/image473.tmp"/><Relationship Id="rId148" Type="http://schemas.openxmlformats.org/officeDocument/2006/relationships/image" Target="../media/image527.tmp"/><Relationship Id="rId169" Type="http://schemas.openxmlformats.org/officeDocument/2006/relationships/image" Target="../media/image548.tmp"/><Relationship Id="rId334" Type="http://schemas.openxmlformats.org/officeDocument/2006/relationships/image" Target="../media/image713.tmp"/><Relationship Id="rId355" Type="http://schemas.openxmlformats.org/officeDocument/2006/relationships/image" Target="../media/image734.tmp"/><Relationship Id="rId376" Type="http://schemas.openxmlformats.org/officeDocument/2006/relationships/image" Target="../media/image755.tmp"/><Relationship Id="rId4" Type="http://schemas.openxmlformats.org/officeDocument/2006/relationships/image" Target="../media/image383.tmp"/><Relationship Id="rId180" Type="http://schemas.openxmlformats.org/officeDocument/2006/relationships/image" Target="../media/image559.tmp"/><Relationship Id="rId215" Type="http://schemas.openxmlformats.org/officeDocument/2006/relationships/image" Target="../media/image594.tmp"/><Relationship Id="rId236" Type="http://schemas.openxmlformats.org/officeDocument/2006/relationships/image" Target="../media/image615.tmp"/><Relationship Id="rId257" Type="http://schemas.openxmlformats.org/officeDocument/2006/relationships/image" Target="../media/image636.tmp"/><Relationship Id="rId278" Type="http://schemas.openxmlformats.org/officeDocument/2006/relationships/image" Target="../media/image657.tmp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6.tmp"/><Relationship Id="rId13" Type="http://schemas.openxmlformats.org/officeDocument/2006/relationships/image" Target="../media/image771.tmp"/><Relationship Id="rId18" Type="http://schemas.openxmlformats.org/officeDocument/2006/relationships/image" Target="../media/image776.tmp"/><Relationship Id="rId26" Type="http://schemas.openxmlformats.org/officeDocument/2006/relationships/image" Target="../media/image784.tmp"/><Relationship Id="rId3" Type="http://schemas.openxmlformats.org/officeDocument/2006/relationships/image" Target="../media/image761.tmp"/><Relationship Id="rId21" Type="http://schemas.openxmlformats.org/officeDocument/2006/relationships/image" Target="../media/image779.tmp"/><Relationship Id="rId7" Type="http://schemas.openxmlformats.org/officeDocument/2006/relationships/image" Target="../media/image765.tmp"/><Relationship Id="rId12" Type="http://schemas.openxmlformats.org/officeDocument/2006/relationships/image" Target="../media/image770.tmp"/><Relationship Id="rId17" Type="http://schemas.openxmlformats.org/officeDocument/2006/relationships/image" Target="../media/image775.tmp"/><Relationship Id="rId25" Type="http://schemas.openxmlformats.org/officeDocument/2006/relationships/image" Target="../media/image783.tmp"/><Relationship Id="rId2" Type="http://schemas.openxmlformats.org/officeDocument/2006/relationships/image" Target="../media/image760.tmp"/><Relationship Id="rId16" Type="http://schemas.openxmlformats.org/officeDocument/2006/relationships/image" Target="../media/image774.tmp"/><Relationship Id="rId20" Type="http://schemas.openxmlformats.org/officeDocument/2006/relationships/image" Target="../media/image778.tmp"/><Relationship Id="rId1" Type="http://schemas.openxmlformats.org/officeDocument/2006/relationships/image" Target="../media/image759.tmp"/><Relationship Id="rId6" Type="http://schemas.openxmlformats.org/officeDocument/2006/relationships/image" Target="../media/image764.tmp"/><Relationship Id="rId11" Type="http://schemas.openxmlformats.org/officeDocument/2006/relationships/image" Target="../media/image769.tmp"/><Relationship Id="rId24" Type="http://schemas.openxmlformats.org/officeDocument/2006/relationships/image" Target="../media/image782.tmp"/><Relationship Id="rId5" Type="http://schemas.openxmlformats.org/officeDocument/2006/relationships/image" Target="../media/image763.tmp"/><Relationship Id="rId15" Type="http://schemas.openxmlformats.org/officeDocument/2006/relationships/image" Target="../media/image773.tmp"/><Relationship Id="rId23" Type="http://schemas.openxmlformats.org/officeDocument/2006/relationships/image" Target="../media/image781.tmp"/><Relationship Id="rId10" Type="http://schemas.openxmlformats.org/officeDocument/2006/relationships/image" Target="../media/image768.tmp"/><Relationship Id="rId19" Type="http://schemas.openxmlformats.org/officeDocument/2006/relationships/image" Target="../media/image777.tmp"/><Relationship Id="rId4" Type="http://schemas.openxmlformats.org/officeDocument/2006/relationships/image" Target="../media/image762.tmp"/><Relationship Id="rId9" Type="http://schemas.openxmlformats.org/officeDocument/2006/relationships/image" Target="../media/image767.tmp"/><Relationship Id="rId14" Type="http://schemas.openxmlformats.org/officeDocument/2006/relationships/image" Target="../media/image772.tmp"/><Relationship Id="rId22" Type="http://schemas.openxmlformats.org/officeDocument/2006/relationships/image" Target="../media/image780.tmp"/><Relationship Id="rId27" Type="http://schemas.openxmlformats.org/officeDocument/2006/relationships/image" Target="../media/image785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2534528</xdr:colOff>
      <xdr:row>1</xdr:row>
      <xdr:rowOff>61913</xdr:rowOff>
    </xdr:from>
    <xdr:to>
      <xdr:col>2</xdr:col>
      <xdr:colOff>6104646</xdr:colOff>
      <xdr:row>1</xdr:row>
      <xdr:rowOff>1347788</xdr:rowOff>
    </xdr:to>
    <xdr:pic>
      <xdr:nvPicPr>
        <xdr:cNvPr id="385" name="Picture 384" descr="Insight Picture 38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0503" y="1471613"/>
          <a:ext cx="3570118" cy="1285875"/>
        </a:xfrm>
        <a:prstGeom prst="rect">
          <a:avLst/>
        </a:prstGeom>
      </xdr:spPr>
    </xdr:pic>
    <xdr:clientData/>
  </xdr:twoCellAnchor>
  <xdr:twoCellAnchor editAs="oneCell">
    <xdr:from>
      <xdr:col>2</xdr:col>
      <xdr:colOff>2348883</xdr:colOff>
      <xdr:row>2</xdr:row>
      <xdr:rowOff>61913</xdr:rowOff>
    </xdr:from>
    <xdr:to>
      <xdr:col>2</xdr:col>
      <xdr:colOff>6290293</xdr:colOff>
      <xdr:row>2</xdr:row>
      <xdr:rowOff>1243013</xdr:rowOff>
    </xdr:to>
    <xdr:pic>
      <xdr:nvPicPr>
        <xdr:cNvPr id="386" name="Picture 385" descr="Insight Picture 38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4858" y="2881313"/>
          <a:ext cx="3941410" cy="1181100"/>
        </a:xfrm>
        <a:prstGeom prst="rect">
          <a:avLst/>
        </a:prstGeom>
      </xdr:spPr>
    </xdr:pic>
    <xdr:clientData/>
  </xdr:twoCellAnchor>
  <xdr:twoCellAnchor editAs="oneCell">
    <xdr:from>
      <xdr:col>2</xdr:col>
      <xdr:colOff>2896301</xdr:colOff>
      <xdr:row>3</xdr:row>
      <xdr:rowOff>61913</xdr:rowOff>
    </xdr:from>
    <xdr:to>
      <xdr:col>2</xdr:col>
      <xdr:colOff>5742875</xdr:colOff>
      <xdr:row>3</xdr:row>
      <xdr:rowOff>1147763</xdr:rowOff>
    </xdr:to>
    <xdr:pic>
      <xdr:nvPicPr>
        <xdr:cNvPr id="387" name="Picture 386" descr="Insight Picture 38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2276" y="4186238"/>
          <a:ext cx="2846574" cy="1085850"/>
        </a:xfrm>
        <a:prstGeom prst="rect">
          <a:avLst/>
        </a:prstGeom>
      </xdr:spPr>
    </xdr:pic>
    <xdr:clientData/>
  </xdr:twoCellAnchor>
  <xdr:twoCellAnchor editAs="oneCell">
    <xdr:from>
      <xdr:col>2</xdr:col>
      <xdr:colOff>3129548</xdr:colOff>
      <xdr:row>4</xdr:row>
      <xdr:rowOff>61913</xdr:rowOff>
    </xdr:from>
    <xdr:to>
      <xdr:col>2</xdr:col>
      <xdr:colOff>5509627</xdr:colOff>
      <xdr:row>4</xdr:row>
      <xdr:rowOff>1223963</xdr:rowOff>
    </xdr:to>
    <xdr:pic>
      <xdr:nvPicPr>
        <xdr:cNvPr id="388" name="Picture 387" descr="Insight Picture 38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5523" y="5395913"/>
          <a:ext cx="2380079" cy="1162050"/>
        </a:xfrm>
        <a:prstGeom prst="rect">
          <a:avLst/>
        </a:prstGeom>
      </xdr:spPr>
    </xdr:pic>
    <xdr:clientData/>
  </xdr:twoCellAnchor>
  <xdr:twoCellAnchor editAs="oneCell">
    <xdr:from>
      <xdr:col>2</xdr:col>
      <xdr:colOff>3391357</xdr:colOff>
      <xdr:row>5</xdr:row>
      <xdr:rowOff>61913</xdr:rowOff>
    </xdr:from>
    <xdr:to>
      <xdr:col>2</xdr:col>
      <xdr:colOff>5247819</xdr:colOff>
      <xdr:row>5</xdr:row>
      <xdr:rowOff>2024063</xdr:rowOff>
    </xdr:to>
    <xdr:pic>
      <xdr:nvPicPr>
        <xdr:cNvPr id="389" name="Picture 388" descr="Insight Picture 38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7332" y="6681788"/>
          <a:ext cx="1856462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2810618</xdr:colOff>
      <xdr:row>6</xdr:row>
      <xdr:rowOff>61913</xdr:rowOff>
    </xdr:from>
    <xdr:to>
      <xdr:col>2</xdr:col>
      <xdr:colOff>5828557</xdr:colOff>
      <xdr:row>6</xdr:row>
      <xdr:rowOff>1585913</xdr:rowOff>
    </xdr:to>
    <xdr:pic>
      <xdr:nvPicPr>
        <xdr:cNvPr id="390" name="Picture 389" descr="Insight Picture 38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6593" y="8767763"/>
          <a:ext cx="3017939" cy="152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2972463</xdr:colOff>
      <xdr:row>7</xdr:row>
      <xdr:rowOff>61913</xdr:rowOff>
    </xdr:from>
    <xdr:to>
      <xdr:col>2</xdr:col>
      <xdr:colOff>5666712</xdr:colOff>
      <xdr:row>7</xdr:row>
      <xdr:rowOff>1300163</xdr:rowOff>
    </xdr:to>
    <xdr:pic>
      <xdr:nvPicPr>
        <xdr:cNvPr id="391" name="Picture 390" descr="Insight Picture 39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8438" y="10415588"/>
          <a:ext cx="2694249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2810618</xdr:colOff>
      <xdr:row>8</xdr:row>
      <xdr:rowOff>61913</xdr:rowOff>
    </xdr:from>
    <xdr:to>
      <xdr:col>2</xdr:col>
      <xdr:colOff>5828557</xdr:colOff>
      <xdr:row>8</xdr:row>
      <xdr:rowOff>1585913</xdr:rowOff>
    </xdr:to>
    <xdr:pic>
      <xdr:nvPicPr>
        <xdr:cNvPr id="392" name="Picture 391" descr="Insight Picture 39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6593" y="11777663"/>
          <a:ext cx="3017939" cy="152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2996264</xdr:colOff>
      <xdr:row>9</xdr:row>
      <xdr:rowOff>61913</xdr:rowOff>
    </xdr:from>
    <xdr:to>
      <xdr:col>2</xdr:col>
      <xdr:colOff>5642911</xdr:colOff>
      <xdr:row>9</xdr:row>
      <xdr:rowOff>1223963</xdr:rowOff>
    </xdr:to>
    <xdr:pic>
      <xdr:nvPicPr>
        <xdr:cNvPr id="393" name="Picture 392" descr="Insight Picture 39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239" y="13425488"/>
          <a:ext cx="2646647" cy="1162050"/>
        </a:xfrm>
        <a:prstGeom prst="rect">
          <a:avLst/>
        </a:prstGeom>
      </xdr:spPr>
    </xdr:pic>
    <xdr:clientData/>
  </xdr:twoCellAnchor>
  <xdr:twoCellAnchor editAs="oneCell">
    <xdr:from>
      <xdr:col>2</xdr:col>
      <xdr:colOff>2972463</xdr:colOff>
      <xdr:row>10</xdr:row>
      <xdr:rowOff>61913</xdr:rowOff>
    </xdr:from>
    <xdr:to>
      <xdr:col>2</xdr:col>
      <xdr:colOff>5666712</xdr:colOff>
      <xdr:row>10</xdr:row>
      <xdr:rowOff>1300163</xdr:rowOff>
    </xdr:to>
    <xdr:pic>
      <xdr:nvPicPr>
        <xdr:cNvPr id="394" name="Picture 393" descr="Insight Picture 39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8438" y="14711363"/>
          <a:ext cx="2694249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2163236</xdr:colOff>
      <xdr:row>11</xdr:row>
      <xdr:rowOff>61913</xdr:rowOff>
    </xdr:from>
    <xdr:to>
      <xdr:col>2</xdr:col>
      <xdr:colOff>6475939</xdr:colOff>
      <xdr:row>11</xdr:row>
      <xdr:rowOff>671513</xdr:rowOff>
    </xdr:to>
    <xdr:pic>
      <xdr:nvPicPr>
        <xdr:cNvPr id="395" name="Picture 394" descr="Insight Picture 39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9211" y="16073438"/>
          <a:ext cx="4312703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3296153</xdr:colOff>
      <xdr:row>12</xdr:row>
      <xdr:rowOff>61913</xdr:rowOff>
    </xdr:from>
    <xdr:to>
      <xdr:col>2</xdr:col>
      <xdr:colOff>5343021</xdr:colOff>
      <xdr:row>12</xdr:row>
      <xdr:rowOff>1319213</xdr:rowOff>
    </xdr:to>
    <xdr:pic>
      <xdr:nvPicPr>
        <xdr:cNvPr id="396" name="Picture 395" descr="Insight Picture 39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2128" y="16806863"/>
          <a:ext cx="2046868" cy="1257300"/>
        </a:xfrm>
        <a:prstGeom prst="rect">
          <a:avLst/>
        </a:prstGeom>
      </xdr:spPr>
    </xdr:pic>
    <xdr:clientData/>
  </xdr:twoCellAnchor>
  <xdr:twoCellAnchor editAs="oneCell">
    <xdr:from>
      <xdr:col>2</xdr:col>
      <xdr:colOff>3567483</xdr:colOff>
      <xdr:row>13</xdr:row>
      <xdr:rowOff>61913</xdr:rowOff>
    </xdr:from>
    <xdr:to>
      <xdr:col>2</xdr:col>
      <xdr:colOff>5071693</xdr:colOff>
      <xdr:row>13</xdr:row>
      <xdr:rowOff>2024063</xdr:rowOff>
    </xdr:to>
    <xdr:pic>
      <xdr:nvPicPr>
        <xdr:cNvPr id="397" name="Picture 396" descr="Insight Picture 396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458" y="18187988"/>
          <a:ext cx="1504210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3457999</xdr:colOff>
      <xdr:row>14</xdr:row>
      <xdr:rowOff>61913</xdr:rowOff>
    </xdr:from>
    <xdr:to>
      <xdr:col>2</xdr:col>
      <xdr:colOff>5181176</xdr:colOff>
      <xdr:row>14</xdr:row>
      <xdr:rowOff>1223963</xdr:rowOff>
    </xdr:to>
    <xdr:pic>
      <xdr:nvPicPr>
        <xdr:cNvPr id="398" name="Picture 397" descr="Insight Picture 397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974" y="20273963"/>
          <a:ext cx="1723177" cy="1162050"/>
        </a:xfrm>
        <a:prstGeom prst="rect">
          <a:avLst/>
        </a:prstGeom>
      </xdr:spPr>
    </xdr:pic>
    <xdr:clientData/>
  </xdr:twoCellAnchor>
  <xdr:twoCellAnchor editAs="oneCell">
    <xdr:from>
      <xdr:col>2</xdr:col>
      <xdr:colOff>2929622</xdr:colOff>
      <xdr:row>15</xdr:row>
      <xdr:rowOff>61913</xdr:rowOff>
    </xdr:from>
    <xdr:to>
      <xdr:col>2</xdr:col>
      <xdr:colOff>5709554</xdr:colOff>
      <xdr:row>15</xdr:row>
      <xdr:rowOff>1214438</xdr:rowOff>
    </xdr:to>
    <xdr:pic>
      <xdr:nvPicPr>
        <xdr:cNvPr id="399" name="Picture 398" descr="Insight Picture 39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5597" y="21559838"/>
          <a:ext cx="2779932" cy="1152525"/>
        </a:xfrm>
        <a:prstGeom prst="rect">
          <a:avLst/>
        </a:prstGeom>
      </xdr:spPr>
    </xdr:pic>
    <xdr:clientData/>
  </xdr:twoCellAnchor>
  <xdr:twoCellAnchor editAs="oneCell">
    <xdr:from>
      <xdr:col>2</xdr:col>
      <xdr:colOff>3391357</xdr:colOff>
      <xdr:row>16</xdr:row>
      <xdr:rowOff>61913</xdr:rowOff>
    </xdr:from>
    <xdr:to>
      <xdr:col>2</xdr:col>
      <xdr:colOff>5247819</xdr:colOff>
      <xdr:row>16</xdr:row>
      <xdr:rowOff>1747838</xdr:rowOff>
    </xdr:to>
    <xdr:pic>
      <xdr:nvPicPr>
        <xdr:cNvPr id="400" name="Picture 399" descr="Insight Picture 399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7332" y="22836188"/>
          <a:ext cx="1856462" cy="1685925"/>
        </a:xfrm>
        <a:prstGeom prst="rect">
          <a:avLst/>
        </a:prstGeom>
      </xdr:spPr>
    </xdr:pic>
    <xdr:clientData/>
  </xdr:twoCellAnchor>
  <xdr:twoCellAnchor editAs="oneCell">
    <xdr:from>
      <xdr:col>2</xdr:col>
      <xdr:colOff>3358035</xdr:colOff>
      <xdr:row>17</xdr:row>
      <xdr:rowOff>61913</xdr:rowOff>
    </xdr:from>
    <xdr:to>
      <xdr:col>2</xdr:col>
      <xdr:colOff>5281139</xdr:colOff>
      <xdr:row>17</xdr:row>
      <xdr:rowOff>1976438</xdr:rowOff>
    </xdr:to>
    <xdr:pic>
      <xdr:nvPicPr>
        <xdr:cNvPr id="401" name="Picture 400" descr="Insight Picture 40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010" y="24645938"/>
          <a:ext cx="1923104" cy="1914525"/>
        </a:xfrm>
        <a:prstGeom prst="rect">
          <a:avLst/>
        </a:prstGeom>
      </xdr:spPr>
    </xdr:pic>
    <xdr:clientData/>
  </xdr:twoCellAnchor>
  <xdr:twoCellAnchor editAs="oneCell">
    <xdr:from>
      <xdr:col>2</xdr:col>
      <xdr:colOff>2929622</xdr:colOff>
      <xdr:row>18</xdr:row>
      <xdr:rowOff>61913</xdr:rowOff>
    </xdr:from>
    <xdr:to>
      <xdr:col>2</xdr:col>
      <xdr:colOff>5709554</xdr:colOff>
      <xdr:row>18</xdr:row>
      <xdr:rowOff>2014538</xdr:rowOff>
    </xdr:to>
    <xdr:pic>
      <xdr:nvPicPr>
        <xdr:cNvPr id="402" name="Picture 401" descr="Insight Picture 401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5597" y="26684288"/>
          <a:ext cx="2779932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3324715</xdr:colOff>
      <xdr:row>19</xdr:row>
      <xdr:rowOff>61913</xdr:rowOff>
    </xdr:from>
    <xdr:to>
      <xdr:col>2</xdr:col>
      <xdr:colOff>5314461</xdr:colOff>
      <xdr:row>19</xdr:row>
      <xdr:rowOff>1338263</xdr:rowOff>
    </xdr:to>
    <xdr:pic>
      <xdr:nvPicPr>
        <xdr:cNvPr id="403" name="Picture 402" descr="Insight Picture 40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690" y="28760738"/>
          <a:ext cx="1989746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3062906</xdr:colOff>
      <xdr:row>20</xdr:row>
      <xdr:rowOff>61913</xdr:rowOff>
    </xdr:from>
    <xdr:to>
      <xdr:col>2</xdr:col>
      <xdr:colOff>5576269</xdr:colOff>
      <xdr:row>20</xdr:row>
      <xdr:rowOff>1357313</xdr:rowOff>
    </xdr:to>
    <xdr:pic>
      <xdr:nvPicPr>
        <xdr:cNvPr id="404" name="Picture 403" descr="Insight Picture 40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8881" y="30160913"/>
          <a:ext cx="2513363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3386597</xdr:colOff>
      <xdr:row>21</xdr:row>
      <xdr:rowOff>61913</xdr:rowOff>
    </xdr:from>
    <xdr:to>
      <xdr:col>2</xdr:col>
      <xdr:colOff>5252578</xdr:colOff>
      <xdr:row>21</xdr:row>
      <xdr:rowOff>1452563</xdr:rowOff>
    </xdr:to>
    <xdr:pic>
      <xdr:nvPicPr>
        <xdr:cNvPr id="405" name="Picture 404" descr="Insight Picture 404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72" y="31580138"/>
          <a:ext cx="1865981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3262833</xdr:colOff>
      <xdr:row>22</xdr:row>
      <xdr:rowOff>61913</xdr:rowOff>
    </xdr:from>
    <xdr:to>
      <xdr:col>2</xdr:col>
      <xdr:colOff>5376343</xdr:colOff>
      <xdr:row>22</xdr:row>
      <xdr:rowOff>1452563</xdr:rowOff>
    </xdr:to>
    <xdr:pic>
      <xdr:nvPicPr>
        <xdr:cNvPr id="406" name="Picture 405" descr="Insight Picture 405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8808" y="33094613"/>
          <a:ext cx="2113510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3267593</xdr:colOff>
      <xdr:row>23</xdr:row>
      <xdr:rowOff>61913</xdr:rowOff>
    </xdr:from>
    <xdr:to>
      <xdr:col>2</xdr:col>
      <xdr:colOff>5371582</xdr:colOff>
      <xdr:row>23</xdr:row>
      <xdr:rowOff>2147888</xdr:rowOff>
    </xdr:to>
    <xdr:pic>
      <xdr:nvPicPr>
        <xdr:cNvPr id="407" name="Picture 406" descr="Insight Picture 406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568" y="34609088"/>
          <a:ext cx="2103989" cy="2085975"/>
        </a:xfrm>
        <a:prstGeom prst="rect">
          <a:avLst/>
        </a:prstGeom>
      </xdr:spPr>
    </xdr:pic>
    <xdr:clientData/>
  </xdr:twoCellAnchor>
  <xdr:twoCellAnchor editAs="oneCell">
    <xdr:from>
      <xdr:col>2</xdr:col>
      <xdr:colOff>2677333</xdr:colOff>
      <xdr:row>24</xdr:row>
      <xdr:rowOff>61913</xdr:rowOff>
    </xdr:from>
    <xdr:to>
      <xdr:col>2</xdr:col>
      <xdr:colOff>5961841</xdr:colOff>
      <xdr:row>24</xdr:row>
      <xdr:rowOff>1585913</xdr:rowOff>
    </xdr:to>
    <xdr:pic>
      <xdr:nvPicPr>
        <xdr:cNvPr id="408" name="Picture 407" descr="Insight Picture 407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3308" y="36818888"/>
          <a:ext cx="3284508" cy="152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2191797</xdr:colOff>
      <xdr:row>25</xdr:row>
      <xdr:rowOff>61913</xdr:rowOff>
    </xdr:from>
    <xdr:to>
      <xdr:col>2</xdr:col>
      <xdr:colOff>6447377</xdr:colOff>
      <xdr:row>25</xdr:row>
      <xdr:rowOff>1519238</xdr:rowOff>
    </xdr:to>
    <xdr:pic>
      <xdr:nvPicPr>
        <xdr:cNvPr id="409" name="Picture 408" descr="Insight Picture 408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7772" y="38466713"/>
          <a:ext cx="4255580" cy="1457325"/>
        </a:xfrm>
        <a:prstGeom prst="rect">
          <a:avLst/>
        </a:prstGeom>
      </xdr:spPr>
    </xdr:pic>
    <xdr:clientData/>
  </xdr:twoCellAnchor>
  <xdr:twoCellAnchor editAs="oneCell">
    <xdr:from>
      <xdr:col>2</xdr:col>
      <xdr:colOff>2929622</xdr:colOff>
      <xdr:row>26</xdr:row>
      <xdr:rowOff>61913</xdr:rowOff>
    </xdr:from>
    <xdr:to>
      <xdr:col>2</xdr:col>
      <xdr:colOff>5709554</xdr:colOff>
      <xdr:row>26</xdr:row>
      <xdr:rowOff>1757363</xdr:rowOff>
    </xdr:to>
    <xdr:pic>
      <xdr:nvPicPr>
        <xdr:cNvPr id="410" name="Picture 409" descr="Insight Picture 409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5597" y="40047863"/>
          <a:ext cx="2779932" cy="1695450"/>
        </a:xfrm>
        <a:prstGeom prst="rect">
          <a:avLst/>
        </a:prstGeom>
      </xdr:spPr>
    </xdr:pic>
    <xdr:clientData/>
  </xdr:twoCellAnchor>
  <xdr:twoCellAnchor editAs="oneCell">
    <xdr:from>
      <xdr:col>2</xdr:col>
      <xdr:colOff>3096227</xdr:colOff>
      <xdr:row>27</xdr:row>
      <xdr:rowOff>61913</xdr:rowOff>
    </xdr:from>
    <xdr:to>
      <xdr:col>2</xdr:col>
      <xdr:colOff>5542948</xdr:colOff>
      <xdr:row>27</xdr:row>
      <xdr:rowOff>1547813</xdr:rowOff>
    </xdr:to>
    <xdr:pic>
      <xdr:nvPicPr>
        <xdr:cNvPr id="411" name="Picture 410" descr="Insight Picture 410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2202" y="41867138"/>
          <a:ext cx="2446721" cy="1485900"/>
        </a:xfrm>
        <a:prstGeom prst="rect">
          <a:avLst/>
        </a:prstGeom>
      </xdr:spPr>
    </xdr:pic>
    <xdr:clientData/>
  </xdr:twoCellAnchor>
  <xdr:twoCellAnchor editAs="oneCell">
    <xdr:from>
      <xdr:col>2</xdr:col>
      <xdr:colOff>3581763</xdr:colOff>
      <xdr:row>28</xdr:row>
      <xdr:rowOff>61913</xdr:rowOff>
    </xdr:from>
    <xdr:to>
      <xdr:col>2</xdr:col>
      <xdr:colOff>5057412</xdr:colOff>
      <xdr:row>28</xdr:row>
      <xdr:rowOff>1281113</xdr:rowOff>
    </xdr:to>
    <xdr:pic>
      <xdr:nvPicPr>
        <xdr:cNvPr id="412" name="Picture 411" descr="Insight Picture 411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738" y="43476863"/>
          <a:ext cx="1475649" cy="1219200"/>
        </a:xfrm>
        <a:prstGeom prst="rect">
          <a:avLst/>
        </a:prstGeom>
      </xdr:spPr>
    </xdr:pic>
    <xdr:clientData/>
  </xdr:twoCellAnchor>
  <xdr:twoCellAnchor editAs="oneCell">
    <xdr:from>
      <xdr:col>2</xdr:col>
      <xdr:colOff>3258072</xdr:colOff>
      <xdr:row>29</xdr:row>
      <xdr:rowOff>61913</xdr:rowOff>
    </xdr:from>
    <xdr:to>
      <xdr:col>2</xdr:col>
      <xdr:colOff>5381102</xdr:colOff>
      <xdr:row>29</xdr:row>
      <xdr:rowOff>1233488</xdr:rowOff>
    </xdr:to>
    <xdr:pic>
      <xdr:nvPicPr>
        <xdr:cNvPr id="413" name="Picture 412" descr="Insight Picture 412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4047" y="44819888"/>
          <a:ext cx="2123030" cy="1171575"/>
        </a:xfrm>
        <a:prstGeom prst="rect">
          <a:avLst/>
        </a:prstGeom>
      </xdr:spPr>
    </xdr:pic>
    <xdr:clientData/>
  </xdr:twoCellAnchor>
  <xdr:twoCellAnchor editAs="oneCell">
    <xdr:from>
      <xdr:col>2</xdr:col>
      <xdr:colOff>3324715</xdr:colOff>
      <xdr:row>30</xdr:row>
      <xdr:rowOff>61913</xdr:rowOff>
    </xdr:from>
    <xdr:to>
      <xdr:col>2</xdr:col>
      <xdr:colOff>5314461</xdr:colOff>
      <xdr:row>30</xdr:row>
      <xdr:rowOff>1338263</xdr:rowOff>
    </xdr:to>
    <xdr:pic>
      <xdr:nvPicPr>
        <xdr:cNvPr id="414" name="Picture 413" descr="Insight Picture 413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690" y="46115288"/>
          <a:ext cx="1989746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3400877</xdr:colOff>
      <xdr:row>31</xdr:row>
      <xdr:rowOff>61913</xdr:rowOff>
    </xdr:from>
    <xdr:to>
      <xdr:col>2</xdr:col>
      <xdr:colOff>5238298</xdr:colOff>
      <xdr:row>31</xdr:row>
      <xdr:rowOff>1138238</xdr:rowOff>
    </xdr:to>
    <xdr:pic>
      <xdr:nvPicPr>
        <xdr:cNvPr id="415" name="Picture 414" descr="Insight Picture 41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852" y="47515463"/>
          <a:ext cx="1837421" cy="1076325"/>
        </a:xfrm>
        <a:prstGeom prst="rect">
          <a:avLst/>
        </a:prstGeom>
      </xdr:spPr>
    </xdr:pic>
    <xdr:clientData/>
  </xdr:twoCellAnchor>
  <xdr:twoCellAnchor editAs="oneCell">
    <xdr:from>
      <xdr:col>2</xdr:col>
      <xdr:colOff>3191430</xdr:colOff>
      <xdr:row>32</xdr:row>
      <xdr:rowOff>61913</xdr:rowOff>
    </xdr:from>
    <xdr:to>
      <xdr:col>2</xdr:col>
      <xdr:colOff>5447744</xdr:colOff>
      <xdr:row>32</xdr:row>
      <xdr:rowOff>1462088</xdr:rowOff>
    </xdr:to>
    <xdr:pic>
      <xdr:nvPicPr>
        <xdr:cNvPr id="416" name="Picture 415" descr="Insight Picture 415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7405" y="48715613"/>
          <a:ext cx="2256314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2901061</xdr:colOff>
      <xdr:row>33</xdr:row>
      <xdr:rowOff>61913</xdr:rowOff>
    </xdr:from>
    <xdr:to>
      <xdr:col>2</xdr:col>
      <xdr:colOff>5738115</xdr:colOff>
      <xdr:row>33</xdr:row>
      <xdr:rowOff>1347788</xdr:rowOff>
    </xdr:to>
    <xdr:pic>
      <xdr:nvPicPr>
        <xdr:cNvPr id="417" name="Picture 416" descr="Insight Picture 416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036" y="50239613"/>
          <a:ext cx="2837054" cy="1285875"/>
        </a:xfrm>
        <a:prstGeom prst="rect">
          <a:avLst/>
        </a:prstGeom>
      </xdr:spPr>
    </xdr:pic>
    <xdr:clientData/>
  </xdr:twoCellAnchor>
  <xdr:twoCellAnchor editAs="oneCell">
    <xdr:from>
      <xdr:col>2</xdr:col>
      <xdr:colOff>2477407</xdr:colOff>
      <xdr:row>34</xdr:row>
      <xdr:rowOff>61913</xdr:rowOff>
    </xdr:from>
    <xdr:to>
      <xdr:col>2</xdr:col>
      <xdr:colOff>6161769</xdr:colOff>
      <xdr:row>34</xdr:row>
      <xdr:rowOff>1347788</xdr:rowOff>
    </xdr:to>
    <xdr:pic>
      <xdr:nvPicPr>
        <xdr:cNvPr id="418" name="Picture 417" descr="Insight Picture 417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3382" y="51649313"/>
          <a:ext cx="3684362" cy="1285875"/>
        </a:xfrm>
        <a:prstGeom prst="rect">
          <a:avLst/>
        </a:prstGeom>
      </xdr:spPr>
    </xdr:pic>
    <xdr:clientData/>
  </xdr:twoCellAnchor>
  <xdr:twoCellAnchor editAs="oneCell">
    <xdr:from>
      <xdr:col>2</xdr:col>
      <xdr:colOff>2525008</xdr:colOff>
      <xdr:row>35</xdr:row>
      <xdr:rowOff>61913</xdr:rowOff>
    </xdr:from>
    <xdr:to>
      <xdr:col>2</xdr:col>
      <xdr:colOff>6114167</xdr:colOff>
      <xdr:row>35</xdr:row>
      <xdr:rowOff>1243013</xdr:rowOff>
    </xdr:to>
    <xdr:pic>
      <xdr:nvPicPr>
        <xdr:cNvPr id="419" name="Picture 418" descr="Insight Picture 418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983" y="53059013"/>
          <a:ext cx="3589159" cy="1181100"/>
        </a:xfrm>
        <a:prstGeom prst="rect">
          <a:avLst/>
        </a:prstGeom>
      </xdr:spPr>
    </xdr:pic>
    <xdr:clientData/>
  </xdr:twoCellAnchor>
  <xdr:twoCellAnchor editAs="oneCell">
    <xdr:from>
      <xdr:col>2</xdr:col>
      <xdr:colOff>3681726</xdr:colOff>
      <xdr:row>36</xdr:row>
      <xdr:rowOff>61913</xdr:rowOff>
    </xdr:from>
    <xdr:to>
      <xdr:col>2</xdr:col>
      <xdr:colOff>4957448</xdr:colOff>
      <xdr:row>36</xdr:row>
      <xdr:rowOff>2395538</xdr:rowOff>
    </xdr:to>
    <xdr:pic>
      <xdr:nvPicPr>
        <xdr:cNvPr id="420" name="Picture 419" descr="Insight Picture 419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7701" y="54363938"/>
          <a:ext cx="1275722" cy="2333625"/>
        </a:xfrm>
        <a:prstGeom prst="rect">
          <a:avLst/>
        </a:prstGeom>
      </xdr:spPr>
    </xdr:pic>
    <xdr:clientData/>
  </xdr:twoCellAnchor>
  <xdr:twoCellAnchor editAs="oneCell">
    <xdr:from>
      <xdr:col>2</xdr:col>
      <xdr:colOff>2453606</xdr:colOff>
      <xdr:row>37</xdr:row>
      <xdr:rowOff>61913</xdr:rowOff>
    </xdr:from>
    <xdr:to>
      <xdr:col>2</xdr:col>
      <xdr:colOff>6185569</xdr:colOff>
      <xdr:row>37</xdr:row>
      <xdr:rowOff>2071688</xdr:rowOff>
    </xdr:to>
    <xdr:pic>
      <xdr:nvPicPr>
        <xdr:cNvPr id="421" name="Picture 420" descr="Insight Picture 420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9581" y="56821388"/>
          <a:ext cx="3731963" cy="2009775"/>
        </a:xfrm>
        <a:prstGeom prst="rect">
          <a:avLst/>
        </a:prstGeom>
      </xdr:spPr>
    </xdr:pic>
    <xdr:clientData/>
  </xdr:twoCellAnchor>
  <xdr:twoCellAnchor editAs="oneCell">
    <xdr:from>
      <xdr:col>2</xdr:col>
      <xdr:colOff>3353276</xdr:colOff>
      <xdr:row>38</xdr:row>
      <xdr:rowOff>61913</xdr:rowOff>
    </xdr:from>
    <xdr:to>
      <xdr:col>2</xdr:col>
      <xdr:colOff>5285900</xdr:colOff>
      <xdr:row>38</xdr:row>
      <xdr:rowOff>1319213</xdr:rowOff>
    </xdr:to>
    <xdr:pic>
      <xdr:nvPicPr>
        <xdr:cNvPr id="422" name="Picture 421" descr="Insight Picture 421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9251" y="58954988"/>
          <a:ext cx="1932624" cy="1257300"/>
        </a:xfrm>
        <a:prstGeom prst="rect">
          <a:avLst/>
        </a:prstGeom>
      </xdr:spPr>
    </xdr:pic>
    <xdr:clientData/>
  </xdr:twoCellAnchor>
  <xdr:twoCellAnchor editAs="oneCell">
    <xdr:from>
      <xdr:col>2</xdr:col>
      <xdr:colOff>3443718</xdr:colOff>
      <xdr:row>39</xdr:row>
      <xdr:rowOff>61913</xdr:rowOff>
    </xdr:from>
    <xdr:to>
      <xdr:col>2</xdr:col>
      <xdr:colOff>5195456</xdr:colOff>
      <xdr:row>39</xdr:row>
      <xdr:rowOff>1385888</xdr:rowOff>
    </xdr:to>
    <xdr:pic>
      <xdr:nvPicPr>
        <xdr:cNvPr id="423" name="Picture 422" descr="Insight Picture 422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9693" y="60336113"/>
          <a:ext cx="1751738" cy="1323975"/>
        </a:xfrm>
        <a:prstGeom prst="rect">
          <a:avLst/>
        </a:prstGeom>
      </xdr:spPr>
    </xdr:pic>
    <xdr:clientData/>
  </xdr:twoCellAnchor>
  <xdr:twoCellAnchor editAs="oneCell">
    <xdr:from>
      <xdr:col>2</xdr:col>
      <xdr:colOff>3391357</xdr:colOff>
      <xdr:row>40</xdr:row>
      <xdr:rowOff>61913</xdr:rowOff>
    </xdr:from>
    <xdr:to>
      <xdr:col>2</xdr:col>
      <xdr:colOff>5247819</xdr:colOff>
      <xdr:row>40</xdr:row>
      <xdr:rowOff>1481138</xdr:rowOff>
    </xdr:to>
    <xdr:pic>
      <xdr:nvPicPr>
        <xdr:cNvPr id="424" name="Picture 423" descr="Insight Picture 423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7332" y="61783913"/>
          <a:ext cx="1856462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2905821</xdr:colOff>
      <xdr:row>41</xdr:row>
      <xdr:rowOff>61913</xdr:rowOff>
    </xdr:from>
    <xdr:to>
      <xdr:col>2</xdr:col>
      <xdr:colOff>5733354</xdr:colOff>
      <xdr:row>41</xdr:row>
      <xdr:rowOff>1490663</xdr:rowOff>
    </xdr:to>
    <xdr:pic>
      <xdr:nvPicPr>
        <xdr:cNvPr id="425" name="Picture 424" descr="Insight Picture 424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796" y="63326963"/>
          <a:ext cx="2827533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2463126</xdr:colOff>
      <xdr:row>42</xdr:row>
      <xdr:rowOff>61913</xdr:rowOff>
    </xdr:from>
    <xdr:to>
      <xdr:col>2</xdr:col>
      <xdr:colOff>6176048</xdr:colOff>
      <xdr:row>42</xdr:row>
      <xdr:rowOff>1481138</xdr:rowOff>
    </xdr:to>
    <xdr:pic>
      <xdr:nvPicPr>
        <xdr:cNvPr id="426" name="Picture 425" descr="Insight Picture 425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101" y="64879538"/>
          <a:ext cx="3712922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2996264</xdr:colOff>
      <xdr:row>43</xdr:row>
      <xdr:rowOff>61913</xdr:rowOff>
    </xdr:from>
    <xdr:to>
      <xdr:col>2</xdr:col>
      <xdr:colOff>5642911</xdr:colOff>
      <xdr:row>43</xdr:row>
      <xdr:rowOff>1357313</xdr:rowOff>
    </xdr:to>
    <xdr:pic>
      <xdr:nvPicPr>
        <xdr:cNvPr id="427" name="Picture 426" descr="Insight Picture 426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239" y="66422588"/>
          <a:ext cx="2646647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3205711</xdr:colOff>
      <xdr:row>44</xdr:row>
      <xdr:rowOff>61913</xdr:rowOff>
    </xdr:from>
    <xdr:to>
      <xdr:col>2</xdr:col>
      <xdr:colOff>5433465</xdr:colOff>
      <xdr:row>44</xdr:row>
      <xdr:rowOff>1452563</xdr:rowOff>
    </xdr:to>
    <xdr:pic>
      <xdr:nvPicPr>
        <xdr:cNvPr id="428" name="Picture 427" descr="Insight Picture 427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86" y="67841813"/>
          <a:ext cx="2227754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3310434</xdr:colOff>
      <xdr:row>45</xdr:row>
      <xdr:rowOff>61913</xdr:rowOff>
    </xdr:from>
    <xdr:to>
      <xdr:col>2</xdr:col>
      <xdr:colOff>5328740</xdr:colOff>
      <xdr:row>45</xdr:row>
      <xdr:rowOff>1795463</xdr:rowOff>
    </xdr:to>
    <xdr:pic>
      <xdr:nvPicPr>
        <xdr:cNvPr id="429" name="Picture 428" descr="Insight Picture 428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6409" y="69356288"/>
          <a:ext cx="2018306" cy="1733550"/>
        </a:xfrm>
        <a:prstGeom prst="rect">
          <a:avLst/>
        </a:prstGeom>
      </xdr:spPr>
    </xdr:pic>
    <xdr:clientData/>
  </xdr:twoCellAnchor>
  <xdr:twoCellAnchor editAs="oneCell">
    <xdr:from>
      <xdr:col>2</xdr:col>
      <xdr:colOff>3338995</xdr:colOff>
      <xdr:row>46</xdr:row>
      <xdr:rowOff>61913</xdr:rowOff>
    </xdr:from>
    <xdr:to>
      <xdr:col>2</xdr:col>
      <xdr:colOff>5300180</xdr:colOff>
      <xdr:row>46</xdr:row>
      <xdr:rowOff>1271588</xdr:rowOff>
    </xdr:to>
    <xdr:pic>
      <xdr:nvPicPr>
        <xdr:cNvPr id="430" name="Picture 429" descr="Insight Picture 429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4970" y="71213663"/>
          <a:ext cx="1961185" cy="1209675"/>
        </a:xfrm>
        <a:prstGeom prst="rect">
          <a:avLst/>
        </a:prstGeom>
      </xdr:spPr>
    </xdr:pic>
    <xdr:clientData/>
  </xdr:twoCellAnchor>
  <xdr:twoCellAnchor editAs="oneCell">
    <xdr:from>
      <xdr:col>2</xdr:col>
      <xdr:colOff>3457999</xdr:colOff>
      <xdr:row>47</xdr:row>
      <xdr:rowOff>61913</xdr:rowOff>
    </xdr:from>
    <xdr:to>
      <xdr:col>2</xdr:col>
      <xdr:colOff>5181176</xdr:colOff>
      <xdr:row>47</xdr:row>
      <xdr:rowOff>1338263</xdr:rowOff>
    </xdr:to>
    <xdr:pic>
      <xdr:nvPicPr>
        <xdr:cNvPr id="431" name="Picture 430" descr="Insight Picture 430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974" y="72547163"/>
          <a:ext cx="1723177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3315194</xdr:colOff>
      <xdr:row>48</xdr:row>
      <xdr:rowOff>61913</xdr:rowOff>
    </xdr:from>
    <xdr:to>
      <xdr:col>2</xdr:col>
      <xdr:colOff>5323981</xdr:colOff>
      <xdr:row>48</xdr:row>
      <xdr:rowOff>1233488</xdr:rowOff>
    </xdr:to>
    <xdr:pic>
      <xdr:nvPicPr>
        <xdr:cNvPr id="432" name="Picture 431" descr="Insight Picture 431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169" y="73947338"/>
          <a:ext cx="2008787" cy="1171575"/>
        </a:xfrm>
        <a:prstGeom prst="rect">
          <a:avLst/>
        </a:prstGeom>
      </xdr:spPr>
    </xdr:pic>
    <xdr:clientData/>
  </xdr:twoCellAnchor>
  <xdr:twoCellAnchor editAs="oneCell">
    <xdr:from>
      <xdr:col>2</xdr:col>
      <xdr:colOff>3162869</xdr:colOff>
      <xdr:row>49</xdr:row>
      <xdr:rowOff>61913</xdr:rowOff>
    </xdr:from>
    <xdr:to>
      <xdr:col>2</xdr:col>
      <xdr:colOff>5476306</xdr:colOff>
      <xdr:row>49</xdr:row>
      <xdr:rowOff>2024063</xdr:rowOff>
    </xdr:to>
    <xdr:pic>
      <xdr:nvPicPr>
        <xdr:cNvPr id="433" name="Picture 432" descr="Insight Picture 432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844" y="75242738"/>
          <a:ext cx="2313437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3048626</xdr:colOff>
      <xdr:row>50</xdr:row>
      <xdr:rowOff>61913</xdr:rowOff>
    </xdr:from>
    <xdr:to>
      <xdr:col>2</xdr:col>
      <xdr:colOff>5590550</xdr:colOff>
      <xdr:row>50</xdr:row>
      <xdr:rowOff>1347788</xdr:rowOff>
    </xdr:to>
    <xdr:pic>
      <xdr:nvPicPr>
        <xdr:cNvPr id="434" name="Picture 433" descr="Insight Picture 433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4601" y="77328713"/>
          <a:ext cx="2541924" cy="1285875"/>
        </a:xfrm>
        <a:prstGeom prst="rect">
          <a:avLst/>
        </a:prstGeom>
      </xdr:spPr>
    </xdr:pic>
    <xdr:clientData/>
  </xdr:twoCellAnchor>
  <xdr:twoCellAnchor editAs="oneCell">
    <xdr:from>
      <xdr:col>2</xdr:col>
      <xdr:colOff>3096227</xdr:colOff>
      <xdr:row>51</xdr:row>
      <xdr:rowOff>61913</xdr:rowOff>
    </xdr:from>
    <xdr:to>
      <xdr:col>2</xdr:col>
      <xdr:colOff>5542948</xdr:colOff>
      <xdr:row>51</xdr:row>
      <xdr:rowOff>1481138</xdr:rowOff>
    </xdr:to>
    <xdr:pic>
      <xdr:nvPicPr>
        <xdr:cNvPr id="435" name="Picture 434" descr="Insight Picture 434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2202" y="78738413"/>
          <a:ext cx="2446721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3719807</xdr:colOff>
      <xdr:row>52</xdr:row>
      <xdr:rowOff>61913</xdr:rowOff>
    </xdr:from>
    <xdr:to>
      <xdr:col>2</xdr:col>
      <xdr:colOff>4919367</xdr:colOff>
      <xdr:row>52</xdr:row>
      <xdr:rowOff>2624138</xdr:rowOff>
    </xdr:to>
    <xdr:pic>
      <xdr:nvPicPr>
        <xdr:cNvPr id="436" name="Picture 435" descr="Insight Picture 435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782" y="80281463"/>
          <a:ext cx="1199560" cy="2562225"/>
        </a:xfrm>
        <a:prstGeom prst="rect">
          <a:avLst/>
        </a:prstGeom>
      </xdr:spPr>
    </xdr:pic>
    <xdr:clientData/>
  </xdr:twoCellAnchor>
  <xdr:twoCellAnchor editAs="oneCell">
    <xdr:from>
      <xdr:col>2</xdr:col>
      <xdr:colOff>3581763</xdr:colOff>
      <xdr:row>53</xdr:row>
      <xdr:rowOff>61913</xdr:rowOff>
    </xdr:from>
    <xdr:to>
      <xdr:col>2</xdr:col>
      <xdr:colOff>5057412</xdr:colOff>
      <xdr:row>53</xdr:row>
      <xdr:rowOff>1281113</xdr:rowOff>
    </xdr:to>
    <xdr:pic>
      <xdr:nvPicPr>
        <xdr:cNvPr id="437" name="Picture 436" descr="Insight Picture 436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738" y="82967513"/>
          <a:ext cx="1475649" cy="1219200"/>
        </a:xfrm>
        <a:prstGeom prst="rect">
          <a:avLst/>
        </a:prstGeom>
      </xdr:spPr>
    </xdr:pic>
    <xdr:clientData/>
  </xdr:twoCellAnchor>
  <xdr:twoCellAnchor editAs="oneCell">
    <xdr:from>
      <xdr:col>2</xdr:col>
      <xdr:colOff>2915341</xdr:colOff>
      <xdr:row>54</xdr:row>
      <xdr:rowOff>61913</xdr:rowOff>
    </xdr:from>
    <xdr:to>
      <xdr:col>2</xdr:col>
      <xdr:colOff>5723834</xdr:colOff>
      <xdr:row>54</xdr:row>
      <xdr:rowOff>2090738</xdr:rowOff>
    </xdr:to>
    <xdr:pic>
      <xdr:nvPicPr>
        <xdr:cNvPr id="438" name="Picture 437" descr="Insight Picture 437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1316" y="84310538"/>
          <a:ext cx="2808493" cy="2028825"/>
        </a:xfrm>
        <a:prstGeom prst="rect">
          <a:avLst/>
        </a:prstGeom>
      </xdr:spPr>
    </xdr:pic>
    <xdr:clientData/>
  </xdr:twoCellAnchor>
  <xdr:twoCellAnchor editAs="oneCell">
    <xdr:from>
      <xdr:col>2</xdr:col>
      <xdr:colOff>2763016</xdr:colOff>
      <xdr:row>55</xdr:row>
      <xdr:rowOff>61913</xdr:rowOff>
    </xdr:from>
    <xdr:to>
      <xdr:col>2</xdr:col>
      <xdr:colOff>5876159</xdr:colOff>
      <xdr:row>55</xdr:row>
      <xdr:rowOff>1490663</xdr:rowOff>
    </xdr:to>
    <xdr:pic>
      <xdr:nvPicPr>
        <xdr:cNvPr id="439" name="Picture 438" descr="Insight Picture 438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991" y="86463188"/>
          <a:ext cx="3113143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2467886</xdr:colOff>
      <xdr:row>56</xdr:row>
      <xdr:rowOff>61913</xdr:rowOff>
    </xdr:from>
    <xdr:to>
      <xdr:col>2</xdr:col>
      <xdr:colOff>6171289</xdr:colOff>
      <xdr:row>56</xdr:row>
      <xdr:rowOff>2700338</xdr:rowOff>
    </xdr:to>
    <xdr:pic>
      <xdr:nvPicPr>
        <xdr:cNvPr id="440" name="Picture 439" descr="Insight Picture 439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3861" y="88015763"/>
          <a:ext cx="3703403" cy="2638425"/>
        </a:xfrm>
        <a:prstGeom prst="rect">
          <a:avLst/>
        </a:prstGeom>
      </xdr:spPr>
    </xdr:pic>
    <xdr:clientData/>
  </xdr:twoCellAnchor>
  <xdr:twoCellAnchor editAs="oneCell">
    <xdr:from>
      <xdr:col>2</xdr:col>
      <xdr:colOff>3258072</xdr:colOff>
      <xdr:row>57</xdr:row>
      <xdr:rowOff>61913</xdr:rowOff>
    </xdr:from>
    <xdr:to>
      <xdr:col>2</xdr:col>
      <xdr:colOff>5381102</xdr:colOff>
      <xdr:row>57</xdr:row>
      <xdr:rowOff>1233488</xdr:rowOff>
    </xdr:to>
    <xdr:pic>
      <xdr:nvPicPr>
        <xdr:cNvPr id="441" name="Picture 440" descr="Insight Picture 440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4047" y="90778013"/>
          <a:ext cx="2123030" cy="1171575"/>
        </a:xfrm>
        <a:prstGeom prst="rect">
          <a:avLst/>
        </a:prstGeom>
      </xdr:spPr>
    </xdr:pic>
    <xdr:clientData/>
  </xdr:twoCellAnchor>
  <xdr:twoCellAnchor editAs="oneCell">
    <xdr:from>
      <xdr:col>2</xdr:col>
      <xdr:colOff>2463126</xdr:colOff>
      <xdr:row>58</xdr:row>
      <xdr:rowOff>61913</xdr:rowOff>
    </xdr:from>
    <xdr:to>
      <xdr:col>2</xdr:col>
      <xdr:colOff>6176048</xdr:colOff>
      <xdr:row>58</xdr:row>
      <xdr:rowOff>1481138</xdr:rowOff>
    </xdr:to>
    <xdr:pic>
      <xdr:nvPicPr>
        <xdr:cNvPr id="442" name="Picture 441" descr="Insight Picture 441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101" y="92073413"/>
          <a:ext cx="3712922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2977223</xdr:colOff>
      <xdr:row>59</xdr:row>
      <xdr:rowOff>61913</xdr:rowOff>
    </xdr:from>
    <xdr:to>
      <xdr:col>2</xdr:col>
      <xdr:colOff>5661952</xdr:colOff>
      <xdr:row>59</xdr:row>
      <xdr:rowOff>1328738</xdr:rowOff>
    </xdr:to>
    <xdr:pic>
      <xdr:nvPicPr>
        <xdr:cNvPr id="443" name="Picture 442" descr="Insight Picture 442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3198" y="93616463"/>
          <a:ext cx="2684729" cy="1266825"/>
        </a:xfrm>
        <a:prstGeom prst="rect">
          <a:avLst/>
        </a:prstGeom>
      </xdr:spPr>
    </xdr:pic>
    <xdr:clientData/>
  </xdr:twoCellAnchor>
  <xdr:twoCellAnchor editAs="oneCell">
    <xdr:from>
      <xdr:col>2</xdr:col>
      <xdr:colOff>2977223</xdr:colOff>
      <xdr:row>60</xdr:row>
      <xdr:rowOff>61913</xdr:rowOff>
    </xdr:from>
    <xdr:to>
      <xdr:col>2</xdr:col>
      <xdr:colOff>5661952</xdr:colOff>
      <xdr:row>60</xdr:row>
      <xdr:rowOff>1433513</xdr:rowOff>
    </xdr:to>
    <xdr:pic>
      <xdr:nvPicPr>
        <xdr:cNvPr id="444" name="Picture 443" descr="Insight Picture 443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3198" y="95007113"/>
          <a:ext cx="2684729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2977223</xdr:colOff>
      <xdr:row>61</xdr:row>
      <xdr:rowOff>61913</xdr:rowOff>
    </xdr:from>
    <xdr:to>
      <xdr:col>2</xdr:col>
      <xdr:colOff>5661952</xdr:colOff>
      <xdr:row>61</xdr:row>
      <xdr:rowOff>1547813</xdr:rowOff>
    </xdr:to>
    <xdr:pic>
      <xdr:nvPicPr>
        <xdr:cNvPr id="445" name="Picture 444" descr="Insight Picture 444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3198" y="96502538"/>
          <a:ext cx="2684729" cy="1485900"/>
        </a:xfrm>
        <a:prstGeom prst="rect">
          <a:avLst/>
        </a:prstGeom>
      </xdr:spPr>
    </xdr:pic>
    <xdr:clientData/>
  </xdr:twoCellAnchor>
  <xdr:twoCellAnchor editAs="oneCell">
    <xdr:from>
      <xdr:col>2</xdr:col>
      <xdr:colOff>2929622</xdr:colOff>
      <xdr:row>62</xdr:row>
      <xdr:rowOff>61913</xdr:rowOff>
    </xdr:from>
    <xdr:to>
      <xdr:col>2</xdr:col>
      <xdr:colOff>5709554</xdr:colOff>
      <xdr:row>62</xdr:row>
      <xdr:rowOff>1328738</xdr:rowOff>
    </xdr:to>
    <xdr:pic>
      <xdr:nvPicPr>
        <xdr:cNvPr id="446" name="Picture 445" descr="Insight Picture 445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5597" y="98112263"/>
          <a:ext cx="2779932" cy="1266825"/>
        </a:xfrm>
        <a:prstGeom prst="rect">
          <a:avLst/>
        </a:prstGeom>
      </xdr:spPr>
    </xdr:pic>
    <xdr:clientData/>
  </xdr:twoCellAnchor>
  <xdr:twoCellAnchor editAs="oneCell">
    <xdr:from>
      <xdr:col>2</xdr:col>
      <xdr:colOff>2877260</xdr:colOff>
      <xdr:row>63</xdr:row>
      <xdr:rowOff>61913</xdr:rowOff>
    </xdr:from>
    <xdr:to>
      <xdr:col>2</xdr:col>
      <xdr:colOff>5761915</xdr:colOff>
      <xdr:row>63</xdr:row>
      <xdr:rowOff>1662113</xdr:rowOff>
    </xdr:to>
    <xdr:pic>
      <xdr:nvPicPr>
        <xdr:cNvPr id="447" name="Picture 446" descr="Insight Picture 446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3235" y="99502913"/>
          <a:ext cx="2884655" cy="1600200"/>
        </a:xfrm>
        <a:prstGeom prst="rect">
          <a:avLst/>
        </a:prstGeom>
      </xdr:spPr>
    </xdr:pic>
    <xdr:clientData/>
  </xdr:twoCellAnchor>
  <xdr:twoCellAnchor editAs="oneCell">
    <xdr:from>
      <xdr:col>2</xdr:col>
      <xdr:colOff>3334235</xdr:colOff>
      <xdr:row>64</xdr:row>
      <xdr:rowOff>61913</xdr:rowOff>
    </xdr:from>
    <xdr:to>
      <xdr:col>2</xdr:col>
      <xdr:colOff>5304940</xdr:colOff>
      <xdr:row>64</xdr:row>
      <xdr:rowOff>2071688</xdr:rowOff>
    </xdr:to>
    <xdr:pic>
      <xdr:nvPicPr>
        <xdr:cNvPr id="448" name="Picture 447" descr="Insight Picture 447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0210" y="101226938"/>
          <a:ext cx="1970705" cy="2009775"/>
        </a:xfrm>
        <a:prstGeom prst="rect">
          <a:avLst/>
        </a:prstGeom>
      </xdr:spPr>
    </xdr:pic>
    <xdr:clientData/>
  </xdr:twoCellAnchor>
  <xdr:twoCellAnchor editAs="oneCell">
    <xdr:from>
      <xdr:col>2</xdr:col>
      <xdr:colOff>2653533</xdr:colOff>
      <xdr:row>65</xdr:row>
      <xdr:rowOff>61913</xdr:rowOff>
    </xdr:from>
    <xdr:to>
      <xdr:col>2</xdr:col>
      <xdr:colOff>5985643</xdr:colOff>
      <xdr:row>65</xdr:row>
      <xdr:rowOff>1443038</xdr:rowOff>
    </xdr:to>
    <xdr:pic>
      <xdr:nvPicPr>
        <xdr:cNvPr id="449" name="Picture 448" descr="Insight Picture 448"/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9508" y="103360538"/>
          <a:ext cx="3332110" cy="1381125"/>
        </a:xfrm>
        <a:prstGeom prst="rect">
          <a:avLst/>
        </a:prstGeom>
      </xdr:spPr>
    </xdr:pic>
    <xdr:clientData/>
  </xdr:twoCellAnchor>
  <xdr:twoCellAnchor editAs="oneCell">
    <xdr:from>
      <xdr:col>2</xdr:col>
      <xdr:colOff>2639252</xdr:colOff>
      <xdr:row>66</xdr:row>
      <xdr:rowOff>61913</xdr:rowOff>
    </xdr:from>
    <xdr:to>
      <xdr:col>2</xdr:col>
      <xdr:colOff>5999923</xdr:colOff>
      <xdr:row>66</xdr:row>
      <xdr:rowOff>1395413</xdr:rowOff>
    </xdr:to>
    <xdr:pic>
      <xdr:nvPicPr>
        <xdr:cNvPr id="450" name="Picture 449" descr="Insight Picture 449"/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5227" y="104865488"/>
          <a:ext cx="3360671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3391357</xdr:colOff>
      <xdr:row>67</xdr:row>
      <xdr:rowOff>61913</xdr:rowOff>
    </xdr:from>
    <xdr:to>
      <xdr:col>2</xdr:col>
      <xdr:colOff>5247819</xdr:colOff>
      <xdr:row>67</xdr:row>
      <xdr:rowOff>1757363</xdr:rowOff>
    </xdr:to>
    <xdr:pic>
      <xdr:nvPicPr>
        <xdr:cNvPr id="451" name="Picture 450" descr="Insight Picture 450"/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7332" y="106322813"/>
          <a:ext cx="1856462" cy="1695450"/>
        </a:xfrm>
        <a:prstGeom prst="rect">
          <a:avLst/>
        </a:prstGeom>
      </xdr:spPr>
    </xdr:pic>
    <xdr:clientData/>
  </xdr:twoCellAnchor>
  <xdr:twoCellAnchor editAs="oneCell">
    <xdr:from>
      <xdr:col>2</xdr:col>
      <xdr:colOff>3358035</xdr:colOff>
      <xdr:row>68</xdr:row>
      <xdr:rowOff>61913</xdr:rowOff>
    </xdr:from>
    <xdr:to>
      <xdr:col>2</xdr:col>
      <xdr:colOff>5281139</xdr:colOff>
      <xdr:row>68</xdr:row>
      <xdr:rowOff>1976438</xdr:rowOff>
    </xdr:to>
    <xdr:pic>
      <xdr:nvPicPr>
        <xdr:cNvPr id="452" name="Picture 451" descr="Insight Picture 451"/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010" y="108142088"/>
          <a:ext cx="1923104" cy="1914525"/>
        </a:xfrm>
        <a:prstGeom prst="rect">
          <a:avLst/>
        </a:prstGeom>
      </xdr:spPr>
    </xdr:pic>
    <xdr:clientData/>
  </xdr:twoCellAnchor>
  <xdr:twoCellAnchor editAs="oneCell">
    <xdr:from>
      <xdr:col>2</xdr:col>
      <xdr:colOff>2463126</xdr:colOff>
      <xdr:row>69</xdr:row>
      <xdr:rowOff>61913</xdr:rowOff>
    </xdr:from>
    <xdr:to>
      <xdr:col>2</xdr:col>
      <xdr:colOff>6176048</xdr:colOff>
      <xdr:row>69</xdr:row>
      <xdr:rowOff>1481138</xdr:rowOff>
    </xdr:to>
    <xdr:pic>
      <xdr:nvPicPr>
        <xdr:cNvPr id="453" name="Picture 452" descr="Insight Picture 452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101" y="110180438"/>
          <a:ext cx="3712922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3434198</xdr:colOff>
      <xdr:row>70</xdr:row>
      <xdr:rowOff>61913</xdr:rowOff>
    </xdr:from>
    <xdr:to>
      <xdr:col>2</xdr:col>
      <xdr:colOff>5204977</xdr:colOff>
      <xdr:row>70</xdr:row>
      <xdr:rowOff>1728788</xdr:rowOff>
    </xdr:to>
    <xdr:pic>
      <xdr:nvPicPr>
        <xdr:cNvPr id="454" name="Picture 453" descr="Insight Picture 453"/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0173" y="111723488"/>
          <a:ext cx="1770779" cy="1666875"/>
        </a:xfrm>
        <a:prstGeom prst="rect">
          <a:avLst/>
        </a:prstGeom>
      </xdr:spPr>
    </xdr:pic>
    <xdr:clientData/>
  </xdr:twoCellAnchor>
  <xdr:twoCellAnchor editAs="oneCell">
    <xdr:from>
      <xdr:col>2</xdr:col>
      <xdr:colOff>3448479</xdr:colOff>
      <xdr:row>71</xdr:row>
      <xdr:rowOff>61913</xdr:rowOff>
    </xdr:from>
    <xdr:to>
      <xdr:col>2</xdr:col>
      <xdr:colOff>5190697</xdr:colOff>
      <xdr:row>71</xdr:row>
      <xdr:rowOff>1338263</xdr:rowOff>
    </xdr:to>
    <xdr:pic>
      <xdr:nvPicPr>
        <xdr:cNvPr id="455" name="Picture 454" descr="Insight Picture 454"/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454" y="113514188"/>
          <a:ext cx="1742218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3581763</xdr:colOff>
      <xdr:row>72</xdr:row>
      <xdr:rowOff>61913</xdr:rowOff>
    </xdr:from>
    <xdr:to>
      <xdr:col>2</xdr:col>
      <xdr:colOff>5057412</xdr:colOff>
      <xdr:row>72</xdr:row>
      <xdr:rowOff>1395413</xdr:rowOff>
    </xdr:to>
    <xdr:pic>
      <xdr:nvPicPr>
        <xdr:cNvPr id="456" name="Picture 455" descr="Insight Picture 455"/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738" y="114914363"/>
          <a:ext cx="1475649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3605564</xdr:colOff>
      <xdr:row>73</xdr:row>
      <xdr:rowOff>61913</xdr:rowOff>
    </xdr:from>
    <xdr:to>
      <xdr:col>2</xdr:col>
      <xdr:colOff>5033611</xdr:colOff>
      <xdr:row>73</xdr:row>
      <xdr:rowOff>1462088</xdr:rowOff>
    </xdr:to>
    <xdr:pic>
      <xdr:nvPicPr>
        <xdr:cNvPr id="457" name="Picture 456" descr="Insight Picture 456"/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1539" y="116371688"/>
          <a:ext cx="1428047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3377076</xdr:colOff>
      <xdr:row>74</xdr:row>
      <xdr:rowOff>61913</xdr:rowOff>
    </xdr:from>
    <xdr:to>
      <xdr:col>2</xdr:col>
      <xdr:colOff>5262098</xdr:colOff>
      <xdr:row>74</xdr:row>
      <xdr:rowOff>1776413</xdr:rowOff>
    </xdr:to>
    <xdr:pic>
      <xdr:nvPicPr>
        <xdr:cNvPr id="458" name="Picture 457" descr="Insight Picture 457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051" y="117895688"/>
          <a:ext cx="1885022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2929622</xdr:colOff>
      <xdr:row>75</xdr:row>
      <xdr:rowOff>61913</xdr:rowOff>
    </xdr:from>
    <xdr:to>
      <xdr:col>2</xdr:col>
      <xdr:colOff>5709554</xdr:colOff>
      <xdr:row>75</xdr:row>
      <xdr:rowOff>1328738</xdr:rowOff>
    </xdr:to>
    <xdr:pic>
      <xdr:nvPicPr>
        <xdr:cNvPr id="459" name="Picture 458" descr="Insight Picture 458"/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5597" y="119734013"/>
          <a:ext cx="2779932" cy="1266825"/>
        </a:xfrm>
        <a:prstGeom prst="rect">
          <a:avLst/>
        </a:prstGeom>
      </xdr:spPr>
    </xdr:pic>
    <xdr:clientData/>
  </xdr:twoCellAnchor>
  <xdr:twoCellAnchor editAs="oneCell">
    <xdr:from>
      <xdr:col>2</xdr:col>
      <xdr:colOff>3448479</xdr:colOff>
      <xdr:row>76</xdr:row>
      <xdr:rowOff>61913</xdr:rowOff>
    </xdr:from>
    <xdr:to>
      <xdr:col>2</xdr:col>
      <xdr:colOff>5190697</xdr:colOff>
      <xdr:row>76</xdr:row>
      <xdr:rowOff>1338263</xdr:rowOff>
    </xdr:to>
    <xdr:pic>
      <xdr:nvPicPr>
        <xdr:cNvPr id="460" name="Picture 459" descr="Insight Picture 459"/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454" y="121124663"/>
          <a:ext cx="1742218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3567483</xdr:colOff>
      <xdr:row>77</xdr:row>
      <xdr:rowOff>61913</xdr:rowOff>
    </xdr:from>
    <xdr:to>
      <xdr:col>2</xdr:col>
      <xdr:colOff>5071693</xdr:colOff>
      <xdr:row>77</xdr:row>
      <xdr:rowOff>1338263</xdr:rowOff>
    </xdr:to>
    <xdr:pic>
      <xdr:nvPicPr>
        <xdr:cNvPr id="461" name="Picture 460" descr="Insight Picture 460"/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458" y="122524838"/>
          <a:ext cx="1504210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3091467</xdr:colOff>
      <xdr:row>78</xdr:row>
      <xdr:rowOff>61913</xdr:rowOff>
    </xdr:from>
    <xdr:to>
      <xdr:col>2</xdr:col>
      <xdr:colOff>5547708</xdr:colOff>
      <xdr:row>78</xdr:row>
      <xdr:rowOff>833438</xdr:rowOff>
    </xdr:to>
    <xdr:pic>
      <xdr:nvPicPr>
        <xdr:cNvPr id="462" name="Picture 461" descr="Insight Picture 461"/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7442" y="123925013"/>
          <a:ext cx="2456241" cy="771525"/>
        </a:xfrm>
        <a:prstGeom prst="rect">
          <a:avLst/>
        </a:prstGeom>
      </xdr:spPr>
    </xdr:pic>
    <xdr:clientData/>
  </xdr:twoCellAnchor>
  <xdr:twoCellAnchor editAs="oneCell">
    <xdr:from>
      <xdr:col>2</xdr:col>
      <xdr:colOff>3315194</xdr:colOff>
      <xdr:row>79</xdr:row>
      <xdr:rowOff>61913</xdr:rowOff>
    </xdr:from>
    <xdr:to>
      <xdr:col>2</xdr:col>
      <xdr:colOff>5323981</xdr:colOff>
      <xdr:row>79</xdr:row>
      <xdr:rowOff>1157288</xdr:rowOff>
    </xdr:to>
    <xdr:pic>
      <xdr:nvPicPr>
        <xdr:cNvPr id="463" name="Picture 462" descr="Insight Picture 462"/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1169" y="124820363"/>
          <a:ext cx="2008787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3258072</xdr:colOff>
      <xdr:row>80</xdr:row>
      <xdr:rowOff>61913</xdr:rowOff>
    </xdr:from>
    <xdr:to>
      <xdr:col>2</xdr:col>
      <xdr:colOff>5381102</xdr:colOff>
      <xdr:row>80</xdr:row>
      <xdr:rowOff>1471613</xdr:rowOff>
    </xdr:to>
    <xdr:pic>
      <xdr:nvPicPr>
        <xdr:cNvPr id="464" name="Picture 463" descr="Insight Picture 463"/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4047" y="126039563"/>
          <a:ext cx="2123030" cy="1409700"/>
        </a:xfrm>
        <a:prstGeom prst="rect">
          <a:avLst/>
        </a:prstGeom>
      </xdr:spPr>
    </xdr:pic>
    <xdr:clientData/>
  </xdr:twoCellAnchor>
  <xdr:twoCellAnchor editAs="oneCell">
    <xdr:from>
      <xdr:col>2</xdr:col>
      <xdr:colOff>3738848</xdr:colOff>
      <xdr:row>81</xdr:row>
      <xdr:rowOff>61913</xdr:rowOff>
    </xdr:from>
    <xdr:to>
      <xdr:col>2</xdr:col>
      <xdr:colOff>4900327</xdr:colOff>
      <xdr:row>81</xdr:row>
      <xdr:rowOff>1985963</xdr:rowOff>
    </xdr:to>
    <xdr:pic>
      <xdr:nvPicPr>
        <xdr:cNvPr id="465" name="Picture 464" descr="Insight Picture 464"/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4823" y="127573088"/>
          <a:ext cx="1161479" cy="1924050"/>
        </a:xfrm>
        <a:prstGeom prst="rect">
          <a:avLst/>
        </a:prstGeom>
      </xdr:spPr>
    </xdr:pic>
    <xdr:clientData/>
  </xdr:twoCellAnchor>
  <xdr:twoCellAnchor editAs="oneCell">
    <xdr:from>
      <xdr:col>2</xdr:col>
      <xdr:colOff>3248552</xdr:colOff>
      <xdr:row>82</xdr:row>
      <xdr:rowOff>61913</xdr:rowOff>
    </xdr:from>
    <xdr:to>
      <xdr:col>2</xdr:col>
      <xdr:colOff>5390623</xdr:colOff>
      <xdr:row>82</xdr:row>
      <xdr:rowOff>1871663</xdr:rowOff>
    </xdr:to>
    <xdr:pic>
      <xdr:nvPicPr>
        <xdr:cNvPr id="466" name="Picture 465" descr="Insight Picture 465"/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527" y="129620963"/>
          <a:ext cx="2142071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2924861</xdr:colOff>
      <xdr:row>83</xdr:row>
      <xdr:rowOff>61913</xdr:rowOff>
    </xdr:from>
    <xdr:to>
      <xdr:col>2</xdr:col>
      <xdr:colOff>5714313</xdr:colOff>
      <xdr:row>83</xdr:row>
      <xdr:rowOff>1576388</xdr:rowOff>
    </xdr:to>
    <xdr:pic>
      <xdr:nvPicPr>
        <xdr:cNvPr id="467" name="Picture 466" descr="Insight Picture 466"/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836" y="131554538"/>
          <a:ext cx="2789452" cy="15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3500841</xdr:colOff>
      <xdr:row>84</xdr:row>
      <xdr:rowOff>61913</xdr:rowOff>
    </xdr:from>
    <xdr:to>
      <xdr:col>2</xdr:col>
      <xdr:colOff>5138335</xdr:colOff>
      <xdr:row>84</xdr:row>
      <xdr:rowOff>1966913</xdr:rowOff>
    </xdr:to>
    <xdr:pic>
      <xdr:nvPicPr>
        <xdr:cNvPr id="468" name="Picture 467" descr="Insight Picture 467"/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6816" y="133192838"/>
          <a:ext cx="1637494" cy="1905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3472280</xdr:colOff>
      <xdr:row>85</xdr:row>
      <xdr:rowOff>61913</xdr:rowOff>
    </xdr:from>
    <xdr:to>
      <xdr:col>2</xdr:col>
      <xdr:colOff>5166896</xdr:colOff>
      <xdr:row>85</xdr:row>
      <xdr:rowOff>1614488</xdr:rowOff>
    </xdr:to>
    <xdr:pic>
      <xdr:nvPicPr>
        <xdr:cNvPr id="469" name="Picture 468" descr="Insight Picture 468"/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8255" y="135221663"/>
          <a:ext cx="1694616" cy="1552575"/>
        </a:xfrm>
        <a:prstGeom prst="rect">
          <a:avLst/>
        </a:prstGeom>
      </xdr:spPr>
    </xdr:pic>
    <xdr:clientData/>
  </xdr:twoCellAnchor>
  <xdr:twoCellAnchor editAs="oneCell">
    <xdr:from>
      <xdr:col>2</xdr:col>
      <xdr:colOff>3448479</xdr:colOff>
      <xdr:row>86</xdr:row>
      <xdr:rowOff>61913</xdr:rowOff>
    </xdr:from>
    <xdr:to>
      <xdr:col>2</xdr:col>
      <xdr:colOff>5190697</xdr:colOff>
      <xdr:row>86</xdr:row>
      <xdr:rowOff>1328738</xdr:rowOff>
    </xdr:to>
    <xdr:pic>
      <xdr:nvPicPr>
        <xdr:cNvPr id="470" name="Picture 469" descr="Insight Picture 469"/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454" y="136898063"/>
          <a:ext cx="1742218" cy="1266825"/>
        </a:xfrm>
        <a:prstGeom prst="rect">
          <a:avLst/>
        </a:prstGeom>
      </xdr:spPr>
    </xdr:pic>
    <xdr:clientData/>
  </xdr:twoCellAnchor>
  <xdr:twoCellAnchor editAs="oneCell">
    <xdr:from>
      <xdr:col>2</xdr:col>
      <xdr:colOff>2839179</xdr:colOff>
      <xdr:row>87</xdr:row>
      <xdr:rowOff>61913</xdr:rowOff>
    </xdr:from>
    <xdr:to>
      <xdr:col>2</xdr:col>
      <xdr:colOff>5799997</xdr:colOff>
      <xdr:row>87</xdr:row>
      <xdr:rowOff>1433513</xdr:rowOff>
    </xdr:to>
    <xdr:pic>
      <xdr:nvPicPr>
        <xdr:cNvPr id="471" name="Picture 470" descr="Insight Picture 470"/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154" y="138288713"/>
          <a:ext cx="2960818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2901061</xdr:colOff>
      <xdr:row>88</xdr:row>
      <xdr:rowOff>61913</xdr:rowOff>
    </xdr:from>
    <xdr:to>
      <xdr:col>2</xdr:col>
      <xdr:colOff>5738115</xdr:colOff>
      <xdr:row>88</xdr:row>
      <xdr:rowOff>1347788</xdr:rowOff>
    </xdr:to>
    <xdr:pic>
      <xdr:nvPicPr>
        <xdr:cNvPr id="472" name="Picture 471" descr="Insight Picture 471"/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036" y="139784138"/>
          <a:ext cx="2837054" cy="1285875"/>
        </a:xfrm>
        <a:prstGeom prst="rect">
          <a:avLst/>
        </a:prstGeom>
      </xdr:spPr>
    </xdr:pic>
    <xdr:clientData/>
  </xdr:twoCellAnchor>
  <xdr:twoCellAnchor editAs="oneCell">
    <xdr:from>
      <xdr:col>2</xdr:col>
      <xdr:colOff>3348515</xdr:colOff>
      <xdr:row>89</xdr:row>
      <xdr:rowOff>61913</xdr:rowOff>
    </xdr:from>
    <xdr:to>
      <xdr:col>2</xdr:col>
      <xdr:colOff>5290659</xdr:colOff>
      <xdr:row>89</xdr:row>
      <xdr:rowOff>1452563</xdr:rowOff>
    </xdr:to>
    <xdr:pic>
      <xdr:nvPicPr>
        <xdr:cNvPr id="473" name="Picture 472" descr="Insight Picture 472"/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4490" y="141193838"/>
          <a:ext cx="1942144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3381837</xdr:colOff>
      <xdr:row>90</xdr:row>
      <xdr:rowOff>61913</xdr:rowOff>
    </xdr:from>
    <xdr:to>
      <xdr:col>2</xdr:col>
      <xdr:colOff>5257339</xdr:colOff>
      <xdr:row>90</xdr:row>
      <xdr:rowOff>1223963</xdr:rowOff>
    </xdr:to>
    <xdr:pic>
      <xdr:nvPicPr>
        <xdr:cNvPr id="474" name="Picture 473" descr="Insight Picture 473"/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812" y="142708313"/>
          <a:ext cx="1875502" cy="1162050"/>
        </a:xfrm>
        <a:prstGeom prst="rect">
          <a:avLst/>
        </a:prstGeom>
      </xdr:spPr>
    </xdr:pic>
    <xdr:clientData/>
  </xdr:twoCellAnchor>
  <xdr:twoCellAnchor editAs="oneCell">
    <xdr:from>
      <xdr:col>2</xdr:col>
      <xdr:colOff>2691614</xdr:colOff>
      <xdr:row>91</xdr:row>
      <xdr:rowOff>61913</xdr:rowOff>
    </xdr:from>
    <xdr:to>
      <xdr:col>2</xdr:col>
      <xdr:colOff>5947561</xdr:colOff>
      <xdr:row>91</xdr:row>
      <xdr:rowOff>1357313</xdr:rowOff>
    </xdr:to>
    <xdr:pic>
      <xdr:nvPicPr>
        <xdr:cNvPr id="475" name="Picture 474" descr="Insight Picture 474"/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7589" y="143994188"/>
          <a:ext cx="3255947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3248552</xdr:colOff>
      <xdr:row>92</xdr:row>
      <xdr:rowOff>61913</xdr:rowOff>
    </xdr:from>
    <xdr:to>
      <xdr:col>2</xdr:col>
      <xdr:colOff>5390623</xdr:colOff>
      <xdr:row>92</xdr:row>
      <xdr:rowOff>1223963</xdr:rowOff>
    </xdr:to>
    <xdr:pic>
      <xdr:nvPicPr>
        <xdr:cNvPr id="476" name="Picture 475" descr="Insight Picture 475"/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527" y="145413413"/>
          <a:ext cx="2142071" cy="1162050"/>
        </a:xfrm>
        <a:prstGeom prst="rect">
          <a:avLst/>
        </a:prstGeom>
      </xdr:spPr>
    </xdr:pic>
    <xdr:clientData/>
  </xdr:twoCellAnchor>
  <xdr:twoCellAnchor editAs="oneCell">
    <xdr:from>
      <xdr:col>2</xdr:col>
      <xdr:colOff>3139068</xdr:colOff>
      <xdr:row>93</xdr:row>
      <xdr:rowOff>61913</xdr:rowOff>
    </xdr:from>
    <xdr:to>
      <xdr:col>2</xdr:col>
      <xdr:colOff>5500106</xdr:colOff>
      <xdr:row>93</xdr:row>
      <xdr:rowOff>2100263</xdr:rowOff>
    </xdr:to>
    <xdr:pic>
      <xdr:nvPicPr>
        <xdr:cNvPr id="477" name="Picture 476" descr="Insight Picture 476"/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5043" y="146699288"/>
          <a:ext cx="2361038" cy="2038350"/>
        </a:xfrm>
        <a:prstGeom prst="rect">
          <a:avLst/>
        </a:prstGeom>
      </xdr:spPr>
    </xdr:pic>
    <xdr:clientData/>
  </xdr:twoCellAnchor>
  <xdr:twoCellAnchor editAs="oneCell">
    <xdr:from>
      <xdr:col>2</xdr:col>
      <xdr:colOff>3824531</xdr:colOff>
      <xdr:row>94</xdr:row>
      <xdr:rowOff>61913</xdr:rowOff>
    </xdr:from>
    <xdr:to>
      <xdr:col>2</xdr:col>
      <xdr:colOff>4814644</xdr:colOff>
      <xdr:row>94</xdr:row>
      <xdr:rowOff>1766888</xdr:rowOff>
    </xdr:to>
    <xdr:pic>
      <xdr:nvPicPr>
        <xdr:cNvPr id="478" name="Picture 477" descr="Insight Picture 477"/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506" y="148861463"/>
          <a:ext cx="990113" cy="17049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3815011</xdr:colOff>
      <xdr:row>95</xdr:row>
      <xdr:rowOff>61913</xdr:rowOff>
    </xdr:from>
    <xdr:to>
      <xdr:col>2</xdr:col>
      <xdr:colOff>4824165</xdr:colOff>
      <xdr:row>95</xdr:row>
      <xdr:rowOff>1671638</xdr:rowOff>
    </xdr:to>
    <xdr:pic>
      <xdr:nvPicPr>
        <xdr:cNvPr id="479" name="Picture 478" descr="Insight Picture 478"/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0986" y="150690263"/>
          <a:ext cx="1009154" cy="1609725"/>
        </a:xfrm>
        <a:prstGeom prst="rect">
          <a:avLst/>
        </a:prstGeom>
      </xdr:spPr>
    </xdr:pic>
    <xdr:clientData/>
  </xdr:twoCellAnchor>
  <xdr:twoCellAnchor editAs="oneCell">
    <xdr:from>
      <xdr:col>2</xdr:col>
      <xdr:colOff>3386597</xdr:colOff>
      <xdr:row>96</xdr:row>
      <xdr:rowOff>61913</xdr:rowOff>
    </xdr:from>
    <xdr:to>
      <xdr:col>2</xdr:col>
      <xdr:colOff>5252578</xdr:colOff>
      <xdr:row>96</xdr:row>
      <xdr:rowOff>1385888</xdr:rowOff>
    </xdr:to>
    <xdr:pic>
      <xdr:nvPicPr>
        <xdr:cNvPr id="480" name="Picture 479" descr="Insight Picture 479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72" y="152423813"/>
          <a:ext cx="1865981" cy="1323975"/>
        </a:xfrm>
        <a:prstGeom prst="rect">
          <a:avLst/>
        </a:prstGeom>
      </xdr:spPr>
    </xdr:pic>
    <xdr:clientData/>
  </xdr:twoCellAnchor>
  <xdr:twoCellAnchor editAs="oneCell">
    <xdr:from>
      <xdr:col>2</xdr:col>
      <xdr:colOff>3581763</xdr:colOff>
      <xdr:row>97</xdr:row>
      <xdr:rowOff>61913</xdr:rowOff>
    </xdr:from>
    <xdr:to>
      <xdr:col>2</xdr:col>
      <xdr:colOff>5057412</xdr:colOff>
      <xdr:row>97</xdr:row>
      <xdr:rowOff>1281113</xdr:rowOff>
    </xdr:to>
    <xdr:pic>
      <xdr:nvPicPr>
        <xdr:cNvPr id="481" name="Picture 480" descr="Insight Picture 480"/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738" y="153871613"/>
          <a:ext cx="1475649" cy="1219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3581763</xdr:colOff>
      <xdr:row>98</xdr:row>
      <xdr:rowOff>61913</xdr:rowOff>
    </xdr:from>
    <xdr:to>
      <xdr:col>2</xdr:col>
      <xdr:colOff>5057412</xdr:colOff>
      <xdr:row>98</xdr:row>
      <xdr:rowOff>1281113</xdr:rowOff>
    </xdr:to>
    <xdr:pic>
      <xdr:nvPicPr>
        <xdr:cNvPr id="482" name="Picture 481" descr="Insight Picture 481"/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738" y="155214638"/>
          <a:ext cx="1475649" cy="1219200"/>
        </a:xfrm>
        <a:prstGeom prst="rect">
          <a:avLst/>
        </a:prstGeom>
      </xdr:spPr>
    </xdr:pic>
    <xdr:clientData/>
  </xdr:twoCellAnchor>
  <xdr:twoCellAnchor editAs="oneCell">
    <xdr:from>
      <xdr:col>2</xdr:col>
      <xdr:colOff>3519881</xdr:colOff>
      <xdr:row>99</xdr:row>
      <xdr:rowOff>61913</xdr:rowOff>
    </xdr:from>
    <xdr:to>
      <xdr:col>2</xdr:col>
      <xdr:colOff>5119294</xdr:colOff>
      <xdr:row>99</xdr:row>
      <xdr:rowOff>1157288</xdr:rowOff>
    </xdr:to>
    <xdr:pic>
      <xdr:nvPicPr>
        <xdr:cNvPr id="483" name="Picture 482" descr="Insight Picture 482"/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5856" y="156557663"/>
          <a:ext cx="1599413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3524641</xdr:colOff>
      <xdr:row>100</xdr:row>
      <xdr:rowOff>61913</xdr:rowOff>
    </xdr:from>
    <xdr:to>
      <xdr:col>2</xdr:col>
      <xdr:colOff>5114534</xdr:colOff>
      <xdr:row>100</xdr:row>
      <xdr:rowOff>1281113</xdr:rowOff>
    </xdr:to>
    <xdr:pic>
      <xdr:nvPicPr>
        <xdr:cNvPr id="484" name="Picture 483" descr="Insight Picture 483"/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0616" y="157776863"/>
          <a:ext cx="1589893" cy="1219200"/>
        </a:xfrm>
        <a:prstGeom prst="rect">
          <a:avLst/>
        </a:prstGeom>
      </xdr:spPr>
    </xdr:pic>
    <xdr:clientData/>
  </xdr:twoCellAnchor>
  <xdr:twoCellAnchor editAs="oneCell">
    <xdr:from>
      <xdr:col>2</xdr:col>
      <xdr:colOff>3824531</xdr:colOff>
      <xdr:row>101</xdr:row>
      <xdr:rowOff>61913</xdr:rowOff>
    </xdr:from>
    <xdr:to>
      <xdr:col>2</xdr:col>
      <xdr:colOff>4814644</xdr:colOff>
      <xdr:row>101</xdr:row>
      <xdr:rowOff>1643063</xdr:rowOff>
    </xdr:to>
    <xdr:pic>
      <xdr:nvPicPr>
        <xdr:cNvPr id="485" name="Picture 484" descr="Insight Picture 484"/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506" y="159119888"/>
          <a:ext cx="990113" cy="1581150"/>
        </a:xfrm>
        <a:prstGeom prst="rect">
          <a:avLst/>
        </a:prstGeom>
      </xdr:spPr>
    </xdr:pic>
    <xdr:clientData/>
  </xdr:twoCellAnchor>
  <xdr:twoCellAnchor editAs="oneCell">
    <xdr:from>
      <xdr:col>2</xdr:col>
      <xdr:colOff>3553202</xdr:colOff>
      <xdr:row>102</xdr:row>
      <xdr:rowOff>61913</xdr:rowOff>
    </xdr:from>
    <xdr:to>
      <xdr:col>2</xdr:col>
      <xdr:colOff>5085973</xdr:colOff>
      <xdr:row>102</xdr:row>
      <xdr:rowOff>1433513</xdr:rowOff>
    </xdr:to>
    <xdr:pic>
      <xdr:nvPicPr>
        <xdr:cNvPr id="486" name="Picture 485" descr="Insight Picture 485"/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9177" y="160824863"/>
          <a:ext cx="1532771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3377076</xdr:colOff>
      <xdr:row>103</xdr:row>
      <xdr:rowOff>61913</xdr:rowOff>
    </xdr:from>
    <xdr:to>
      <xdr:col>2</xdr:col>
      <xdr:colOff>5262098</xdr:colOff>
      <xdr:row>103</xdr:row>
      <xdr:rowOff>1243013</xdr:rowOff>
    </xdr:to>
    <xdr:pic>
      <xdr:nvPicPr>
        <xdr:cNvPr id="487" name="Picture 486" descr="Insight Picture 486"/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051" y="162320288"/>
          <a:ext cx="1885022" cy="1181100"/>
        </a:xfrm>
        <a:prstGeom prst="rect">
          <a:avLst/>
        </a:prstGeom>
      </xdr:spPr>
    </xdr:pic>
    <xdr:clientData/>
  </xdr:twoCellAnchor>
  <xdr:twoCellAnchor editAs="oneCell">
    <xdr:from>
      <xdr:col>2</xdr:col>
      <xdr:colOff>3443718</xdr:colOff>
      <xdr:row>104</xdr:row>
      <xdr:rowOff>61913</xdr:rowOff>
    </xdr:from>
    <xdr:to>
      <xdr:col>2</xdr:col>
      <xdr:colOff>5195456</xdr:colOff>
      <xdr:row>104</xdr:row>
      <xdr:rowOff>1385888</xdr:rowOff>
    </xdr:to>
    <xdr:pic>
      <xdr:nvPicPr>
        <xdr:cNvPr id="488" name="Picture 487" descr="Insight Picture 487"/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9693" y="163625213"/>
          <a:ext cx="1751738" cy="1323975"/>
        </a:xfrm>
        <a:prstGeom prst="rect">
          <a:avLst/>
        </a:prstGeom>
      </xdr:spPr>
    </xdr:pic>
    <xdr:clientData/>
  </xdr:twoCellAnchor>
  <xdr:twoCellAnchor editAs="oneCell">
    <xdr:from>
      <xdr:col>2</xdr:col>
      <xdr:colOff>3581763</xdr:colOff>
      <xdr:row>105</xdr:row>
      <xdr:rowOff>61913</xdr:rowOff>
    </xdr:from>
    <xdr:to>
      <xdr:col>2</xdr:col>
      <xdr:colOff>5057412</xdr:colOff>
      <xdr:row>105</xdr:row>
      <xdr:rowOff>1395413</xdr:rowOff>
    </xdr:to>
    <xdr:pic>
      <xdr:nvPicPr>
        <xdr:cNvPr id="489" name="Picture 488" descr="Insight Picture 488"/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738" y="165073013"/>
          <a:ext cx="1475649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2610691</xdr:colOff>
      <xdr:row>106</xdr:row>
      <xdr:rowOff>61913</xdr:rowOff>
    </xdr:from>
    <xdr:to>
      <xdr:col>2</xdr:col>
      <xdr:colOff>6028484</xdr:colOff>
      <xdr:row>106</xdr:row>
      <xdr:rowOff>1900238</xdr:rowOff>
    </xdr:to>
    <xdr:pic>
      <xdr:nvPicPr>
        <xdr:cNvPr id="490" name="Picture 489" descr="Insight Picture 489"/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6666" y="166530338"/>
          <a:ext cx="3417793" cy="1838325"/>
        </a:xfrm>
        <a:prstGeom prst="rect">
          <a:avLst/>
        </a:prstGeom>
      </xdr:spPr>
    </xdr:pic>
    <xdr:clientData/>
  </xdr:twoCellAnchor>
  <xdr:twoCellAnchor editAs="oneCell">
    <xdr:from>
      <xdr:col>2</xdr:col>
      <xdr:colOff>3515121</xdr:colOff>
      <xdr:row>107</xdr:row>
      <xdr:rowOff>61913</xdr:rowOff>
    </xdr:from>
    <xdr:to>
      <xdr:col>2</xdr:col>
      <xdr:colOff>5124054</xdr:colOff>
      <xdr:row>107</xdr:row>
      <xdr:rowOff>1462088</xdr:rowOff>
    </xdr:to>
    <xdr:pic>
      <xdr:nvPicPr>
        <xdr:cNvPr id="491" name="Picture 490" descr="Insight Picture 490"/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1096" y="168492488"/>
          <a:ext cx="1608933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3457999</xdr:colOff>
      <xdr:row>108</xdr:row>
      <xdr:rowOff>61913</xdr:rowOff>
    </xdr:from>
    <xdr:to>
      <xdr:col>2</xdr:col>
      <xdr:colOff>5181176</xdr:colOff>
      <xdr:row>108</xdr:row>
      <xdr:rowOff>1338263</xdr:rowOff>
    </xdr:to>
    <xdr:pic>
      <xdr:nvPicPr>
        <xdr:cNvPr id="492" name="Picture 491" descr="Insight Picture 491"/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974" y="170016488"/>
          <a:ext cx="1723177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3243792</xdr:colOff>
      <xdr:row>109</xdr:row>
      <xdr:rowOff>61913</xdr:rowOff>
    </xdr:from>
    <xdr:to>
      <xdr:col>2</xdr:col>
      <xdr:colOff>5395383</xdr:colOff>
      <xdr:row>109</xdr:row>
      <xdr:rowOff>1338263</xdr:rowOff>
    </xdr:to>
    <xdr:pic>
      <xdr:nvPicPr>
        <xdr:cNvPr id="493" name="Picture 492" descr="Insight Picture 492"/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9767" y="171416663"/>
          <a:ext cx="2151591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3177149</xdr:colOff>
      <xdr:row>110</xdr:row>
      <xdr:rowOff>61913</xdr:rowOff>
    </xdr:from>
    <xdr:to>
      <xdr:col>2</xdr:col>
      <xdr:colOff>5462025</xdr:colOff>
      <xdr:row>110</xdr:row>
      <xdr:rowOff>1538288</xdr:rowOff>
    </xdr:to>
    <xdr:pic>
      <xdr:nvPicPr>
        <xdr:cNvPr id="494" name="Picture 493" descr="Insight Picture 493"/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3124" y="172816838"/>
          <a:ext cx="2284876" cy="1476375"/>
        </a:xfrm>
        <a:prstGeom prst="rect">
          <a:avLst/>
        </a:prstGeom>
      </xdr:spPr>
    </xdr:pic>
    <xdr:clientData/>
  </xdr:twoCellAnchor>
  <xdr:twoCellAnchor editAs="oneCell">
    <xdr:from>
      <xdr:col>2</xdr:col>
      <xdr:colOff>3448479</xdr:colOff>
      <xdr:row>111</xdr:row>
      <xdr:rowOff>61913</xdr:rowOff>
    </xdr:from>
    <xdr:to>
      <xdr:col>2</xdr:col>
      <xdr:colOff>5190697</xdr:colOff>
      <xdr:row>111</xdr:row>
      <xdr:rowOff>1776413</xdr:rowOff>
    </xdr:to>
    <xdr:pic>
      <xdr:nvPicPr>
        <xdr:cNvPr id="495" name="Picture 494" descr="Insight Picture 494"/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454" y="174417038"/>
          <a:ext cx="1742218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3124788</xdr:colOff>
      <xdr:row>112</xdr:row>
      <xdr:rowOff>61913</xdr:rowOff>
    </xdr:from>
    <xdr:to>
      <xdr:col>2</xdr:col>
      <xdr:colOff>5514387</xdr:colOff>
      <xdr:row>112</xdr:row>
      <xdr:rowOff>1538288</xdr:rowOff>
    </xdr:to>
    <xdr:pic>
      <xdr:nvPicPr>
        <xdr:cNvPr id="496" name="Picture 495" descr="Insight Picture 495"/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763" y="176255363"/>
          <a:ext cx="2389599" cy="1476375"/>
        </a:xfrm>
        <a:prstGeom prst="rect">
          <a:avLst/>
        </a:prstGeom>
      </xdr:spPr>
    </xdr:pic>
    <xdr:clientData/>
  </xdr:twoCellAnchor>
  <xdr:twoCellAnchor editAs="oneCell">
    <xdr:from>
      <xdr:col>2</xdr:col>
      <xdr:colOff>2867740</xdr:colOff>
      <xdr:row>113</xdr:row>
      <xdr:rowOff>61913</xdr:rowOff>
    </xdr:from>
    <xdr:to>
      <xdr:col>2</xdr:col>
      <xdr:colOff>5771436</xdr:colOff>
      <xdr:row>113</xdr:row>
      <xdr:rowOff>1462088</xdr:rowOff>
    </xdr:to>
    <xdr:pic>
      <xdr:nvPicPr>
        <xdr:cNvPr id="497" name="Picture 496" descr="Insight Picture 496"/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715" y="177855563"/>
          <a:ext cx="2903696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2986743</xdr:colOff>
      <xdr:row>114</xdr:row>
      <xdr:rowOff>61913</xdr:rowOff>
    </xdr:from>
    <xdr:to>
      <xdr:col>2</xdr:col>
      <xdr:colOff>5652431</xdr:colOff>
      <xdr:row>114</xdr:row>
      <xdr:rowOff>1309688</xdr:rowOff>
    </xdr:to>
    <xdr:pic>
      <xdr:nvPicPr>
        <xdr:cNvPr id="498" name="Picture 497" descr="Insight Picture 497"/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718" y="179379563"/>
          <a:ext cx="2665688" cy="1247775"/>
        </a:xfrm>
        <a:prstGeom prst="rect">
          <a:avLst/>
        </a:prstGeom>
      </xdr:spPr>
    </xdr:pic>
    <xdr:clientData/>
  </xdr:twoCellAnchor>
  <xdr:twoCellAnchor editAs="oneCell">
    <xdr:from>
      <xdr:col>2</xdr:col>
      <xdr:colOff>3710287</xdr:colOff>
      <xdr:row>115</xdr:row>
      <xdr:rowOff>61913</xdr:rowOff>
    </xdr:from>
    <xdr:to>
      <xdr:col>2</xdr:col>
      <xdr:colOff>4928887</xdr:colOff>
      <xdr:row>115</xdr:row>
      <xdr:rowOff>2681288</xdr:rowOff>
    </xdr:to>
    <xdr:pic>
      <xdr:nvPicPr>
        <xdr:cNvPr id="499" name="Picture 498" descr="Insight Picture 498"/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262" y="180751163"/>
          <a:ext cx="1218600" cy="2619375"/>
        </a:xfrm>
        <a:prstGeom prst="rect">
          <a:avLst/>
        </a:prstGeom>
      </xdr:spPr>
    </xdr:pic>
    <xdr:clientData/>
  </xdr:twoCellAnchor>
  <xdr:twoCellAnchor editAs="oneCell">
    <xdr:from>
      <xdr:col>2</xdr:col>
      <xdr:colOff>2701134</xdr:colOff>
      <xdr:row>116</xdr:row>
      <xdr:rowOff>61913</xdr:rowOff>
    </xdr:from>
    <xdr:to>
      <xdr:col>2</xdr:col>
      <xdr:colOff>5938041</xdr:colOff>
      <xdr:row>116</xdr:row>
      <xdr:rowOff>1385888</xdr:rowOff>
    </xdr:to>
    <xdr:pic>
      <xdr:nvPicPr>
        <xdr:cNvPr id="500" name="Picture 499" descr="Insight Picture 499"/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7109" y="183494363"/>
          <a:ext cx="3236907" cy="1323975"/>
        </a:xfrm>
        <a:prstGeom prst="rect">
          <a:avLst/>
        </a:prstGeom>
      </xdr:spPr>
    </xdr:pic>
    <xdr:clientData/>
  </xdr:twoCellAnchor>
  <xdr:twoCellAnchor editAs="oneCell">
    <xdr:from>
      <xdr:col>2</xdr:col>
      <xdr:colOff>3210471</xdr:colOff>
      <xdr:row>117</xdr:row>
      <xdr:rowOff>61913</xdr:rowOff>
    </xdr:from>
    <xdr:to>
      <xdr:col>2</xdr:col>
      <xdr:colOff>5428704</xdr:colOff>
      <xdr:row>117</xdr:row>
      <xdr:rowOff>1385888</xdr:rowOff>
    </xdr:to>
    <xdr:pic>
      <xdr:nvPicPr>
        <xdr:cNvPr id="501" name="Picture 500" descr="Insight Picture 500"/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6446" y="184942163"/>
          <a:ext cx="2218233" cy="1323975"/>
        </a:xfrm>
        <a:prstGeom prst="rect">
          <a:avLst/>
        </a:prstGeom>
      </xdr:spPr>
    </xdr:pic>
    <xdr:clientData/>
  </xdr:twoCellAnchor>
  <xdr:twoCellAnchor editAs="oneCell">
    <xdr:from>
      <xdr:col>2</xdr:col>
      <xdr:colOff>3581763</xdr:colOff>
      <xdr:row>118</xdr:row>
      <xdr:rowOff>61913</xdr:rowOff>
    </xdr:from>
    <xdr:to>
      <xdr:col>2</xdr:col>
      <xdr:colOff>5057412</xdr:colOff>
      <xdr:row>118</xdr:row>
      <xdr:rowOff>1166813</xdr:rowOff>
    </xdr:to>
    <xdr:pic>
      <xdr:nvPicPr>
        <xdr:cNvPr id="502" name="Picture 501" descr="Insight Picture 501"/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738" y="186389963"/>
          <a:ext cx="1475649" cy="1104900"/>
        </a:xfrm>
        <a:prstGeom prst="rect">
          <a:avLst/>
        </a:prstGeom>
      </xdr:spPr>
    </xdr:pic>
    <xdr:clientData/>
  </xdr:twoCellAnchor>
  <xdr:twoCellAnchor editAs="oneCell">
    <xdr:from>
      <xdr:col>2</xdr:col>
      <xdr:colOff>3443718</xdr:colOff>
      <xdr:row>119</xdr:row>
      <xdr:rowOff>61913</xdr:rowOff>
    </xdr:from>
    <xdr:to>
      <xdr:col>2</xdr:col>
      <xdr:colOff>5195456</xdr:colOff>
      <xdr:row>119</xdr:row>
      <xdr:rowOff>1385888</xdr:rowOff>
    </xdr:to>
    <xdr:pic>
      <xdr:nvPicPr>
        <xdr:cNvPr id="503" name="Picture 502" descr="Insight Picture 502"/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9693" y="187618688"/>
          <a:ext cx="1751738" cy="1323975"/>
        </a:xfrm>
        <a:prstGeom prst="rect">
          <a:avLst/>
        </a:prstGeom>
      </xdr:spPr>
    </xdr:pic>
    <xdr:clientData/>
  </xdr:twoCellAnchor>
  <xdr:twoCellAnchor editAs="oneCell">
    <xdr:from>
      <xdr:col>2</xdr:col>
      <xdr:colOff>2463126</xdr:colOff>
      <xdr:row>120</xdr:row>
      <xdr:rowOff>61913</xdr:rowOff>
    </xdr:from>
    <xdr:to>
      <xdr:col>2</xdr:col>
      <xdr:colOff>6176048</xdr:colOff>
      <xdr:row>120</xdr:row>
      <xdr:rowOff>1395413</xdr:rowOff>
    </xdr:to>
    <xdr:pic>
      <xdr:nvPicPr>
        <xdr:cNvPr id="504" name="Picture 503" descr="Insight Picture 503"/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101" y="189066488"/>
          <a:ext cx="3712922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3100987</xdr:colOff>
      <xdr:row>121</xdr:row>
      <xdr:rowOff>61913</xdr:rowOff>
    </xdr:from>
    <xdr:to>
      <xdr:col>2</xdr:col>
      <xdr:colOff>5538188</xdr:colOff>
      <xdr:row>121</xdr:row>
      <xdr:rowOff>1824038</xdr:rowOff>
    </xdr:to>
    <xdr:pic>
      <xdr:nvPicPr>
        <xdr:cNvPr id="505" name="Picture 504" descr="Insight Picture 504"/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6962" y="190523813"/>
          <a:ext cx="2437201" cy="1762125"/>
        </a:xfrm>
        <a:prstGeom prst="rect">
          <a:avLst/>
        </a:prstGeom>
      </xdr:spPr>
    </xdr:pic>
    <xdr:clientData/>
  </xdr:twoCellAnchor>
  <xdr:twoCellAnchor editAs="oneCell">
    <xdr:from>
      <xdr:col>2</xdr:col>
      <xdr:colOff>2653533</xdr:colOff>
      <xdr:row>122</xdr:row>
      <xdr:rowOff>61913</xdr:rowOff>
    </xdr:from>
    <xdr:to>
      <xdr:col>2</xdr:col>
      <xdr:colOff>5985643</xdr:colOff>
      <xdr:row>122</xdr:row>
      <xdr:rowOff>1443038</xdr:rowOff>
    </xdr:to>
    <xdr:pic>
      <xdr:nvPicPr>
        <xdr:cNvPr id="506" name="Picture 505" descr="Insight Picture 505"/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9508" y="192409763"/>
          <a:ext cx="3332110" cy="1381125"/>
        </a:xfrm>
        <a:prstGeom prst="rect">
          <a:avLst/>
        </a:prstGeom>
      </xdr:spPr>
    </xdr:pic>
    <xdr:clientData/>
  </xdr:twoCellAnchor>
  <xdr:twoCellAnchor editAs="oneCell">
    <xdr:from>
      <xdr:col>2</xdr:col>
      <xdr:colOff>2463126</xdr:colOff>
      <xdr:row>123</xdr:row>
      <xdr:rowOff>61913</xdr:rowOff>
    </xdr:from>
    <xdr:to>
      <xdr:col>2</xdr:col>
      <xdr:colOff>6176048</xdr:colOff>
      <xdr:row>123</xdr:row>
      <xdr:rowOff>1481138</xdr:rowOff>
    </xdr:to>
    <xdr:pic>
      <xdr:nvPicPr>
        <xdr:cNvPr id="507" name="Picture 506" descr="Insight Picture 506"/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101" y="193914713"/>
          <a:ext cx="3712922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2815377</xdr:colOff>
      <xdr:row>124</xdr:row>
      <xdr:rowOff>61913</xdr:rowOff>
    </xdr:from>
    <xdr:to>
      <xdr:col>2</xdr:col>
      <xdr:colOff>5823797</xdr:colOff>
      <xdr:row>124</xdr:row>
      <xdr:rowOff>1862138</xdr:rowOff>
    </xdr:to>
    <xdr:pic>
      <xdr:nvPicPr>
        <xdr:cNvPr id="508" name="Picture 507" descr="Insight Picture 507"/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352" y="195457763"/>
          <a:ext cx="3008420" cy="1800225"/>
        </a:xfrm>
        <a:prstGeom prst="rect">
          <a:avLst/>
        </a:prstGeom>
      </xdr:spPr>
    </xdr:pic>
    <xdr:clientData/>
  </xdr:twoCellAnchor>
  <xdr:twoCellAnchor editAs="oneCell">
    <xdr:from>
      <xdr:col>2</xdr:col>
      <xdr:colOff>3162869</xdr:colOff>
      <xdr:row>125</xdr:row>
      <xdr:rowOff>61913</xdr:rowOff>
    </xdr:from>
    <xdr:to>
      <xdr:col>2</xdr:col>
      <xdr:colOff>5476306</xdr:colOff>
      <xdr:row>125</xdr:row>
      <xdr:rowOff>1490663</xdr:rowOff>
    </xdr:to>
    <xdr:pic>
      <xdr:nvPicPr>
        <xdr:cNvPr id="509" name="Picture 508" descr="Insight Picture 508"/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844" y="197381813"/>
          <a:ext cx="2313437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3305674</xdr:colOff>
      <xdr:row>126</xdr:row>
      <xdr:rowOff>61913</xdr:rowOff>
    </xdr:from>
    <xdr:to>
      <xdr:col>2</xdr:col>
      <xdr:colOff>5333501</xdr:colOff>
      <xdr:row>126</xdr:row>
      <xdr:rowOff>1576388</xdr:rowOff>
    </xdr:to>
    <xdr:pic>
      <xdr:nvPicPr>
        <xdr:cNvPr id="510" name="Picture 509" descr="Insight Picture 509"/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649" y="198934388"/>
          <a:ext cx="2027827" cy="15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3167630</xdr:colOff>
      <xdr:row>127</xdr:row>
      <xdr:rowOff>61913</xdr:rowOff>
    </xdr:from>
    <xdr:to>
      <xdr:col>2</xdr:col>
      <xdr:colOff>5471546</xdr:colOff>
      <xdr:row>127</xdr:row>
      <xdr:rowOff>1604963</xdr:rowOff>
    </xdr:to>
    <xdr:pic>
      <xdr:nvPicPr>
        <xdr:cNvPr id="511" name="Picture 510" descr="Insight Picture 510"/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3605" y="200572688"/>
          <a:ext cx="2303916" cy="1543050"/>
        </a:xfrm>
        <a:prstGeom prst="rect">
          <a:avLst/>
        </a:prstGeom>
      </xdr:spPr>
    </xdr:pic>
    <xdr:clientData/>
  </xdr:twoCellAnchor>
  <xdr:twoCellAnchor editAs="oneCell">
    <xdr:from>
      <xdr:col>2</xdr:col>
      <xdr:colOff>2962943</xdr:colOff>
      <xdr:row>128</xdr:row>
      <xdr:rowOff>61913</xdr:rowOff>
    </xdr:from>
    <xdr:to>
      <xdr:col>2</xdr:col>
      <xdr:colOff>5676232</xdr:colOff>
      <xdr:row>128</xdr:row>
      <xdr:rowOff>1690688</xdr:rowOff>
    </xdr:to>
    <xdr:pic>
      <xdr:nvPicPr>
        <xdr:cNvPr id="512" name="Picture 511" descr="Insight Picture 511"/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918" y="202239563"/>
          <a:ext cx="2713289" cy="1628775"/>
        </a:xfrm>
        <a:prstGeom prst="rect">
          <a:avLst/>
        </a:prstGeom>
      </xdr:spPr>
    </xdr:pic>
    <xdr:clientData/>
  </xdr:twoCellAnchor>
  <xdr:twoCellAnchor editAs="oneCell">
    <xdr:from>
      <xdr:col>2</xdr:col>
      <xdr:colOff>3205711</xdr:colOff>
      <xdr:row>129</xdr:row>
      <xdr:rowOff>64629</xdr:rowOff>
    </xdr:from>
    <xdr:to>
      <xdr:col>2</xdr:col>
      <xdr:colOff>5433465</xdr:colOff>
      <xdr:row>129</xdr:row>
      <xdr:rowOff>3240536</xdr:rowOff>
    </xdr:to>
    <xdr:pic>
      <xdr:nvPicPr>
        <xdr:cNvPr id="513" name="Picture 512" descr="Insight Picture 512"/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86" y="203994879"/>
          <a:ext cx="2227754" cy="3175907"/>
        </a:xfrm>
        <a:prstGeom prst="rect">
          <a:avLst/>
        </a:prstGeom>
      </xdr:spPr>
    </xdr:pic>
    <xdr:clientData/>
  </xdr:twoCellAnchor>
  <xdr:twoCellAnchor editAs="oneCell">
    <xdr:from>
      <xdr:col>2</xdr:col>
      <xdr:colOff>3562722</xdr:colOff>
      <xdr:row>130</xdr:row>
      <xdr:rowOff>61913</xdr:rowOff>
    </xdr:from>
    <xdr:to>
      <xdr:col>2</xdr:col>
      <xdr:colOff>5076452</xdr:colOff>
      <xdr:row>130</xdr:row>
      <xdr:rowOff>1785938</xdr:rowOff>
    </xdr:to>
    <xdr:pic>
      <xdr:nvPicPr>
        <xdr:cNvPr id="514" name="Picture 513" descr="Insight Picture 513"/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697" y="207297338"/>
          <a:ext cx="1513730" cy="1724025"/>
        </a:xfrm>
        <a:prstGeom prst="rect">
          <a:avLst/>
        </a:prstGeom>
      </xdr:spPr>
    </xdr:pic>
    <xdr:clientData/>
  </xdr:twoCellAnchor>
  <xdr:twoCellAnchor editAs="oneCell">
    <xdr:from>
      <xdr:col>2</xdr:col>
      <xdr:colOff>2558330</xdr:colOff>
      <xdr:row>131</xdr:row>
      <xdr:rowOff>64641</xdr:rowOff>
    </xdr:from>
    <xdr:to>
      <xdr:col>2</xdr:col>
      <xdr:colOff>6080846</xdr:colOff>
      <xdr:row>131</xdr:row>
      <xdr:rowOff>2935748</xdr:rowOff>
    </xdr:to>
    <xdr:pic>
      <xdr:nvPicPr>
        <xdr:cNvPr id="515" name="Picture 514" descr="Insight Picture 514"/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4305" y="209147916"/>
          <a:ext cx="3522516" cy="2871107"/>
        </a:xfrm>
        <a:prstGeom prst="rect">
          <a:avLst/>
        </a:prstGeom>
      </xdr:spPr>
    </xdr:pic>
    <xdr:clientData/>
  </xdr:twoCellAnchor>
  <xdr:twoCellAnchor editAs="oneCell">
    <xdr:from>
      <xdr:col>2</xdr:col>
      <xdr:colOff>2010911</xdr:colOff>
      <xdr:row>132</xdr:row>
      <xdr:rowOff>64641</xdr:rowOff>
    </xdr:from>
    <xdr:to>
      <xdr:col>2</xdr:col>
      <xdr:colOff>6628264</xdr:colOff>
      <xdr:row>132</xdr:row>
      <xdr:rowOff>3307223</xdr:rowOff>
    </xdr:to>
    <xdr:pic>
      <xdr:nvPicPr>
        <xdr:cNvPr id="516" name="Picture 515" descr="Insight Picture 515"/>
        <xdr:cNvPicPr>
          <a:picLocks noChangeAspect="1"/>
        </xdr:cNvPicPr>
      </xdr:nvPicPr>
      <xdr:blipFill>
        <a:blip xmlns:r="http://schemas.openxmlformats.org/officeDocument/2006/relationships" r:embed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886" y="212148291"/>
          <a:ext cx="4617353" cy="3242582"/>
        </a:xfrm>
        <a:prstGeom prst="rect">
          <a:avLst/>
        </a:prstGeom>
      </xdr:spPr>
    </xdr:pic>
    <xdr:clientData/>
  </xdr:twoCellAnchor>
  <xdr:twoCellAnchor editAs="oneCell">
    <xdr:from>
      <xdr:col>2</xdr:col>
      <xdr:colOff>3120027</xdr:colOff>
      <xdr:row>133</xdr:row>
      <xdr:rowOff>61913</xdr:rowOff>
    </xdr:from>
    <xdr:to>
      <xdr:col>2</xdr:col>
      <xdr:colOff>5519147</xdr:colOff>
      <xdr:row>133</xdr:row>
      <xdr:rowOff>1395413</xdr:rowOff>
    </xdr:to>
    <xdr:pic>
      <xdr:nvPicPr>
        <xdr:cNvPr id="517" name="Picture 516" descr="Insight Picture 516"/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6002" y="215517413"/>
          <a:ext cx="2399120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2905821</xdr:colOff>
      <xdr:row>134</xdr:row>
      <xdr:rowOff>61913</xdr:rowOff>
    </xdr:from>
    <xdr:to>
      <xdr:col>2</xdr:col>
      <xdr:colOff>5733354</xdr:colOff>
      <xdr:row>134</xdr:row>
      <xdr:rowOff>2652713</xdr:rowOff>
    </xdr:to>
    <xdr:pic>
      <xdr:nvPicPr>
        <xdr:cNvPr id="518" name="Picture 517" descr="Insight Picture 517"/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796" y="216974738"/>
          <a:ext cx="2827533" cy="2590800"/>
        </a:xfrm>
        <a:prstGeom prst="rect">
          <a:avLst/>
        </a:prstGeom>
      </xdr:spPr>
    </xdr:pic>
    <xdr:clientData/>
  </xdr:twoCellAnchor>
  <xdr:twoCellAnchor editAs="oneCell">
    <xdr:from>
      <xdr:col>2</xdr:col>
      <xdr:colOff>2839179</xdr:colOff>
      <xdr:row>135</xdr:row>
      <xdr:rowOff>61913</xdr:rowOff>
    </xdr:from>
    <xdr:to>
      <xdr:col>2</xdr:col>
      <xdr:colOff>5799997</xdr:colOff>
      <xdr:row>135</xdr:row>
      <xdr:rowOff>1547813</xdr:rowOff>
    </xdr:to>
    <xdr:pic>
      <xdr:nvPicPr>
        <xdr:cNvPr id="519" name="Picture 518" descr="Insight Picture 518"/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154" y="219689363"/>
          <a:ext cx="2960818" cy="14859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3048626</xdr:colOff>
      <xdr:row>136</xdr:row>
      <xdr:rowOff>61913</xdr:rowOff>
    </xdr:from>
    <xdr:to>
      <xdr:col>2</xdr:col>
      <xdr:colOff>5590550</xdr:colOff>
      <xdr:row>136</xdr:row>
      <xdr:rowOff>2290763</xdr:rowOff>
    </xdr:to>
    <xdr:pic>
      <xdr:nvPicPr>
        <xdr:cNvPr id="520" name="Picture 519" descr="Insight Picture 519"/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4601" y="221299088"/>
          <a:ext cx="2541924" cy="2228850"/>
        </a:xfrm>
        <a:prstGeom prst="rect">
          <a:avLst/>
        </a:prstGeom>
      </xdr:spPr>
    </xdr:pic>
    <xdr:clientData/>
  </xdr:twoCellAnchor>
  <xdr:twoCellAnchor editAs="oneCell">
    <xdr:from>
      <xdr:col>2</xdr:col>
      <xdr:colOff>2877260</xdr:colOff>
      <xdr:row>137</xdr:row>
      <xdr:rowOff>64641</xdr:rowOff>
    </xdr:from>
    <xdr:to>
      <xdr:col>2</xdr:col>
      <xdr:colOff>5761915</xdr:colOff>
      <xdr:row>137</xdr:row>
      <xdr:rowOff>3307223</xdr:rowOff>
    </xdr:to>
    <xdr:pic>
      <xdr:nvPicPr>
        <xdr:cNvPr id="521" name="Picture 520" descr="Insight Picture 520"/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3235" y="223654491"/>
          <a:ext cx="2884655" cy="3242582"/>
        </a:xfrm>
        <a:prstGeom prst="rect">
          <a:avLst/>
        </a:prstGeom>
      </xdr:spPr>
    </xdr:pic>
    <xdr:clientData/>
  </xdr:twoCellAnchor>
  <xdr:twoCellAnchor editAs="oneCell">
    <xdr:from>
      <xdr:col>2</xdr:col>
      <xdr:colOff>3191430</xdr:colOff>
      <xdr:row>138</xdr:row>
      <xdr:rowOff>61913</xdr:rowOff>
    </xdr:from>
    <xdr:to>
      <xdr:col>2</xdr:col>
      <xdr:colOff>5447744</xdr:colOff>
      <xdr:row>138</xdr:row>
      <xdr:rowOff>1804988</xdr:rowOff>
    </xdr:to>
    <xdr:pic>
      <xdr:nvPicPr>
        <xdr:cNvPr id="522" name="Picture 521" descr="Insight Picture 521"/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7405" y="227023613"/>
          <a:ext cx="2256314" cy="1743075"/>
        </a:xfrm>
        <a:prstGeom prst="rect">
          <a:avLst/>
        </a:prstGeom>
      </xdr:spPr>
    </xdr:pic>
    <xdr:clientData/>
  </xdr:twoCellAnchor>
  <xdr:twoCellAnchor editAs="oneCell">
    <xdr:from>
      <xdr:col>2</xdr:col>
      <xdr:colOff>3443718</xdr:colOff>
      <xdr:row>139</xdr:row>
      <xdr:rowOff>61913</xdr:rowOff>
    </xdr:from>
    <xdr:to>
      <xdr:col>2</xdr:col>
      <xdr:colOff>5195456</xdr:colOff>
      <xdr:row>139</xdr:row>
      <xdr:rowOff>1747838</xdr:rowOff>
    </xdr:to>
    <xdr:pic>
      <xdr:nvPicPr>
        <xdr:cNvPr id="523" name="Picture 522" descr="Insight Picture 522"/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9693" y="228890513"/>
          <a:ext cx="1751738" cy="1685925"/>
        </a:xfrm>
        <a:prstGeom prst="rect">
          <a:avLst/>
        </a:prstGeom>
      </xdr:spPr>
    </xdr:pic>
    <xdr:clientData/>
  </xdr:twoCellAnchor>
  <xdr:twoCellAnchor editAs="oneCell">
    <xdr:from>
      <xdr:col>2</xdr:col>
      <xdr:colOff>3277113</xdr:colOff>
      <xdr:row>140</xdr:row>
      <xdr:rowOff>61913</xdr:rowOff>
    </xdr:from>
    <xdr:to>
      <xdr:col>2</xdr:col>
      <xdr:colOff>5362062</xdr:colOff>
      <xdr:row>140</xdr:row>
      <xdr:rowOff>1814513</xdr:rowOff>
    </xdr:to>
    <xdr:pic>
      <xdr:nvPicPr>
        <xdr:cNvPr id="524" name="Picture 523" descr="Insight Picture 523"/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3088" y="230700263"/>
          <a:ext cx="2084949" cy="1752600"/>
        </a:xfrm>
        <a:prstGeom prst="rect">
          <a:avLst/>
        </a:prstGeom>
      </xdr:spPr>
    </xdr:pic>
    <xdr:clientData/>
  </xdr:twoCellAnchor>
  <xdr:twoCellAnchor editAs="oneCell">
    <xdr:from>
      <xdr:col>2</xdr:col>
      <xdr:colOff>3210471</xdr:colOff>
      <xdr:row>141</xdr:row>
      <xdr:rowOff>61913</xdr:rowOff>
    </xdr:from>
    <xdr:to>
      <xdr:col>2</xdr:col>
      <xdr:colOff>5428704</xdr:colOff>
      <xdr:row>141</xdr:row>
      <xdr:rowOff>1624013</xdr:rowOff>
    </xdr:to>
    <xdr:pic>
      <xdr:nvPicPr>
        <xdr:cNvPr id="525" name="Picture 524" descr="Insight Picture 524"/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6446" y="232576688"/>
          <a:ext cx="2218233" cy="1562100"/>
        </a:xfrm>
        <a:prstGeom prst="rect">
          <a:avLst/>
        </a:prstGeom>
      </xdr:spPr>
    </xdr:pic>
    <xdr:clientData/>
  </xdr:twoCellAnchor>
  <xdr:twoCellAnchor editAs="oneCell">
    <xdr:from>
      <xdr:col>2</xdr:col>
      <xdr:colOff>2981983</xdr:colOff>
      <xdr:row>142</xdr:row>
      <xdr:rowOff>61913</xdr:rowOff>
    </xdr:from>
    <xdr:to>
      <xdr:col>2</xdr:col>
      <xdr:colOff>5657191</xdr:colOff>
      <xdr:row>142</xdr:row>
      <xdr:rowOff>1443038</xdr:rowOff>
    </xdr:to>
    <xdr:pic>
      <xdr:nvPicPr>
        <xdr:cNvPr id="526" name="Picture 525" descr="Insight Picture 525"/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958" y="234262613"/>
          <a:ext cx="2675208" cy="1381125"/>
        </a:xfrm>
        <a:prstGeom prst="rect">
          <a:avLst/>
        </a:prstGeom>
      </xdr:spPr>
    </xdr:pic>
    <xdr:clientData/>
  </xdr:twoCellAnchor>
  <xdr:twoCellAnchor editAs="oneCell">
    <xdr:from>
      <xdr:col>2</xdr:col>
      <xdr:colOff>3205711</xdr:colOff>
      <xdr:row>143</xdr:row>
      <xdr:rowOff>61913</xdr:rowOff>
    </xdr:from>
    <xdr:to>
      <xdr:col>2</xdr:col>
      <xdr:colOff>5433465</xdr:colOff>
      <xdr:row>143</xdr:row>
      <xdr:rowOff>1452563</xdr:rowOff>
    </xdr:to>
    <xdr:pic>
      <xdr:nvPicPr>
        <xdr:cNvPr id="527" name="Picture 526" descr="Insight Picture 526"/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86" y="235767563"/>
          <a:ext cx="2227754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3167630</xdr:colOff>
      <xdr:row>144</xdr:row>
      <xdr:rowOff>61913</xdr:rowOff>
    </xdr:from>
    <xdr:to>
      <xdr:col>2</xdr:col>
      <xdr:colOff>5471546</xdr:colOff>
      <xdr:row>144</xdr:row>
      <xdr:rowOff>1490663</xdr:rowOff>
    </xdr:to>
    <xdr:pic>
      <xdr:nvPicPr>
        <xdr:cNvPr id="528" name="Picture 527" descr="Insight Picture 527"/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3605" y="237282038"/>
          <a:ext cx="2303916" cy="1428750"/>
        </a:xfrm>
        <a:prstGeom prst="rect">
          <a:avLst/>
        </a:prstGeom>
      </xdr:spPr>
    </xdr:pic>
    <xdr:clientData/>
  </xdr:twoCellAnchor>
  <xdr:twoCellAnchor editAs="oneCell">
    <xdr:from>
      <xdr:col>2</xdr:col>
      <xdr:colOff>3343756</xdr:colOff>
      <xdr:row>145</xdr:row>
      <xdr:rowOff>61913</xdr:rowOff>
    </xdr:from>
    <xdr:to>
      <xdr:col>2</xdr:col>
      <xdr:colOff>5295420</xdr:colOff>
      <xdr:row>145</xdr:row>
      <xdr:rowOff>1909763</xdr:rowOff>
    </xdr:to>
    <xdr:pic>
      <xdr:nvPicPr>
        <xdr:cNvPr id="529" name="Picture 528" descr="Insight Picture 528"/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731" y="238834613"/>
          <a:ext cx="1951664" cy="1847850"/>
        </a:xfrm>
        <a:prstGeom prst="rect">
          <a:avLst/>
        </a:prstGeom>
      </xdr:spPr>
    </xdr:pic>
    <xdr:clientData/>
  </xdr:twoCellAnchor>
  <xdr:twoCellAnchor editAs="oneCell">
    <xdr:from>
      <xdr:col>2</xdr:col>
      <xdr:colOff>3667446</xdr:colOff>
      <xdr:row>146</xdr:row>
      <xdr:rowOff>61913</xdr:rowOff>
    </xdr:from>
    <xdr:to>
      <xdr:col>2</xdr:col>
      <xdr:colOff>4971729</xdr:colOff>
      <xdr:row>146</xdr:row>
      <xdr:rowOff>1347788</xdr:rowOff>
    </xdr:to>
    <xdr:pic>
      <xdr:nvPicPr>
        <xdr:cNvPr id="530" name="Picture 529" descr="Insight Picture 529"/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421" y="240806288"/>
          <a:ext cx="1304283" cy="1285875"/>
        </a:xfrm>
        <a:prstGeom prst="rect">
          <a:avLst/>
        </a:prstGeom>
      </xdr:spPr>
    </xdr:pic>
    <xdr:clientData/>
  </xdr:twoCellAnchor>
  <xdr:twoCellAnchor editAs="oneCell">
    <xdr:from>
      <xdr:col>2</xdr:col>
      <xdr:colOff>3415157</xdr:colOff>
      <xdr:row>147</xdr:row>
      <xdr:rowOff>61913</xdr:rowOff>
    </xdr:from>
    <xdr:to>
      <xdr:col>2</xdr:col>
      <xdr:colOff>5224017</xdr:colOff>
      <xdr:row>147</xdr:row>
      <xdr:rowOff>1738313</xdr:rowOff>
    </xdr:to>
    <xdr:pic>
      <xdr:nvPicPr>
        <xdr:cNvPr id="531" name="Picture 530" descr="Insight Picture 530"/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1132" y="242215988"/>
          <a:ext cx="1808860" cy="1676400"/>
        </a:xfrm>
        <a:prstGeom prst="rect">
          <a:avLst/>
        </a:prstGeom>
      </xdr:spPr>
    </xdr:pic>
    <xdr:clientData/>
  </xdr:twoCellAnchor>
  <xdr:twoCellAnchor editAs="oneCell">
    <xdr:from>
      <xdr:col>2</xdr:col>
      <xdr:colOff>3158109</xdr:colOff>
      <xdr:row>148</xdr:row>
      <xdr:rowOff>61913</xdr:rowOff>
    </xdr:from>
    <xdr:to>
      <xdr:col>2</xdr:col>
      <xdr:colOff>5481066</xdr:colOff>
      <xdr:row>148</xdr:row>
      <xdr:rowOff>2357438</xdr:rowOff>
    </xdr:to>
    <xdr:pic>
      <xdr:nvPicPr>
        <xdr:cNvPr id="532" name="Picture 531" descr="Insight Picture 531"/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4084" y="244016213"/>
          <a:ext cx="2322957" cy="2295525"/>
        </a:xfrm>
        <a:prstGeom prst="rect">
          <a:avLst/>
        </a:prstGeom>
      </xdr:spPr>
    </xdr:pic>
    <xdr:clientData/>
  </xdr:twoCellAnchor>
  <xdr:twoCellAnchor editAs="oneCell">
    <xdr:from>
      <xdr:col>2</xdr:col>
      <xdr:colOff>1972830</xdr:colOff>
      <xdr:row>149</xdr:row>
      <xdr:rowOff>61913</xdr:rowOff>
    </xdr:from>
    <xdr:to>
      <xdr:col>2</xdr:col>
      <xdr:colOff>6666345</xdr:colOff>
      <xdr:row>149</xdr:row>
      <xdr:rowOff>1643063</xdr:rowOff>
    </xdr:to>
    <xdr:pic>
      <xdr:nvPicPr>
        <xdr:cNvPr id="533" name="Picture 532" descr="Insight Picture 532"/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8805" y="246435563"/>
          <a:ext cx="4693515" cy="1581150"/>
        </a:xfrm>
        <a:prstGeom prst="rect">
          <a:avLst/>
        </a:prstGeom>
      </xdr:spPr>
    </xdr:pic>
    <xdr:clientData/>
  </xdr:twoCellAnchor>
  <xdr:twoCellAnchor editAs="oneCell">
    <xdr:from>
      <xdr:col>2</xdr:col>
      <xdr:colOff>3334235</xdr:colOff>
      <xdr:row>150</xdr:row>
      <xdr:rowOff>61913</xdr:rowOff>
    </xdr:from>
    <xdr:to>
      <xdr:col>2</xdr:col>
      <xdr:colOff>5304940</xdr:colOff>
      <xdr:row>150</xdr:row>
      <xdr:rowOff>2062163</xdr:rowOff>
    </xdr:to>
    <xdr:pic>
      <xdr:nvPicPr>
        <xdr:cNvPr id="534" name="Picture 533" descr="Insight Picture 533"/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0210" y="248140538"/>
          <a:ext cx="1970705" cy="2000250"/>
        </a:xfrm>
        <a:prstGeom prst="rect">
          <a:avLst/>
        </a:prstGeom>
      </xdr:spPr>
    </xdr:pic>
    <xdr:clientData/>
  </xdr:twoCellAnchor>
  <xdr:twoCellAnchor editAs="oneCell">
    <xdr:from>
      <xdr:col>2</xdr:col>
      <xdr:colOff>3396117</xdr:colOff>
      <xdr:row>151</xdr:row>
      <xdr:rowOff>61913</xdr:rowOff>
    </xdr:from>
    <xdr:to>
      <xdr:col>2</xdr:col>
      <xdr:colOff>5243058</xdr:colOff>
      <xdr:row>151</xdr:row>
      <xdr:rowOff>2024063</xdr:rowOff>
    </xdr:to>
    <xdr:pic>
      <xdr:nvPicPr>
        <xdr:cNvPr id="535" name="Picture 534" descr="Insight Picture 534"/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2092" y="250264613"/>
          <a:ext cx="1846941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2991503</xdr:colOff>
      <xdr:row>152</xdr:row>
      <xdr:rowOff>61913</xdr:rowOff>
    </xdr:from>
    <xdr:to>
      <xdr:col>2</xdr:col>
      <xdr:colOff>5647671</xdr:colOff>
      <xdr:row>152</xdr:row>
      <xdr:rowOff>2290763</xdr:rowOff>
    </xdr:to>
    <xdr:pic>
      <xdr:nvPicPr>
        <xdr:cNvPr id="536" name="Picture 535" descr="Insight Picture 535"/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7478" y="252350588"/>
          <a:ext cx="2656168" cy="2228850"/>
        </a:xfrm>
        <a:prstGeom prst="rect">
          <a:avLst/>
        </a:prstGeom>
      </xdr:spPr>
    </xdr:pic>
    <xdr:clientData/>
  </xdr:twoCellAnchor>
  <xdr:twoCellAnchor editAs="oneCell">
    <xdr:from>
      <xdr:col>2</xdr:col>
      <xdr:colOff>2934381</xdr:colOff>
      <xdr:row>153</xdr:row>
      <xdr:rowOff>61913</xdr:rowOff>
    </xdr:from>
    <xdr:to>
      <xdr:col>2</xdr:col>
      <xdr:colOff>5704793</xdr:colOff>
      <xdr:row>153</xdr:row>
      <xdr:rowOff>1366838</xdr:rowOff>
    </xdr:to>
    <xdr:pic>
      <xdr:nvPicPr>
        <xdr:cNvPr id="537" name="Picture 536" descr="Insight Picture 536"/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0356" y="254703263"/>
          <a:ext cx="2770412" cy="1304925"/>
        </a:xfrm>
        <a:prstGeom prst="rect">
          <a:avLst/>
        </a:prstGeom>
      </xdr:spPr>
    </xdr:pic>
    <xdr:clientData/>
  </xdr:twoCellAnchor>
  <xdr:twoCellAnchor editAs="oneCell">
    <xdr:from>
      <xdr:col>2</xdr:col>
      <xdr:colOff>3253312</xdr:colOff>
      <xdr:row>154</xdr:row>
      <xdr:rowOff>61913</xdr:rowOff>
    </xdr:from>
    <xdr:to>
      <xdr:col>2</xdr:col>
      <xdr:colOff>5385862</xdr:colOff>
      <xdr:row>154</xdr:row>
      <xdr:rowOff>1462088</xdr:rowOff>
    </xdr:to>
    <xdr:pic>
      <xdr:nvPicPr>
        <xdr:cNvPr id="538" name="Picture 537" descr="Insight Picture 537"/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9287" y="256132013"/>
          <a:ext cx="2132550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3205711</xdr:colOff>
      <xdr:row>155</xdr:row>
      <xdr:rowOff>61913</xdr:rowOff>
    </xdr:from>
    <xdr:to>
      <xdr:col>2</xdr:col>
      <xdr:colOff>5433465</xdr:colOff>
      <xdr:row>155</xdr:row>
      <xdr:rowOff>1452563</xdr:rowOff>
    </xdr:to>
    <xdr:pic>
      <xdr:nvPicPr>
        <xdr:cNvPr id="539" name="Picture 538" descr="Insight Picture 538"/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86" y="257656013"/>
          <a:ext cx="2227754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3048626</xdr:colOff>
      <xdr:row>156</xdr:row>
      <xdr:rowOff>61913</xdr:rowOff>
    </xdr:from>
    <xdr:to>
      <xdr:col>2</xdr:col>
      <xdr:colOff>5590550</xdr:colOff>
      <xdr:row>156</xdr:row>
      <xdr:rowOff>1585913</xdr:rowOff>
    </xdr:to>
    <xdr:pic>
      <xdr:nvPicPr>
        <xdr:cNvPr id="540" name="Picture 539" descr="Insight Picture 539"/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4601" y="259170488"/>
          <a:ext cx="2541924" cy="1524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3048626</xdr:colOff>
      <xdr:row>157</xdr:row>
      <xdr:rowOff>61913</xdr:rowOff>
    </xdr:from>
    <xdr:to>
      <xdr:col>2</xdr:col>
      <xdr:colOff>5590550</xdr:colOff>
      <xdr:row>157</xdr:row>
      <xdr:rowOff>1471613</xdr:rowOff>
    </xdr:to>
    <xdr:pic>
      <xdr:nvPicPr>
        <xdr:cNvPr id="541" name="Picture 540" descr="Insight Picture 540"/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4601" y="260818313"/>
          <a:ext cx="2541924" cy="1409700"/>
        </a:xfrm>
        <a:prstGeom prst="rect">
          <a:avLst/>
        </a:prstGeom>
      </xdr:spPr>
    </xdr:pic>
    <xdr:clientData/>
  </xdr:twoCellAnchor>
  <xdr:twoCellAnchor editAs="oneCell">
    <xdr:from>
      <xdr:col>2</xdr:col>
      <xdr:colOff>3162869</xdr:colOff>
      <xdr:row>158</xdr:row>
      <xdr:rowOff>61913</xdr:rowOff>
    </xdr:from>
    <xdr:to>
      <xdr:col>2</xdr:col>
      <xdr:colOff>5476306</xdr:colOff>
      <xdr:row>158</xdr:row>
      <xdr:rowOff>2185988</xdr:rowOff>
    </xdr:to>
    <xdr:pic>
      <xdr:nvPicPr>
        <xdr:cNvPr id="542" name="Picture 541" descr="Insight Picture 541"/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844" y="262351838"/>
          <a:ext cx="2313437" cy="2124075"/>
        </a:xfrm>
        <a:prstGeom prst="rect">
          <a:avLst/>
        </a:prstGeom>
      </xdr:spPr>
    </xdr:pic>
    <xdr:clientData/>
  </xdr:twoCellAnchor>
  <xdr:twoCellAnchor editAs="oneCell">
    <xdr:from>
      <xdr:col>2</xdr:col>
      <xdr:colOff>3448479</xdr:colOff>
      <xdr:row>159</xdr:row>
      <xdr:rowOff>61913</xdr:rowOff>
    </xdr:from>
    <xdr:to>
      <xdr:col>2</xdr:col>
      <xdr:colOff>5190697</xdr:colOff>
      <xdr:row>159</xdr:row>
      <xdr:rowOff>1776413</xdr:rowOff>
    </xdr:to>
    <xdr:pic>
      <xdr:nvPicPr>
        <xdr:cNvPr id="543" name="Picture 542" descr="Insight Picture 542"/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454" y="264599738"/>
          <a:ext cx="1742218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3381837</xdr:colOff>
      <xdr:row>160</xdr:row>
      <xdr:rowOff>61913</xdr:rowOff>
    </xdr:from>
    <xdr:to>
      <xdr:col>2</xdr:col>
      <xdr:colOff>5257339</xdr:colOff>
      <xdr:row>160</xdr:row>
      <xdr:rowOff>2614613</xdr:rowOff>
    </xdr:to>
    <xdr:pic>
      <xdr:nvPicPr>
        <xdr:cNvPr id="544" name="Picture 543" descr="Insight Picture 543"/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812" y="266438063"/>
          <a:ext cx="1875502" cy="2552700"/>
        </a:xfrm>
        <a:prstGeom prst="rect">
          <a:avLst/>
        </a:prstGeom>
      </xdr:spPr>
    </xdr:pic>
    <xdr:clientData/>
  </xdr:twoCellAnchor>
  <xdr:twoCellAnchor editAs="oneCell">
    <xdr:from>
      <xdr:col>2</xdr:col>
      <xdr:colOff>2567849</xdr:colOff>
      <xdr:row>161</xdr:row>
      <xdr:rowOff>61913</xdr:rowOff>
    </xdr:from>
    <xdr:to>
      <xdr:col>2</xdr:col>
      <xdr:colOff>6071325</xdr:colOff>
      <xdr:row>161</xdr:row>
      <xdr:rowOff>1423988</xdr:rowOff>
    </xdr:to>
    <xdr:pic>
      <xdr:nvPicPr>
        <xdr:cNvPr id="545" name="Picture 544" descr="Insight Picture 544"/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3824" y="269114588"/>
          <a:ext cx="3503476" cy="1362075"/>
        </a:xfrm>
        <a:prstGeom prst="rect">
          <a:avLst/>
        </a:prstGeom>
      </xdr:spPr>
    </xdr:pic>
    <xdr:clientData/>
  </xdr:twoCellAnchor>
  <xdr:twoCellAnchor editAs="oneCell">
    <xdr:from>
      <xdr:col>2</xdr:col>
      <xdr:colOff>2758256</xdr:colOff>
      <xdr:row>162</xdr:row>
      <xdr:rowOff>61913</xdr:rowOff>
    </xdr:from>
    <xdr:to>
      <xdr:col>2</xdr:col>
      <xdr:colOff>5880919</xdr:colOff>
      <xdr:row>162</xdr:row>
      <xdr:rowOff>2290763</xdr:rowOff>
    </xdr:to>
    <xdr:pic>
      <xdr:nvPicPr>
        <xdr:cNvPr id="546" name="Picture 545" descr="Insight Picture 545"/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231" y="270600488"/>
          <a:ext cx="3122663" cy="2228850"/>
        </a:xfrm>
        <a:prstGeom prst="rect">
          <a:avLst/>
        </a:prstGeom>
      </xdr:spPr>
    </xdr:pic>
    <xdr:clientData/>
  </xdr:twoCellAnchor>
  <xdr:twoCellAnchor editAs="oneCell">
    <xdr:from>
      <xdr:col>2</xdr:col>
      <xdr:colOff>3072426</xdr:colOff>
      <xdr:row>163</xdr:row>
      <xdr:rowOff>61913</xdr:rowOff>
    </xdr:from>
    <xdr:to>
      <xdr:col>2</xdr:col>
      <xdr:colOff>5566748</xdr:colOff>
      <xdr:row>163</xdr:row>
      <xdr:rowOff>1338263</xdr:rowOff>
    </xdr:to>
    <xdr:pic>
      <xdr:nvPicPr>
        <xdr:cNvPr id="547" name="Picture 546" descr="Insight Picture 546"/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8401" y="272953163"/>
          <a:ext cx="2494322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3353276</xdr:colOff>
      <xdr:row>164</xdr:row>
      <xdr:rowOff>61913</xdr:rowOff>
    </xdr:from>
    <xdr:to>
      <xdr:col>2</xdr:col>
      <xdr:colOff>5285900</xdr:colOff>
      <xdr:row>164</xdr:row>
      <xdr:rowOff>1443038</xdr:rowOff>
    </xdr:to>
    <xdr:pic>
      <xdr:nvPicPr>
        <xdr:cNvPr id="548" name="Picture 547" descr="Insight Picture 547"/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9251" y="274353338"/>
          <a:ext cx="1932624" cy="1381125"/>
        </a:xfrm>
        <a:prstGeom prst="rect">
          <a:avLst/>
        </a:prstGeom>
      </xdr:spPr>
    </xdr:pic>
    <xdr:clientData/>
  </xdr:twoCellAnchor>
  <xdr:twoCellAnchor editAs="oneCell">
    <xdr:from>
      <xdr:col>2</xdr:col>
      <xdr:colOff>3181910</xdr:colOff>
      <xdr:row>165</xdr:row>
      <xdr:rowOff>61913</xdr:rowOff>
    </xdr:from>
    <xdr:to>
      <xdr:col>2</xdr:col>
      <xdr:colOff>5457265</xdr:colOff>
      <xdr:row>165</xdr:row>
      <xdr:rowOff>1709738</xdr:rowOff>
    </xdr:to>
    <xdr:pic>
      <xdr:nvPicPr>
        <xdr:cNvPr id="549" name="Picture 548" descr="Insight Picture 548"/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885" y="275858288"/>
          <a:ext cx="2275355" cy="1647825"/>
        </a:xfrm>
        <a:prstGeom prst="rect">
          <a:avLst/>
        </a:prstGeom>
      </xdr:spPr>
    </xdr:pic>
    <xdr:clientData/>
  </xdr:twoCellAnchor>
  <xdr:twoCellAnchor editAs="oneCell">
    <xdr:from>
      <xdr:col>2</xdr:col>
      <xdr:colOff>2929622</xdr:colOff>
      <xdr:row>166</xdr:row>
      <xdr:rowOff>61913</xdr:rowOff>
    </xdr:from>
    <xdr:to>
      <xdr:col>2</xdr:col>
      <xdr:colOff>5709554</xdr:colOff>
      <xdr:row>166</xdr:row>
      <xdr:rowOff>1481138</xdr:rowOff>
    </xdr:to>
    <xdr:pic>
      <xdr:nvPicPr>
        <xdr:cNvPr id="550" name="Picture 549" descr="Insight Picture 549"/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5597" y="277629938"/>
          <a:ext cx="2779932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2434565</xdr:colOff>
      <xdr:row>167</xdr:row>
      <xdr:rowOff>61913</xdr:rowOff>
    </xdr:from>
    <xdr:to>
      <xdr:col>2</xdr:col>
      <xdr:colOff>6204610</xdr:colOff>
      <xdr:row>167</xdr:row>
      <xdr:rowOff>1928813</xdr:rowOff>
    </xdr:to>
    <xdr:pic>
      <xdr:nvPicPr>
        <xdr:cNvPr id="551" name="Picture 550" descr="Insight Picture 550"/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0540" y="279172988"/>
          <a:ext cx="3770045" cy="1866900"/>
        </a:xfrm>
        <a:prstGeom prst="rect">
          <a:avLst/>
        </a:prstGeom>
      </xdr:spPr>
    </xdr:pic>
    <xdr:clientData/>
  </xdr:twoCellAnchor>
  <xdr:twoCellAnchor editAs="oneCell">
    <xdr:from>
      <xdr:col>2</xdr:col>
      <xdr:colOff>2739215</xdr:colOff>
      <xdr:row>168</xdr:row>
      <xdr:rowOff>61913</xdr:rowOff>
    </xdr:from>
    <xdr:to>
      <xdr:col>2</xdr:col>
      <xdr:colOff>5899960</xdr:colOff>
      <xdr:row>168</xdr:row>
      <xdr:rowOff>2157413</xdr:rowOff>
    </xdr:to>
    <xdr:pic>
      <xdr:nvPicPr>
        <xdr:cNvPr id="552" name="Picture 551" descr="Insight Picture 551"/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5190" y="281163713"/>
          <a:ext cx="3160745" cy="2095500"/>
        </a:xfrm>
        <a:prstGeom prst="rect">
          <a:avLst/>
        </a:prstGeom>
      </xdr:spPr>
    </xdr:pic>
    <xdr:clientData/>
  </xdr:twoCellAnchor>
  <xdr:twoCellAnchor editAs="oneCell">
    <xdr:from>
      <xdr:col>2</xdr:col>
      <xdr:colOff>2977223</xdr:colOff>
      <xdr:row>169</xdr:row>
      <xdr:rowOff>61913</xdr:rowOff>
    </xdr:from>
    <xdr:to>
      <xdr:col>2</xdr:col>
      <xdr:colOff>5661952</xdr:colOff>
      <xdr:row>169</xdr:row>
      <xdr:rowOff>1395413</xdr:rowOff>
    </xdr:to>
    <xdr:pic>
      <xdr:nvPicPr>
        <xdr:cNvPr id="553" name="Picture 552" descr="Insight Picture 552"/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3198" y="283383038"/>
          <a:ext cx="2684729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3096227</xdr:colOff>
      <xdr:row>170</xdr:row>
      <xdr:rowOff>61913</xdr:rowOff>
    </xdr:from>
    <xdr:to>
      <xdr:col>2</xdr:col>
      <xdr:colOff>5542948</xdr:colOff>
      <xdr:row>170</xdr:row>
      <xdr:rowOff>1547813</xdr:rowOff>
    </xdr:to>
    <xdr:pic>
      <xdr:nvPicPr>
        <xdr:cNvPr id="554" name="Picture 553" descr="Insight Picture 553"/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2202" y="284840363"/>
          <a:ext cx="2446721" cy="1485900"/>
        </a:xfrm>
        <a:prstGeom prst="rect">
          <a:avLst/>
        </a:prstGeom>
      </xdr:spPr>
    </xdr:pic>
    <xdr:clientData/>
  </xdr:twoCellAnchor>
  <xdr:twoCellAnchor editAs="oneCell">
    <xdr:from>
      <xdr:col>2</xdr:col>
      <xdr:colOff>2872499</xdr:colOff>
      <xdr:row>171</xdr:row>
      <xdr:rowOff>61913</xdr:rowOff>
    </xdr:from>
    <xdr:to>
      <xdr:col>2</xdr:col>
      <xdr:colOff>5766675</xdr:colOff>
      <xdr:row>171</xdr:row>
      <xdr:rowOff>1481138</xdr:rowOff>
    </xdr:to>
    <xdr:pic>
      <xdr:nvPicPr>
        <xdr:cNvPr id="555" name="Picture 554" descr="Insight Picture 554"/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8474" y="286450088"/>
          <a:ext cx="2894176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3072426</xdr:colOff>
      <xdr:row>172</xdr:row>
      <xdr:rowOff>61913</xdr:rowOff>
    </xdr:from>
    <xdr:to>
      <xdr:col>2</xdr:col>
      <xdr:colOff>5566748</xdr:colOff>
      <xdr:row>172</xdr:row>
      <xdr:rowOff>1738313</xdr:rowOff>
    </xdr:to>
    <xdr:pic>
      <xdr:nvPicPr>
        <xdr:cNvPr id="556" name="Picture 555" descr="Insight Picture 555"/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8401" y="287993138"/>
          <a:ext cx="2494322" cy="1676400"/>
        </a:xfrm>
        <a:prstGeom prst="rect">
          <a:avLst/>
        </a:prstGeom>
      </xdr:spPr>
    </xdr:pic>
    <xdr:clientData/>
  </xdr:twoCellAnchor>
  <xdr:twoCellAnchor editAs="oneCell">
    <xdr:from>
      <xdr:col>2</xdr:col>
      <xdr:colOff>3191430</xdr:colOff>
      <xdr:row>173</xdr:row>
      <xdr:rowOff>61913</xdr:rowOff>
    </xdr:from>
    <xdr:to>
      <xdr:col>2</xdr:col>
      <xdr:colOff>5447744</xdr:colOff>
      <xdr:row>173</xdr:row>
      <xdr:rowOff>1890713</xdr:rowOff>
    </xdr:to>
    <xdr:pic>
      <xdr:nvPicPr>
        <xdr:cNvPr id="557" name="Picture 556" descr="Insight Picture 556"/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7405" y="289793363"/>
          <a:ext cx="2256314" cy="1828800"/>
        </a:xfrm>
        <a:prstGeom prst="rect">
          <a:avLst/>
        </a:prstGeom>
      </xdr:spPr>
    </xdr:pic>
    <xdr:clientData/>
  </xdr:twoCellAnchor>
  <xdr:twoCellAnchor editAs="oneCell">
    <xdr:from>
      <xdr:col>2</xdr:col>
      <xdr:colOff>3505600</xdr:colOff>
      <xdr:row>174</xdr:row>
      <xdr:rowOff>61913</xdr:rowOff>
    </xdr:from>
    <xdr:to>
      <xdr:col>2</xdr:col>
      <xdr:colOff>5133574</xdr:colOff>
      <xdr:row>174</xdr:row>
      <xdr:rowOff>2709863</xdr:rowOff>
    </xdr:to>
    <xdr:pic>
      <xdr:nvPicPr>
        <xdr:cNvPr id="558" name="Picture 557" descr="Insight Picture 557"/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575" y="291745988"/>
          <a:ext cx="1627974" cy="2647950"/>
        </a:xfrm>
        <a:prstGeom prst="rect">
          <a:avLst/>
        </a:prstGeom>
      </xdr:spPr>
    </xdr:pic>
    <xdr:clientData/>
  </xdr:twoCellAnchor>
  <xdr:twoCellAnchor editAs="oneCell">
    <xdr:from>
      <xdr:col>2</xdr:col>
      <xdr:colOff>3324715</xdr:colOff>
      <xdr:row>175</xdr:row>
      <xdr:rowOff>61913</xdr:rowOff>
    </xdr:from>
    <xdr:to>
      <xdr:col>2</xdr:col>
      <xdr:colOff>5314461</xdr:colOff>
      <xdr:row>175</xdr:row>
      <xdr:rowOff>1452563</xdr:rowOff>
    </xdr:to>
    <xdr:pic>
      <xdr:nvPicPr>
        <xdr:cNvPr id="559" name="Picture 558" descr="Insight Picture 558"/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690" y="294517763"/>
          <a:ext cx="1989746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3191430</xdr:colOff>
      <xdr:row>176</xdr:row>
      <xdr:rowOff>61913</xdr:rowOff>
    </xdr:from>
    <xdr:to>
      <xdr:col>2</xdr:col>
      <xdr:colOff>5447744</xdr:colOff>
      <xdr:row>176</xdr:row>
      <xdr:rowOff>1338263</xdr:rowOff>
    </xdr:to>
    <xdr:pic>
      <xdr:nvPicPr>
        <xdr:cNvPr id="560" name="Picture 559" descr="Insight Picture 559"/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7405" y="296032238"/>
          <a:ext cx="2256314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2601171</xdr:colOff>
      <xdr:row>177</xdr:row>
      <xdr:rowOff>61913</xdr:rowOff>
    </xdr:from>
    <xdr:to>
      <xdr:col>2</xdr:col>
      <xdr:colOff>6038005</xdr:colOff>
      <xdr:row>177</xdr:row>
      <xdr:rowOff>1462088</xdr:rowOff>
    </xdr:to>
    <xdr:pic>
      <xdr:nvPicPr>
        <xdr:cNvPr id="561" name="Picture 560" descr="Insight Picture 560"/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7146" y="297432413"/>
          <a:ext cx="3436834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2767776</xdr:colOff>
      <xdr:row>178</xdr:row>
      <xdr:rowOff>61913</xdr:rowOff>
    </xdr:from>
    <xdr:to>
      <xdr:col>2</xdr:col>
      <xdr:colOff>5871398</xdr:colOff>
      <xdr:row>178</xdr:row>
      <xdr:rowOff>1385888</xdr:rowOff>
    </xdr:to>
    <xdr:pic>
      <xdr:nvPicPr>
        <xdr:cNvPr id="562" name="Picture 561" descr="Insight Picture 561"/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3751" y="298956413"/>
          <a:ext cx="3103622" cy="1323975"/>
        </a:xfrm>
        <a:prstGeom prst="rect">
          <a:avLst/>
        </a:prstGeom>
      </xdr:spPr>
    </xdr:pic>
    <xdr:clientData/>
  </xdr:twoCellAnchor>
  <xdr:twoCellAnchor editAs="oneCell">
    <xdr:from>
      <xdr:col>2</xdr:col>
      <xdr:colOff>3367556</xdr:colOff>
      <xdr:row>179</xdr:row>
      <xdr:rowOff>61913</xdr:rowOff>
    </xdr:from>
    <xdr:to>
      <xdr:col>2</xdr:col>
      <xdr:colOff>5271619</xdr:colOff>
      <xdr:row>179</xdr:row>
      <xdr:rowOff>1995488</xdr:rowOff>
    </xdr:to>
    <xdr:pic>
      <xdr:nvPicPr>
        <xdr:cNvPr id="563" name="Picture 562" descr="Insight Picture 562"/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531" y="300404213"/>
          <a:ext cx="1904063" cy="1933575"/>
        </a:xfrm>
        <a:prstGeom prst="rect">
          <a:avLst/>
        </a:prstGeom>
      </xdr:spPr>
    </xdr:pic>
    <xdr:clientData/>
  </xdr:twoCellAnchor>
  <xdr:twoCellAnchor editAs="oneCell">
    <xdr:from>
      <xdr:col>2</xdr:col>
      <xdr:colOff>3505600</xdr:colOff>
      <xdr:row>180</xdr:row>
      <xdr:rowOff>61913</xdr:rowOff>
    </xdr:from>
    <xdr:to>
      <xdr:col>2</xdr:col>
      <xdr:colOff>5133574</xdr:colOff>
      <xdr:row>180</xdr:row>
      <xdr:rowOff>1881188</xdr:rowOff>
    </xdr:to>
    <xdr:pic>
      <xdr:nvPicPr>
        <xdr:cNvPr id="564" name="Picture 563" descr="Insight Picture 563"/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575" y="302461613"/>
          <a:ext cx="1627974" cy="1819275"/>
        </a:xfrm>
        <a:prstGeom prst="rect">
          <a:avLst/>
        </a:prstGeom>
      </xdr:spPr>
    </xdr:pic>
    <xdr:clientData/>
  </xdr:twoCellAnchor>
  <xdr:twoCellAnchor editAs="oneCell">
    <xdr:from>
      <xdr:col>2</xdr:col>
      <xdr:colOff>3324715</xdr:colOff>
      <xdr:row>181</xdr:row>
      <xdr:rowOff>61913</xdr:rowOff>
    </xdr:from>
    <xdr:to>
      <xdr:col>2</xdr:col>
      <xdr:colOff>5314461</xdr:colOff>
      <xdr:row>181</xdr:row>
      <xdr:rowOff>1947863</xdr:rowOff>
    </xdr:to>
    <xdr:pic>
      <xdr:nvPicPr>
        <xdr:cNvPr id="565" name="Picture 564" descr="Insight Picture 564"/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690" y="304404713"/>
          <a:ext cx="1989746" cy="1885950"/>
        </a:xfrm>
        <a:prstGeom prst="rect">
          <a:avLst/>
        </a:prstGeom>
      </xdr:spPr>
    </xdr:pic>
    <xdr:clientData/>
  </xdr:twoCellAnchor>
  <xdr:twoCellAnchor editAs="oneCell">
    <xdr:from>
      <xdr:col>2</xdr:col>
      <xdr:colOff>2986743</xdr:colOff>
      <xdr:row>182</xdr:row>
      <xdr:rowOff>61913</xdr:rowOff>
    </xdr:from>
    <xdr:to>
      <xdr:col>2</xdr:col>
      <xdr:colOff>5652431</xdr:colOff>
      <xdr:row>182</xdr:row>
      <xdr:rowOff>1804988</xdr:rowOff>
    </xdr:to>
    <xdr:pic>
      <xdr:nvPicPr>
        <xdr:cNvPr id="566" name="Picture 565" descr="Insight Picture 565"/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718" y="306414488"/>
          <a:ext cx="2665688" cy="1743075"/>
        </a:xfrm>
        <a:prstGeom prst="rect">
          <a:avLst/>
        </a:prstGeom>
      </xdr:spPr>
    </xdr:pic>
    <xdr:clientData/>
  </xdr:twoCellAnchor>
  <xdr:twoCellAnchor editAs="oneCell">
    <xdr:from>
      <xdr:col>2</xdr:col>
      <xdr:colOff>3162869</xdr:colOff>
      <xdr:row>183</xdr:row>
      <xdr:rowOff>61913</xdr:rowOff>
    </xdr:from>
    <xdr:to>
      <xdr:col>2</xdr:col>
      <xdr:colOff>5476306</xdr:colOff>
      <xdr:row>183</xdr:row>
      <xdr:rowOff>2528888</xdr:rowOff>
    </xdr:to>
    <xdr:pic>
      <xdr:nvPicPr>
        <xdr:cNvPr id="567" name="Picture 566" descr="Insight Picture 566"/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844" y="308281388"/>
          <a:ext cx="2313437" cy="2466975"/>
        </a:xfrm>
        <a:prstGeom prst="rect">
          <a:avLst/>
        </a:prstGeom>
      </xdr:spPr>
    </xdr:pic>
    <xdr:clientData/>
  </xdr:twoCellAnchor>
  <xdr:twoCellAnchor editAs="oneCell">
    <xdr:from>
      <xdr:col>2</xdr:col>
      <xdr:colOff>2986743</xdr:colOff>
      <xdr:row>184</xdr:row>
      <xdr:rowOff>61913</xdr:rowOff>
    </xdr:from>
    <xdr:to>
      <xdr:col>2</xdr:col>
      <xdr:colOff>5652431</xdr:colOff>
      <xdr:row>184</xdr:row>
      <xdr:rowOff>1957388</xdr:rowOff>
    </xdr:to>
    <xdr:pic>
      <xdr:nvPicPr>
        <xdr:cNvPr id="568" name="Picture 567" descr="Insight Picture 567"/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718" y="310872188"/>
          <a:ext cx="2665688" cy="1895475"/>
        </a:xfrm>
        <a:prstGeom prst="rect">
          <a:avLst/>
        </a:prstGeom>
      </xdr:spPr>
    </xdr:pic>
    <xdr:clientData/>
  </xdr:twoCellAnchor>
  <xdr:twoCellAnchor editAs="oneCell">
    <xdr:from>
      <xdr:col>2</xdr:col>
      <xdr:colOff>2467886</xdr:colOff>
      <xdr:row>185</xdr:row>
      <xdr:rowOff>61913</xdr:rowOff>
    </xdr:from>
    <xdr:to>
      <xdr:col>2</xdr:col>
      <xdr:colOff>6171289</xdr:colOff>
      <xdr:row>185</xdr:row>
      <xdr:rowOff>2024063</xdr:rowOff>
    </xdr:to>
    <xdr:pic>
      <xdr:nvPicPr>
        <xdr:cNvPr id="569" name="Picture 568" descr="Insight Picture 568"/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3861" y="312891488"/>
          <a:ext cx="3703403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2943902</xdr:colOff>
      <xdr:row>186</xdr:row>
      <xdr:rowOff>61913</xdr:rowOff>
    </xdr:from>
    <xdr:to>
      <xdr:col>2</xdr:col>
      <xdr:colOff>5695273</xdr:colOff>
      <xdr:row>186</xdr:row>
      <xdr:rowOff>1462088</xdr:rowOff>
    </xdr:to>
    <xdr:pic>
      <xdr:nvPicPr>
        <xdr:cNvPr id="570" name="Picture 569" descr="Insight Picture 569"/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877" y="314977463"/>
          <a:ext cx="2751371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3400877</xdr:colOff>
      <xdr:row>187</xdr:row>
      <xdr:rowOff>61913</xdr:rowOff>
    </xdr:from>
    <xdr:to>
      <xdr:col>2</xdr:col>
      <xdr:colOff>5238298</xdr:colOff>
      <xdr:row>187</xdr:row>
      <xdr:rowOff>1338263</xdr:rowOff>
    </xdr:to>
    <xdr:pic>
      <xdr:nvPicPr>
        <xdr:cNvPr id="571" name="Picture 570" descr="Insight Picture 570"/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852" y="316501463"/>
          <a:ext cx="1837421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2929622</xdr:colOff>
      <xdr:row>188</xdr:row>
      <xdr:rowOff>61913</xdr:rowOff>
    </xdr:from>
    <xdr:to>
      <xdr:col>2</xdr:col>
      <xdr:colOff>5709554</xdr:colOff>
      <xdr:row>188</xdr:row>
      <xdr:rowOff>1585913</xdr:rowOff>
    </xdr:to>
    <xdr:pic>
      <xdr:nvPicPr>
        <xdr:cNvPr id="572" name="Picture 571" descr="Insight Picture 571"/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5597" y="317901638"/>
          <a:ext cx="2779932" cy="152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2986743</xdr:colOff>
      <xdr:row>189</xdr:row>
      <xdr:rowOff>61913</xdr:rowOff>
    </xdr:from>
    <xdr:to>
      <xdr:col>2</xdr:col>
      <xdr:colOff>5652431</xdr:colOff>
      <xdr:row>189</xdr:row>
      <xdr:rowOff>1500188</xdr:rowOff>
    </xdr:to>
    <xdr:pic>
      <xdr:nvPicPr>
        <xdr:cNvPr id="573" name="Picture 572" descr="Insight Picture 572"/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718" y="319549463"/>
          <a:ext cx="2665688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3358035</xdr:colOff>
      <xdr:row>190</xdr:row>
      <xdr:rowOff>61913</xdr:rowOff>
    </xdr:from>
    <xdr:to>
      <xdr:col>2</xdr:col>
      <xdr:colOff>5281139</xdr:colOff>
      <xdr:row>190</xdr:row>
      <xdr:rowOff>1995488</xdr:rowOff>
    </xdr:to>
    <xdr:pic>
      <xdr:nvPicPr>
        <xdr:cNvPr id="574" name="Picture 573" descr="Insight Picture 573"/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010" y="321111563"/>
          <a:ext cx="1923104" cy="1933575"/>
        </a:xfrm>
        <a:prstGeom prst="rect">
          <a:avLst/>
        </a:prstGeom>
      </xdr:spPr>
    </xdr:pic>
    <xdr:clientData/>
  </xdr:twoCellAnchor>
  <xdr:twoCellAnchor editAs="oneCell">
    <xdr:from>
      <xdr:col>2</xdr:col>
      <xdr:colOff>3448479</xdr:colOff>
      <xdr:row>191</xdr:row>
      <xdr:rowOff>61913</xdr:rowOff>
    </xdr:from>
    <xdr:to>
      <xdr:col>2</xdr:col>
      <xdr:colOff>5190697</xdr:colOff>
      <xdr:row>191</xdr:row>
      <xdr:rowOff>1500188</xdr:rowOff>
    </xdr:to>
    <xdr:pic>
      <xdr:nvPicPr>
        <xdr:cNvPr id="575" name="Picture 574" descr="Insight Picture 574"/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454" y="323168963"/>
          <a:ext cx="1742218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3215231</xdr:colOff>
      <xdr:row>192</xdr:row>
      <xdr:rowOff>64641</xdr:rowOff>
    </xdr:from>
    <xdr:to>
      <xdr:col>2</xdr:col>
      <xdr:colOff>5423944</xdr:colOff>
      <xdr:row>192</xdr:row>
      <xdr:rowOff>2964323</xdr:rowOff>
    </xdr:to>
    <xdr:pic>
      <xdr:nvPicPr>
        <xdr:cNvPr id="576" name="Picture 575" descr="Insight Picture 575"/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1206" y="324733791"/>
          <a:ext cx="2208713" cy="2899682"/>
        </a:xfrm>
        <a:prstGeom prst="rect">
          <a:avLst/>
        </a:prstGeom>
      </xdr:spPr>
    </xdr:pic>
    <xdr:clientData/>
  </xdr:twoCellAnchor>
  <xdr:twoCellAnchor editAs="oneCell">
    <xdr:from>
      <xdr:col>2</xdr:col>
      <xdr:colOff>2644012</xdr:colOff>
      <xdr:row>193</xdr:row>
      <xdr:rowOff>61913</xdr:rowOff>
    </xdr:from>
    <xdr:to>
      <xdr:col>2</xdr:col>
      <xdr:colOff>5995163</xdr:colOff>
      <xdr:row>193</xdr:row>
      <xdr:rowOff>2166938</xdr:rowOff>
    </xdr:to>
    <xdr:pic>
      <xdr:nvPicPr>
        <xdr:cNvPr id="577" name="Picture 576" descr="Insight Picture 576"/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9987" y="327760013"/>
          <a:ext cx="3351151" cy="2105025"/>
        </a:xfrm>
        <a:prstGeom prst="rect">
          <a:avLst/>
        </a:prstGeom>
      </xdr:spPr>
    </xdr:pic>
    <xdr:clientData/>
  </xdr:twoCellAnchor>
  <xdr:twoCellAnchor editAs="oneCell">
    <xdr:from>
      <xdr:col>2</xdr:col>
      <xdr:colOff>2639252</xdr:colOff>
      <xdr:row>194</xdr:row>
      <xdr:rowOff>61913</xdr:rowOff>
    </xdr:from>
    <xdr:to>
      <xdr:col>2</xdr:col>
      <xdr:colOff>5999923</xdr:colOff>
      <xdr:row>194</xdr:row>
      <xdr:rowOff>1423988</xdr:rowOff>
    </xdr:to>
    <xdr:pic>
      <xdr:nvPicPr>
        <xdr:cNvPr id="578" name="Picture 577" descr="Insight Picture 577"/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5227" y="329988863"/>
          <a:ext cx="3360671" cy="1362075"/>
        </a:xfrm>
        <a:prstGeom prst="rect">
          <a:avLst/>
        </a:prstGeom>
      </xdr:spPr>
    </xdr:pic>
    <xdr:clientData/>
  </xdr:twoCellAnchor>
  <xdr:twoCellAnchor editAs="oneCell">
    <xdr:from>
      <xdr:col>2</xdr:col>
      <xdr:colOff>3443718</xdr:colOff>
      <xdr:row>195</xdr:row>
      <xdr:rowOff>61913</xdr:rowOff>
    </xdr:from>
    <xdr:to>
      <xdr:col>2</xdr:col>
      <xdr:colOff>5195456</xdr:colOff>
      <xdr:row>195</xdr:row>
      <xdr:rowOff>1481138</xdr:rowOff>
    </xdr:to>
    <xdr:pic>
      <xdr:nvPicPr>
        <xdr:cNvPr id="579" name="Picture 578" descr="Insight Picture 578"/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9693" y="331474763"/>
          <a:ext cx="1751738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3443718</xdr:colOff>
      <xdr:row>196</xdr:row>
      <xdr:rowOff>61913</xdr:rowOff>
    </xdr:from>
    <xdr:to>
      <xdr:col>2</xdr:col>
      <xdr:colOff>5195456</xdr:colOff>
      <xdr:row>196</xdr:row>
      <xdr:rowOff>1481138</xdr:rowOff>
    </xdr:to>
    <xdr:pic>
      <xdr:nvPicPr>
        <xdr:cNvPr id="580" name="Picture 579" descr="Insight Picture 579"/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9693" y="333017813"/>
          <a:ext cx="1751738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2858219</xdr:colOff>
      <xdr:row>197</xdr:row>
      <xdr:rowOff>61913</xdr:rowOff>
    </xdr:from>
    <xdr:to>
      <xdr:col>2</xdr:col>
      <xdr:colOff>5780956</xdr:colOff>
      <xdr:row>197</xdr:row>
      <xdr:rowOff>2805113</xdr:rowOff>
    </xdr:to>
    <xdr:pic>
      <xdr:nvPicPr>
        <xdr:cNvPr id="581" name="Picture 580" descr="Insight Picture 580"/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4194" y="334560863"/>
          <a:ext cx="2922737" cy="2743200"/>
        </a:xfrm>
        <a:prstGeom prst="rect">
          <a:avLst/>
        </a:prstGeom>
      </xdr:spPr>
    </xdr:pic>
    <xdr:clientData/>
  </xdr:twoCellAnchor>
  <xdr:twoCellAnchor editAs="oneCell">
    <xdr:from>
      <xdr:col>2</xdr:col>
      <xdr:colOff>2810618</xdr:colOff>
      <xdr:row>198</xdr:row>
      <xdr:rowOff>61913</xdr:rowOff>
    </xdr:from>
    <xdr:to>
      <xdr:col>2</xdr:col>
      <xdr:colOff>5828557</xdr:colOff>
      <xdr:row>198</xdr:row>
      <xdr:rowOff>1471613</xdr:rowOff>
    </xdr:to>
    <xdr:pic>
      <xdr:nvPicPr>
        <xdr:cNvPr id="582" name="Picture 581" descr="Insight Picture 581"/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6593" y="337427888"/>
          <a:ext cx="3017939" cy="1409700"/>
        </a:xfrm>
        <a:prstGeom prst="rect">
          <a:avLst/>
        </a:prstGeom>
      </xdr:spPr>
    </xdr:pic>
    <xdr:clientData/>
  </xdr:twoCellAnchor>
  <xdr:twoCellAnchor editAs="oneCell">
    <xdr:from>
      <xdr:col>2</xdr:col>
      <xdr:colOff>2777296</xdr:colOff>
      <xdr:row>199</xdr:row>
      <xdr:rowOff>61913</xdr:rowOff>
    </xdr:from>
    <xdr:to>
      <xdr:col>2</xdr:col>
      <xdr:colOff>5861878</xdr:colOff>
      <xdr:row>199</xdr:row>
      <xdr:rowOff>1395413</xdr:rowOff>
    </xdr:to>
    <xdr:pic>
      <xdr:nvPicPr>
        <xdr:cNvPr id="583" name="Picture 582" descr="Insight Picture 582"/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3271" y="338961413"/>
          <a:ext cx="3084582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3086707</xdr:colOff>
      <xdr:row>200</xdr:row>
      <xdr:rowOff>61913</xdr:rowOff>
    </xdr:from>
    <xdr:to>
      <xdr:col>2</xdr:col>
      <xdr:colOff>5552469</xdr:colOff>
      <xdr:row>200</xdr:row>
      <xdr:rowOff>1585913</xdr:rowOff>
    </xdr:to>
    <xdr:pic>
      <xdr:nvPicPr>
        <xdr:cNvPr id="584" name="Picture 583" descr="Insight Picture 583"/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682" y="340418738"/>
          <a:ext cx="2465762" cy="152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2363163</xdr:colOff>
      <xdr:row>201</xdr:row>
      <xdr:rowOff>61913</xdr:rowOff>
    </xdr:from>
    <xdr:to>
      <xdr:col>2</xdr:col>
      <xdr:colOff>6276012</xdr:colOff>
      <xdr:row>201</xdr:row>
      <xdr:rowOff>2262188</xdr:rowOff>
    </xdr:to>
    <xdr:pic>
      <xdr:nvPicPr>
        <xdr:cNvPr id="585" name="Picture 584" descr="Insight Picture 584"/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9138" y="342066563"/>
          <a:ext cx="3912849" cy="2200275"/>
        </a:xfrm>
        <a:prstGeom prst="rect">
          <a:avLst/>
        </a:prstGeom>
      </xdr:spPr>
    </xdr:pic>
    <xdr:clientData/>
  </xdr:twoCellAnchor>
  <xdr:twoCellAnchor editAs="oneCell">
    <xdr:from>
      <xdr:col>2</xdr:col>
      <xdr:colOff>2753496</xdr:colOff>
      <xdr:row>202</xdr:row>
      <xdr:rowOff>61913</xdr:rowOff>
    </xdr:from>
    <xdr:to>
      <xdr:col>2</xdr:col>
      <xdr:colOff>5885679</xdr:colOff>
      <xdr:row>202</xdr:row>
      <xdr:rowOff>2166938</xdr:rowOff>
    </xdr:to>
    <xdr:pic>
      <xdr:nvPicPr>
        <xdr:cNvPr id="586" name="Picture 585" descr="Insight Picture 585"/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9471" y="344390663"/>
          <a:ext cx="3132183" cy="2105025"/>
        </a:xfrm>
        <a:prstGeom prst="rect">
          <a:avLst/>
        </a:prstGeom>
      </xdr:spPr>
    </xdr:pic>
    <xdr:clientData/>
  </xdr:twoCellAnchor>
  <xdr:twoCellAnchor editAs="oneCell">
    <xdr:from>
      <xdr:col>2</xdr:col>
      <xdr:colOff>3110507</xdr:colOff>
      <xdr:row>203</xdr:row>
      <xdr:rowOff>61913</xdr:rowOff>
    </xdr:from>
    <xdr:to>
      <xdr:col>2</xdr:col>
      <xdr:colOff>5528667</xdr:colOff>
      <xdr:row>203</xdr:row>
      <xdr:rowOff>1776413</xdr:rowOff>
    </xdr:to>
    <xdr:pic>
      <xdr:nvPicPr>
        <xdr:cNvPr id="587" name="Picture 586" descr="Insight Picture 586"/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6482" y="346619513"/>
          <a:ext cx="2418160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2858219</xdr:colOff>
      <xdr:row>204</xdr:row>
      <xdr:rowOff>61913</xdr:rowOff>
    </xdr:from>
    <xdr:to>
      <xdr:col>2</xdr:col>
      <xdr:colOff>5780956</xdr:colOff>
      <xdr:row>204</xdr:row>
      <xdr:rowOff>2405063</xdr:rowOff>
    </xdr:to>
    <xdr:pic>
      <xdr:nvPicPr>
        <xdr:cNvPr id="588" name="Picture 587" descr="Insight Picture 587"/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4194" y="348457838"/>
          <a:ext cx="2922737" cy="2343150"/>
        </a:xfrm>
        <a:prstGeom prst="rect">
          <a:avLst/>
        </a:prstGeom>
      </xdr:spPr>
    </xdr:pic>
    <xdr:clientData/>
  </xdr:twoCellAnchor>
  <xdr:twoCellAnchor editAs="oneCell">
    <xdr:from>
      <xdr:col>2</xdr:col>
      <xdr:colOff>2743976</xdr:colOff>
      <xdr:row>205</xdr:row>
      <xdr:rowOff>61913</xdr:rowOff>
    </xdr:from>
    <xdr:to>
      <xdr:col>2</xdr:col>
      <xdr:colOff>5895200</xdr:colOff>
      <xdr:row>205</xdr:row>
      <xdr:rowOff>1804988</xdr:rowOff>
    </xdr:to>
    <xdr:pic>
      <xdr:nvPicPr>
        <xdr:cNvPr id="589" name="Picture 588" descr="Insight Picture 588"/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951" y="350924813"/>
          <a:ext cx="3151224" cy="1743075"/>
        </a:xfrm>
        <a:prstGeom prst="rect">
          <a:avLst/>
        </a:prstGeom>
      </xdr:spPr>
    </xdr:pic>
    <xdr:clientData/>
  </xdr:twoCellAnchor>
  <xdr:twoCellAnchor editAs="oneCell">
    <xdr:from>
      <xdr:col>2</xdr:col>
      <xdr:colOff>3343756</xdr:colOff>
      <xdr:row>206</xdr:row>
      <xdr:rowOff>61913</xdr:rowOff>
    </xdr:from>
    <xdr:to>
      <xdr:col>2</xdr:col>
      <xdr:colOff>5295420</xdr:colOff>
      <xdr:row>206</xdr:row>
      <xdr:rowOff>2024063</xdr:rowOff>
    </xdr:to>
    <xdr:pic>
      <xdr:nvPicPr>
        <xdr:cNvPr id="590" name="Picture 589" descr="Insight Picture 589"/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731" y="352791713"/>
          <a:ext cx="1951664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3277113</xdr:colOff>
      <xdr:row>207</xdr:row>
      <xdr:rowOff>61913</xdr:rowOff>
    </xdr:from>
    <xdr:to>
      <xdr:col>2</xdr:col>
      <xdr:colOff>5362062</xdr:colOff>
      <xdr:row>207</xdr:row>
      <xdr:rowOff>1871663</xdr:rowOff>
    </xdr:to>
    <xdr:pic>
      <xdr:nvPicPr>
        <xdr:cNvPr id="591" name="Picture 590" descr="Insight Picture 590"/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3088" y="354877688"/>
          <a:ext cx="2084949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3258072</xdr:colOff>
      <xdr:row>208</xdr:row>
      <xdr:rowOff>61913</xdr:rowOff>
    </xdr:from>
    <xdr:to>
      <xdr:col>2</xdr:col>
      <xdr:colOff>5381102</xdr:colOff>
      <xdr:row>208</xdr:row>
      <xdr:rowOff>1528763</xdr:rowOff>
    </xdr:to>
    <xdr:pic>
      <xdr:nvPicPr>
        <xdr:cNvPr id="592" name="Picture 591" descr="Insight Picture 591"/>
        <xdr:cNvPicPr>
          <a:picLocks noChangeAspect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4047" y="356811263"/>
          <a:ext cx="2123030" cy="1466850"/>
        </a:xfrm>
        <a:prstGeom prst="rect">
          <a:avLst/>
        </a:prstGeom>
      </xdr:spPr>
    </xdr:pic>
    <xdr:clientData/>
  </xdr:twoCellAnchor>
  <xdr:twoCellAnchor editAs="oneCell">
    <xdr:from>
      <xdr:col>2</xdr:col>
      <xdr:colOff>3110507</xdr:colOff>
      <xdr:row>209</xdr:row>
      <xdr:rowOff>64641</xdr:rowOff>
    </xdr:from>
    <xdr:to>
      <xdr:col>2</xdr:col>
      <xdr:colOff>5528667</xdr:colOff>
      <xdr:row>209</xdr:row>
      <xdr:rowOff>3307223</xdr:rowOff>
    </xdr:to>
    <xdr:pic>
      <xdr:nvPicPr>
        <xdr:cNvPr id="593" name="Picture 592" descr="Insight Picture 592"/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6482" y="358404666"/>
          <a:ext cx="2418160" cy="3242582"/>
        </a:xfrm>
        <a:prstGeom prst="rect">
          <a:avLst/>
        </a:prstGeom>
      </xdr:spPr>
    </xdr:pic>
    <xdr:clientData/>
  </xdr:twoCellAnchor>
  <xdr:twoCellAnchor editAs="oneCell">
    <xdr:from>
      <xdr:col>2</xdr:col>
      <xdr:colOff>3505600</xdr:colOff>
      <xdr:row>210</xdr:row>
      <xdr:rowOff>61913</xdr:rowOff>
    </xdr:from>
    <xdr:to>
      <xdr:col>2</xdr:col>
      <xdr:colOff>5133574</xdr:colOff>
      <xdr:row>210</xdr:row>
      <xdr:rowOff>1604963</xdr:rowOff>
    </xdr:to>
    <xdr:pic>
      <xdr:nvPicPr>
        <xdr:cNvPr id="594" name="Picture 593" descr="Insight Picture 593"/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575" y="361773788"/>
          <a:ext cx="1627974" cy="1543050"/>
        </a:xfrm>
        <a:prstGeom prst="rect">
          <a:avLst/>
        </a:prstGeom>
      </xdr:spPr>
    </xdr:pic>
    <xdr:clientData/>
  </xdr:twoCellAnchor>
  <xdr:twoCellAnchor editAs="oneCell">
    <xdr:from>
      <xdr:col>2</xdr:col>
      <xdr:colOff>2901061</xdr:colOff>
      <xdr:row>211</xdr:row>
      <xdr:rowOff>61913</xdr:rowOff>
    </xdr:from>
    <xdr:to>
      <xdr:col>2</xdr:col>
      <xdr:colOff>5738115</xdr:colOff>
      <xdr:row>211</xdr:row>
      <xdr:rowOff>1347788</xdr:rowOff>
    </xdr:to>
    <xdr:pic>
      <xdr:nvPicPr>
        <xdr:cNvPr id="595" name="Picture 594" descr="Insight Picture 594"/>
        <xdr:cNvPicPr>
          <a:picLocks noChangeAspect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036" y="363440663"/>
          <a:ext cx="2837054" cy="1285875"/>
        </a:xfrm>
        <a:prstGeom prst="rect">
          <a:avLst/>
        </a:prstGeom>
      </xdr:spPr>
    </xdr:pic>
    <xdr:clientData/>
  </xdr:twoCellAnchor>
  <xdr:twoCellAnchor editAs="oneCell">
    <xdr:from>
      <xdr:col>2</xdr:col>
      <xdr:colOff>2486927</xdr:colOff>
      <xdr:row>212</xdr:row>
      <xdr:rowOff>61913</xdr:rowOff>
    </xdr:from>
    <xdr:to>
      <xdr:col>2</xdr:col>
      <xdr:colOff>6152248</xdr:colOff>
      <xdr:row>212</xdr:row>
      <xdr:rowOff>1395413</xdr:rowOff>
    </xdr:to>
    <xdr:pic>
      <xdr:nvPicPr>
        <xdr:cNvPr id="596" name="Picture 595" descr="Insight Picture 595"/>
        <xdr:cNvPicPr>
          <a:picLocks noChangeAspect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902" y="364850363"/>
          <a:ext cx="3665321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3681726</xdr:colOff>
      <xdr:row>213</xdr:row>
      <xdr:rowOff>61913</xdr:rowOff>
    </xdr:from>
    <xdr:to>
      <xdr:col>2</xdr:col>
      <xdr:colOff>4957448</xdr:colOff>
      <xdr:row>213</xdr:row>
      <xdr:rowOff>2262188</xdr:rowOff>
    </xdr:to>
    <xdr:pic>
      <xdr:nvPicPr>
        <xdr:cNvPr id="597" name="Picture 596" descr="Insight Picture 596"/>
        <xdr:cNvPicPr>
          <a:picLocks noChangeAspect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7701" y="366307688"/>
          <a:ext cx="1275722" cy="2200275"/>
        </a:xfrm>
        <a:prstGeom prst="rect">
          <a:avLst/>
        </a:prstGeom>
      </xdr:spPr>
    </xdr:pic>
    <xdr:clientData/>
  </xdr:twoCellAnchor>
  <xdr:twoCellAnchor editAs="oneCell">
    <xdr:from>
      <xdr:col>2</xdr:col>
      <xdr:colOff>2696374</xdr:colOff>
      <xdr:row>214</xdr:row>
      <xdr:rowOff>61913</xdr:rowOff>
    </xdr:from>
    <xdr:to>
      <xdr:col>2</xdr:col>
      <xdr:colOff>5942801</xdr:colOff>
      <xdr:row>214</xdr:row>
      <xdr:rowOff>1871663</xdr:rowOff>
    </xdr:to>
    <xdr:pic>
      <xdr:nvPicPr>
        <xdr:cNvPr id="598" name="Picture 597" descr="Insight Picture 597"/>
        <xdr:cNvPicPr>
          <a:picLocks noChangeAspect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2349" y="368631788"/>
          <a:ext cx="3246427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2924861</xdr:colOff>
      <xdr:row>215</xdr:row>
      <xdr:rowOff>61913</xdr:rowOff>
    </xdr:from>
    <xdr:to>
      <xdr:col>2</xdr:col>
      <xdr:colOff>5714313</xdr:colOff>
      <xdr:row>215</xdr:row>
      <xdr:rowOff>2814638</xdr:rowOff>
    </xdr:to>
    <xdr:pic>
      <xdr:nvPicPr>
        <xdr:cNvPr id="599" name="Picture 598" descr="Insight Picture 598"/>
        <xdr:cNvPicPr>
          <a:picLocks noChangeAspect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836" y="370565363"/>
          <a:ext cx="2789452" cy="2752725"/>
        </a:xfrm>
        <a:prstGeom prst="rect">
          <a:avLst/>
        </a:prstGeom>
      </xdr:spPr>
    </xdr:pic>
    <xdr:clientData/>
  </xdr:twoCellAnchor>
  <xdr:twoCellAnchor editAs="oneCell">
    <xdr:from>
      <xdr:col>2</xdr:col>
      <xdr:colOff>2677333</xdr:colOff>
      <xdr:row>216</xdr:row>
      <xdr:rowOff>61913</xdr:rowOff>
    </xdr:from>
    <xdr:to>
      <xdr:col>2</xdr:col>
      <xdr:colOff>5961841</xdr:colOff>
      <xdr:row>216</xdr:row>
      <xdr:rowOff>2281238</xdr:rowOff>
    </xdr:to>
    <xdr:pic>
      <xdr:nvPicPr>
        <xdr:cNvPr id="600" name="Picture 599" descr="Insight Picture 599"/>
        <xdr:cNvPicPr>
          <a:picLocks noChangeAspect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3308" y="373441913"/>
          <a:ext cx="3284508" cy="2219325"/>
        </a:xfrm>
        <a:prstGeom prst="rect">
          <a:avLst/>
        </a:prstGeom>
      </xdr:spPr>
    </xdr:pic>
    <xdr:clientData/>
  </xdr:twoCellAnchor>
  <xdr:twoCellAnchor editAs="oneCell">
    <xdr:from>
      <xdr:col>2</xdr:col>
      <xdr:colOff>3143828</xdr:colOff>
      <xdr:row>217</xdr:row>
      <xdr:rowOff>61913</xdr:rowOff>
    </xdr:from>
    <xdr:to>
      <xdr:col>2</xdr:col>
      <xdr:colOff>5495346</xdr:colOff>
      <xdr:row>217</xdr:row>
      <xdr:rowOff>1652588</xdr:rowOff>
    </xdr:to>
    <xdr:pic>
      <xdr:nvPicPr>
        <xdr:cNvPr id="601" name="Picture 600" descr="Insight Picture 600"/>
        <xdr:cNvPicPr>
          <a:picLocks noChangeAspect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803" y="375785063"/>
          <a:ext cx="2351518" cy="1590675"/>
        </a:xfrm>
        <a:prstGeom prst="rect">
          <a:avLst/>
        </a:prstGeom>
      </xdr:spPr>
    </xdr:pic>
    <xdr:clientData/>
  </xdr:twoCellAnchor>
  <xdr:twoCellAnchor editAs="oneCell">
    <xdr:from>
      <xdr:col>2</xdr:col>
      <xdr:colOff>3043865</xdr:colOff>
      <xdr:row>218</xdr:row>
      <xdr:rowOff>61913</xdr:rowOff>
    </xdr:from>
    <xdr:to>
      <xdr:col>2</xdr:col>
      <xdr:colOff>5595310</xdr:colOff>
      <xdr:row>218</xdr:row>
      <xdr:rowOff>1347788</xdr:rowOff>
    </xdr:to>
    <xdr:pic>
      <xdr:nvPicPr>
        <xdr:cNvPr id="602" name="Picture 601" descr="Insight Picture 601"/>
        <xdr:cNvPicPr>
          <a:picLocks noChangeAspect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9840" y="377499563"/>
          <a:ext cx="2551445" cy="1285875"/>
        </a:xfrm>
        <a:prstGeom prst="rect">
          <a:avLst/>
        </a:prstGeom>
      </xdr:spPr>
    </xdr:pic>
    <xdr:clientData/>
  </xdr:twoCellAnchor>
  <xdr:twoCellAnchor editAs="oneCell">
    <xdr:from>
      <xdr:col>2</xdr:col>
      <xdr:colOff>3062906</xdr:colOff>
      <xdr:row>219</xdr:row>
      <xdr:rowOff>61913</xdr:rowOff>
    </xdr:from>
    <xdr:to>
      <xdr:col>2</xdr:col>
      <xdr:colOff>5576269</xdr:colOff>
      <xdr:row>219</xdr:row>
      <xdr:rowOff>2166938</xdr:rowOff>
    </xdr:to>
    <xdr:pic>
      <xdr:nvPicPr>
        <xdr:cNvPr id="603" name="Picture 602" descr="Insight Picture 602"/>
        <xdr:cNvPicPr>
          <a:picLocks noChangeAspect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8881" y="378909263"/>
          <a:ext cx="2513363" cy="2105025"/>
        </a:xfrm>
        <a:prstGeom prst="rect">
          <a:avLst/>
        </a:prstGeom>
      </xdr:spPr>
    </xdr:pic>
    <xdr:clientData/>
  </xdr:twoCellAnchor>
  <xdr:twoCellAnchor editAs="oneCell">
    <xdr:from>
      <xdr:col>2</xdr:col>
      <xdr:colOff>2748735</xdr:colOff>
      <xdr:row>220</xdr:row>
      <xdr:rowOff>61913</xdr:rowOff>
    </xdr:from>
    <xdr:to>
      <xdr:col>2</xdr:col>
      <xdr:colOff>5890439</xdr:colOff>
      <xdr:row>220</xdr:row>
      <xdr:rowOff>2081213</xdr:rowOff>
    </xdr:to>
    <xdr:pic>
      <xdr:nvPicPr>
        <xdr:cNvPr id="604" name="Picture 603" descr="Insight Picture 603"/>
        <xdr:cNvPicPr>
          <a:picLocks noChangeAspect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4710" y="381138113"/>
          <a:ext cx="3141704" cy="2019300"/>
        </a:xfrm>
        <a:prstGeom prst="rect">
          <a:avLst/>
        </a:prstGeom>
      </xdr:spPr>
    </xdr:pic>
    <xdr:clientData/>
  </xdr:twoCellAnchor>
  <xdr:twoCellAnchor editAs="oneCell">
    <xdr:from>
      <xdr:col>2</xdr:col>
      <xdr:colOff>3181910</xdr:colOff>
      <xdr:row>221</xdr:row>
      <xdr:rowOff>61913</xdr:rowOff>
    </xdr:from>
    <xdr:to>
      <xdr:col>2</xdr:col>
      <xdr:colOff>5457265</xdr:colOff>
      <xdr:row>221</xdr:row>
      <xdr:rowOff>1824038</xdr:rowOff>
    </xdr:to>
    <xdr:pic>
      <xdr:nvPicPr>
        <xdr:cNvPr id="605" name="Picture 604" descr="Insight Picture 604"/>
        <xdr:cNvPicPr>
          <a:picLocks noChangeAspect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885" y="383281238"/>
          <a:ext cx="2275355" cy="1762125"/>
        </a:xfrm>
        <a:prstGeom prst="rect">
          <a:avLst/>
        </a:prstGeom>
      </xdr:spPr>
    </xdr:pic>
    <xdr:clientData/>
  </xdr:twoCellAnchor>
  <xdr:twoCellAnchor editAs="oneCell">
    <xdr:from>
      <xdr:col>2</xdr:col>
      <xdr:colOff>3448479</xdr:colOff>
      <xdr:row>222</xdr:row>
      <xdr:rowOff>61913</xdr:rowOff>
    </xdr:from>
    <xdr:to>
      <xdr:col>2</xdr:col>
      <xdr:colOff>5190697</xdr:colOff>
      <xdr:row>222</xdr:row>
      <xdr:rowOff>1433513</xdr:rowOff>
    </xdr:to>
    <xdr:pic>
      <xdr:nvPicPr>
        <xdr:cNvPr id="606" name="Picture 605" descr="Insight Picture 605"/>
        <xdr:cNvPicPr>
          <a:picLocks noChangeAspect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454" y="385167188"/>
          <a:ext cx="1742218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3377076</xdr:colOff>
      <xdr:row>223</xdr:row>
      <xdr:rowOff>61913</xdr:rowOff>
    </xdr:from>
    <xdr:to>
      <xdr:col>2</xdr:col>
      <xdr:colOff>5262098</xdr:colOff>
      <xdr:row>223</xdr:row>
      <xdr:rowOff>1500188</xdr:rowOff>
    </xdr:to>
    <xdr:pic>
      <xdr:nvPicPr>
        <xdr:cNvPr id="607" name="Picture 606" descr="Insight Picture 606"/>
        <xdr:cNvPicPr>
          <a:picLocks noChangeAspect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051" y="386662613"/>
          <a:ext cx="1885022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3462760</xdr:colOff>
      <xdr:row>224</xdr:row>
      <xdr:rowOff>61913</xdr:rowOff>
    </xdr:from>
    <xdr:to>
      <xdr:col>2</xdr:col>
      <xdr:colOff>5176416</xdr:colOff>
      <xdr:row>224</xdr:row>
      <xdr:rowOff>2528888</xdr:rowOff>
    </xdr:to>
    <xdr:pic>
      <xdr:nvPicPr>
        <xdr:cNvPr id="608" name="Picture 607" descr="Insight Picture 607"/>
        <xdr:cNvPicPr>
          <a:picLocks noChangeAspect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8735" y="388224713"/>
          <a:ext cx="1713656" cy="2466975"/>
        </a:xfrm>
        <a:prstGeom prst="rect">
          <a:avLst/>
        </a:prstGeom>
      </xdr:spPr>
    </xdr:pic>
    <xdr:clientData/>
  </xdr:twoCellAnchor>
  <xdr:twoCellAnchor editAs="oneCell">
    <xdr:from>
      <xdr:col>2</xdr:col>
      <xdr:colOff>2972463</xdr:colOff>
      <xdr:row>225</xdr:row>
      <xdr:rowOff>61913</xdr:rowOff>
    </xdr:from>
    <xdr:to>
      <xdr:col>2</xdr:col>
      <xdr:colOff>5666712</xdr:colOff>
      <xdr:row>225</xdr:row>
      <xdr:rowOff>1481138</xdr:rowOff>
    </xdr:to>
    <xdr:pic>
      <xdr:nvPicPr>
        <xdr:cNvPr id="609" name="Picture 608" descr="Insight Picture 608"/>
        <xdr:cNvPicPr>
          <a:picLocks noChangeAspect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8438" y="390815513"/>
          <a:ext cx="2694249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3396117</xdr:colOff>
      <xdr:row>226</xdr:row>
      <xdr:rowOff>61913</xdr:rowOff>
    </xdr:from>
    <xdr:to>
      <xdr:col>2</xdr:col>
      <xdr:colOff>5243058</xdr:colOff>
      <xdr:row>226</xdr:row>
      <xdr:rowOff>2024063</xdr:rowOff>
    </xdr:to>
    <xdr:pic>
      <xdr:nvPicPr>
        <xdr:cNvPr id="610" name="Picture 609" descr="Insight Picture 609"/>
        <xdr:cNvPicPr>
          <a:picLocks noChangeAspect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2092" y="392358563"/>
          <a:ext cx="1846941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2934381</xdr:colOff>
      <xdr:row>227</xdr:row>
      <xdr:rowOff>61913</xdr:rowOff>
    </xdr:from>
    <xdr:to>
      <xdr:col>2</xdr:col>
      <xdr:colOff>5704793</xdr:colOff>
      <xdr:row>227</xdr:row>
      <xdr:rowOff>2395538</xdr:rowOff>
    </xdr:to>
    <xdr:pic>
      <xdr:nvPicPr>
        <xdr:cNvPr id="611" name="Picture 610" descr="Insight Picture 610"/>
        <xdr:cNvPicPr>
          <a:picLocks noChangeAspect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0356" y="394444538"/>
          <a:ext cx="2770412" cy="2333625"/>
        </a:xfrm>
        <a:prstGeom prst="rect">
          <a:avLst/>
        </a:prstGeom>
      </xdr:spPr>
    </xdr:pic>
    <xdr:clientData/>
  </xdr:twoCellAnchor>
  <xdr:twoCellAnchor editAs="oneCell">
    <xdr:from>
      <xdr:col>2</xdr:col>
      <xdr:colOff>2639252</xdr:colOff>
      <xdr:row>228</xdr:row>
      <xdr:rowOff>61913</xdr:rowOff>
    </xdr:from>
    <xdr:to>
      <xdr:col>2</xdr:col>
      <xdr:colOff>5999923</xdr:colOff>
      <xdr:row>228</xdr:row>
      <xdr:rowOff>2490788</xdr:rowOff>
    </xdr:to>
    <xdr:pic>
      <xdr:nvPicPr>
        <xdr:cNvPr id="612" name="Picture 611" descr="Insight Picture 611"/>
        <xdr:cNvPicPr>
          <a:picLocks noChangeAspect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5227" y="396901988"/>
          <a:ext cx="3360671" cy="2428875"/>
        </a:xfrm>
        <a:prstGeom prst="rect">
          <a:avLst/>
        </a:prstGeom>
      </xdr:spPr>
    </xdr:pic>
    <xdr:clientData/>
  </xdr:twoCellAnchor>
  <xdr:twoCellAnchor editAs="oneCell">
    <xdr:from>
      <xdr:col>2</xdr:col>
      <xdr:colOff>2496448</xdr:colOff>
      <xdr:row>229</xdr:row>
      <xdr:rowOff>61913</xdr:rowOff>
    </xdr:from>
    <xdr:to>
      <xdr:col>2</xdr:col>
      <xdr:colOff>6142728</xdr:colOff>
      <xdr:row>229</xdr:row>
      <xdr:rowOff>2014538</xdr:rowOff>
    </xdr:to>
    <xdr:pic>
      <xdr:nvPicPr>
        <xdr:cNvPr id="613" name="Picture 612" descr="Insight Picture 612"/>
        <xdr:cNvPicPr>
          <a:picLocks noChangeAspect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423" y="399454688"/>
          <a:ext cx="3646280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2986743</xdr:colOff>
      <xdr:row>230</xdr:row>
      <xdr:rowOff>61913</xdr:rowOff>
    </xdr:from>
    <xdr:to>
      <xdr:col>2</xdr:col>
      <xdr:colOff>5652431</xdr:colOff>
      <xdr:row>230</xdr:row>
      <xdr:rowOff>1852613</xdr:rowOff>
    </xdr:to>
    <xdr:pic>
      <xdr:nvPicPr>
        <xdr:cNvPr id="614" name="Picture 613" descr="Insight Picture 613"/>
        <xdr:cNvPicPr>
          <a:picLocks noChangeAspect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718" y="401531138"/>
          <a:ext cx="2665688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2924861</xdr:colOff>
      <xdr:row>231</xdr:row>
      <xdr:rowOff>61913</xdr:rowOff>
    </xdr:from>
    <xdr:to>
      <xdr:col>2</xdr:col>
      <xdr:colOff>5714313</xdr:colOff>
      <xdr:row>231</xdr:row>
      <xdr:rowOff>2176463</xdr:rowOff>
    </xdr:to>
    <xdr:pic>
      <xdr:nvPicPr>
        <xdr:cNvPr id="615" name="Picture 614" descr="Insight Picture 614"/>
        <xdr:cNvPicPr>
          <a:picLocks noChangeAspect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836" y="403445663"/>
          <a:ext cx="2789452" cy="2114550"/>
        </a:xfrm>
        <a:prstGeom prst="rect">
          <a:avLst/>
        </a:prstGeom>
      </xdr:spPr>
    </xdr:pic>
    <xdr:clientData/>
  </xdr:twoCellAnchor>
  <xdr:twoCellAnchor editAs="oneCell">
    <xdr:from>
      <xdr:col>2</xdr:col>
      <xdr:colOff>2444086</xdr:colOff>
      <xdr:row>232</xdr:row>
      <xdr:rowOff>61913</xdr:rowOff>
    </xdr:from>
    <xdr:to>
      <xdr:col>2</xdr:col>
      <xdr:colOff>6195090</xdr:colOff>
      <xdr:row>232</xdr:row>
      <xdr:rowOff>1671638</xdr:rowOff>
    </xdr:to>
    <xdr:pic>
      <xdr:nvPicPr>
        <xdr:cNvPr id="616" name="Picture 615" descr="Insight Picture 615"/>
        <xdr:cNvPicPr>
          <a:picLocks noChangeAspect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61" y="405684038"/>
          <a:ext cx="3751004" cy="1609725"/>
        </a:xfrm>
        <a:prstGeom prst="rect">
          <a:avLst/>
        </a:prstGeom>
      </xdr:spPr>
    </xdr:pic>
    <xdr:clientData/>
  </xdr:twoCellAnchor>
  <xdr:twoCellAnchor editAs="oneCell">
    <xdr:from>
      <xdr:col>2</xdr:col>
      <xdr:colOff>2463126</xdr:colOff>
      <xdr:row>233</xdr:row>
      <xdr:rowOff>61913</xdr:rowOff>
    </xdr:from>
    <xdr:to>
      <xdr:col>2</xdr:col>
      <xdr:colOff>6176048</xdr:colOff>
      <xdr:row>233</xdr:row>
      <xdr:rowOff>1681163</xdr:rowOff>
    </xdr:to>
    <xdr:pic>
      <xdr:nvPicPr>
        <xdr:cNvPr id="617" name="Picture 616" descr="Insight Picture 616"/>
        <xdr:cNvPicPr>
          <a:picLocks noChangeAspect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101" y="407417588"/>
          <a:ext cx="3712922" cy="1619250"/>
        </a:xfrm>
        <a:prstGeom prst="rect">
          <a:avLst/>
        </a:prstGeom>
      </xdr:spPr>
    </xdr:pic>
    <xdr:clientData/>
  </xdr:twoCellAnchor>
  <xdr:twoCellAnchor editAs="oneCell">
    <xdr:from>
      <xdr:col>2</xdr:col>
      <xdr:colOff>2010911</xdr:colOff>
      <xdr:row>234</xdr:row>
      <xdr:rowOff>61913</xdr:rowOff>
    </xdr:from>
    <xdr:to>
      <xdr:col>2</xdr:col>
      <xdr:colOff>6628264</xdr:colOff>
      <xdr:row>234</xdr:row>
      <xdr:rowOff>1338263</xdr:rowOff>
    </xdr:to>
    <xdr:pic>
      <xdr:nvPicPr>
        <xdr:cNvPr id="618" name="Picture 617" descr="Insight Picture 617"/>
        <xdr:cNvPicPr>
          <a:picLocks noChangeAspect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6886" y="409160663"/>
          <a:ext cx="4617353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3391357</xdr:colOff>
      <xdr:row>235</xdr:row>
      <xdr:rowOff>61913</xdr:rowOff>
    </xdr:from>
    <xdr:to>
      <xdr:col>2</xdr:col>
      <xdr:colOff>5247819</xdr:colOff>
      <xdr:row>235</xdr:row>
      <xdr:rowOff>2024063</xdr:rowOff>
    </xdr:to>
    <xdr:pic>
      <xdr:nvPicPr>
        <xdr:cNvPr id="619" name="Picture 618" descr="Insight Picture 618"/>
        <xdr:cNvPicPr>
          <a:picLocks noChangeAspect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7332" y="410560838"/>
          <a:ext cx="1856462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2710655</xdr:colOff>
      <xdr:row>236</xdr:row>
      <xdr:rowOff>61913</xdr:rowOff>
    </xdr:from>
    <xdr:to>
      <xdr:col>2</xdr:col>
      <xdr:colOff>5928521</xdr:colOff>
      <xdr:row>236</xdr:row>
      <xdr:rowOff>1652588</xdr:rowOff>
    </xdr:to>
    <xdr:pic>
      <xdr:nvPicPr>
        <xdr:cNvPr id="620" name="Picture 619" descr="Insight Picture 619"/>
        <xdr:cNvPicPr>
          <a:picLocks noChangeAspect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6630" y="412646813"/>
          <a:ext cx="3217866" cy="1590675"/>
        </a:xfrm>
        <a:prstGeom prst="rect">
          <a:avLst/>
        </a:prstGeom>
      </xdr:spPr>
    </xdr:pic>
    <xdr:clientData/>
  </xdr:twoCellAnchor>
  <xdr:twoCellAnchor editAs="oneCell">
    <xdr:from>
      <xdr:col>2</xdr:col>
      <xdr:colOff>3215231</xdr:colOff>
      <xdr:row>237</xdr:row>
      <xdr:rowOff>61913</xdr:rowOff>
    </xdr:from>
    <xdr:to>
      <xdr:col>2</xdr:col>
      <xdr:colOff>5423944</xdr:colOff>
      <xdr:row>237</xdr:row>
      <xdr:rowOff>1338263</xdr:rowOff>
    </xdr:to>
    <xdr:pic>
      <xdr:nvPicPr>
        <xdr:cNvPr id="621" name="Picture 620" descr="Insight Picture 620"/>
        <xdr:cNvPicPr>
          <a:picLocks noChangeAspect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1206" y="414361313"/>
          <a:ext cx="2208713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3177149</xdr:colOff>
      <xdr:row>238</xdr:row>
      <xdr:rowOff>61913</xdr:rowOff>
    </xdr:from>
    <xdr:to>
      <xdr:col>2</xdr:col>
      <xdr:colOff>5462025</xdr:colOff>
      <xdr:row>238</xdr:row>
      <xdr:rowOff>1776413</xdr:rowOff>
    </xdr:to>
    <xdr:pic>
      <xdr:nvPicPr>
        <xdr:cNvPr id="622" name="Picture 621" descr="Insight Picture 621"/>
        <xdr:cNvPicPr>
          <a:picLocks noChangeAspect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3124" y="415761488"/>
          <a:ext cx="2284876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2991503</xdr:colOff>
      <xdr:row>239</xdr:row>
      <xdr:rowOff>61913</xdr:rowOff>
    </xdr:from>
    <xdr:to>
      <xdr:col>2</xdr:col>
      <xdr:colOff>5647671</xdr:colOff>
      <xdr:row>239</xdr:row>
      <xdr:rowOff>1576388</xdr:rowOff>
    </xdr:to>
    <xdr:pic>
      <xdr:nvPicPr>
        <xdr:cNvPr id="623" name="Picture 622" descr="Insight Picture 622"/>
        <xdr:cNvPicPr>
          <a:picLocks noChangeAspect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7478" y="417599813"/>
          <a:ext cx="2656168" cy="15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3034345</xdr:colOff>
      <xdr:row>240</xdr:row>
      <xdr:rowOff>61913</xdr:rowOff>
    </xdr:from>
    <xdr:to>
      <xdr:col>2</xdr:col>
      <xdr:colOff>5604830</xdr:colOff>
      <xdr:row>240</xdr:row>
      <xdr:rowOff>2138363</xdr:rowOff>
    </xdr:to>
    <xdr:pic>
      <xdr:nvPicPr>
        <xdr:cNvPr id="624" name="Picture 623" descr="Insight Picture 623"/>
        <xdr:cNvPicPr>
          <a:picLocks noChangeAspect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0320" y="419238113"/>
          <a:ext cx="2570485" cy="2076450"/>
        </a:xfrm>
        <a:prstGeom prst="rect">
          <a:avLst/>
        </a:prstGeom>
      </xdr:spPr>
    </xdr:pic>
    <xdr:clientData/>
  </xdr:twoCellAnchor>
  <xdr:twoCellAnchor editAs="oneCell">
    <xdr:from>
      <xdr:col>2</xdr:col>
      <xdr:colOff>2910581</xdr:colOff>
      <xdr:row>241</xdr:row>
      <xdr:rowOff>61913</xdr:rowOff>
    </xdr:from>
    <xdr:to>
      <xdr:col>2</xdr:col>
      <xdr:colOff>5728594</xdr:colOff>
      <xdr:row>241</xdr:row>
      <xdr:rowOff>2100263</xdr:rowOff>
    </xdr:to>
    <xdr:pic>
      <xdr:nvPicPr>
        <xdr:cNvPr id="625" name="Picture 624" descr="Insight Picture 624"/>
        <xdr:cNvPicPr>
          <a:picLocks noChangeAspect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6556" y="421438388"/>
          <a:ext cx="2818013" cy="2038350"/>
        </a:xfrm>
        <a:prstGeom prst="rect">
          <a:avLst/>
        </a:prstGeom>
      </xdr:spPr>
    </xdr:pic>
    <xdr:clientData/>
  </xdr:twoCellAnchor>
  <xdr:twoCellAnchor editAs="oneCell">
    <xdr:from>
      <xdr:col>2</xdr:col>
      <xdr:colOff>3162869</xdr:colOff>
      <xdr:row>242</xdr:row>
      <xdr:rowOff>61913</xdr:rowOff>
    </xdr:from>
    <xdr:to>
      <xdr:col>2</xdr:col>
      <xdr:colOff>5476306</xdr:colOff>
      <xdr:row>242</xdr:row>
      <xdr:rowOff>2024063</xdr:rowOff>
    </xdr:to>
    <xdr:pic>
      <xdr:nvPicPr>
        <xdr:cNvPr id="626" name="Picture 625" descr="Insight Picture 625"/>
        <xdr:cNvPicPr>
          <a:picLocks noChangeAspect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844" y="423600563"/>
          <a:ext cx="2313437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2929622</xdr:colOff>
      <xdr:row>243</xdr:row>
      <xdr:rowOff>61913</xdr:rowOff>
    </xdr:from>
    <xdr:to>
      <xdr:col>2</xdr:col>
      <xdr:colOff>5709554</xdr:colOff>
      <xdr:row>243</xdr:row>
      <xdr:rowOff>1214438</xdr:rowOff>
    </xdr:to>
    <xdr:pic>
      <xdr:nvPicPr>
        <xdr:cNvPr id="627" name="Picture 626" descr="Insight Picture 626"/>
        <xdr:cNvPicPr>
          <a:picLocks noChangeAspect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5597" y="425686538"/>
          <a:ext cx="2779932" cy="1152525"/>
        </a:xfrm>
        <a:prstGeom prst="rect">
          <a:avLst/>
        </a:prstGeom>
      </xdr:spPr>
    </xdr:pic>
    <xdr:clientData/>
  </xdr:twoCellAnchor>
  <xdr:twoCellAnchor editAs="oneCell">
    <xdr:from>
      <xdr:col>2</xdr:col>
      <xdr:colOff>2981983</xdr:colOff>
      <xdr:row>244</xdr:row>
      <xdr:rowOff>61913</xdr:rowOff>
    </xdr:from>
    <xdr:to>
      <xdr:col>2</xdr:col>
      <xdr:colOff>5657191</xdr:colOff>
      <xdr:row>244</xdr:row>
      <xdr:rowOff>1966913</xdr:rowOff>
    </xdr:to>
    <xdr:pic>
      <xdr:nvPicPr>
        <xdr:cNvPr id="628" name="Picture 627" descr="Insight Picture 627"/>
        <xdr:cNvPicPr>
          <a:picLocks noChangeAspect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958" y="426962888"/>
          <a:ext cx="2675208" cy="1905000"/>
        </a:xfrm>
        <a:prstGeom prst="rect">
          <a:avLst/>
        </a:prstGeom>
      </xdr:spPr>
    </xdr:pic>
    <xdr:clientData/>
  </xdr:twoCellAnchor>
  <xdr:twoCellAnchor editAs="oneCell">
    <xdr:from>
      <xdr:col>2</xdr:col>
      <xdr:colOff>3396117</xdr:colOff>
      <xdr:row>245</xdr:row>
      <xdr:rowOff>61913</xdr:rowOff>
    </xdr:from>
    <xdr:to>
      <xdr:col>2</xdr:col>
      <xdr:colOff>5243058</xdr:colOff>
      <xdr:row>245</xdr:row>
      <xdr:rowOff>2024063</xdr:rowOff>
    </xdr:to>
    <xdr:pic>
      <xdr:nvPicPr>
        <xdr:cNvPr id="629" name="Picture 628" descr="Insight Picture 628"/>
        <xdr:cNvPicPr>
          <a:picLocks noChangeAspect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2092" y="428991713"/>
          <a:ext cx="1846941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2701134</xdr:colOff>
      <xdr:row>246</xdr:row>
      <xdr:rowOff>61913</xdr:rowOff>
    </xdr:from>
    <xdr:to>
      <xdr:col>2</xdr:col>
      <xdr:colOff>5938041</xdr:colOff>
      <xdr:row>246</xdr:row>
      <xdr:rowOff>1604963</xdr:rowOff>
    </xdr:to>
    <xdr:pic>
      <xdr:nvPicPr>
        <xdr:cNvPr id="630" name="Picture 629" descr="Insight Picture 629"/>
        <xdr:cNvPicPr>
          <a:picLocks noChangeAspect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7109" y="431077688"/>
          <a:ext cx="3236907" cy="1543050"/>
        </a:xfrm>
        <a:prstGeom prst="rect">
          <a:avLst/>
        </a:prstGeom>
      </xdr:spPr>
    </xdr:pic>
    <xdr:clientData/>
  </xdr:twoCellAnchor>
  <xdr:twoCellAnchor editAs="oneCell">
    <xdr:from>
      <xdr:col>2</xdr:col>
      <xdr:colOff>3100987</xdr:colOff>
      <xdr:row>247</xdr:row>
      <xdr:rowOff>61913</xdr:rowOff>
    </xdr:from>
    <xdr:to>
      <xdr:col>2</xdr:col>
      <xdr:colOff>5538188</xdr:colOff>
      <xdr:row>247</xdr:row>
      <xdr:rowOff>2166938</xdr:rowOff>
    </xdr:to>
    <xdr:pic>
      <xdr:nvPicPr>
        <xdr:cNvPr id="631" name="Picture 630" descr="Insight Picture 630"/>
        <xdr:cNvPicPr>
          <a:picLocks noChangeAspect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6962" y="432744563"/>
          <a:ext cx="2437201" cy="2105025"/>
        </a:xfrm>
        <a:prstGeom prst="rect">
          <a:avLst/>
        </a:prstGeom>
      </xdr:spPr>
    </xdr:pic>
    <xdr:clientData/>
  </xdr:twoCellAnchor>
  <xdr:twoCellAnchor editAs="oneCell">
    <xdr:from>
      <xdr:col>2</xdr:col>
      <xdr:colOff>3181910</xdr:colOff>
      <xdr:row>248</xdr:row>
      <xdr:rowOff>61913</xdr:rowOff>
    </xdr:from>
    <xdr:to>
      <xdr:col>2</xdr:col>
      <xdr:colOff>5457265</xdr:colOff>
      <xdr:row>248</xdr:row>
      <xdr:rowOff>2128838</xdr:rowOff>
    </xdr:to>
    <xdr:pic>
      <xdr:nvPicPr>
        <xdr:cNvPr id="632" name="Picture 631" descr="Insight Picture 631"/>
        <xdr:cNvPicPr>
          <a:picLocks noChangeAspect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885" y="434973413"/>
          <a:ext cx="2275355" cy="2066925"/>
        </a:xfrm>
        <a:prstGeom prst="rect">
          <a:avLst/>
        </a:prstGeom>
      </xdr:spPr>
    </xdr:pic>
    <xdr:clientData/>
  </xdr:twoCellAnchor>
  <xdr:twoCellAnchor editAs="oneCell">
    <xdr:from>
      <xdr:col>2</xdr:col>
      <xdr:colOff>3253312</xdr:colOff>
      <xdr:row>249</xdr:row>
      <xdr:rowOff>61913</xdr:rowOff>
    </xdr:from>
    <xdr:to>
      <xdr:col>2</xdr:col>
      <xdr:colOff>5385862</xdr:colOff>
      <xdr:row>249</xdr:row>
      <xdr:rowOff>1957388</xdr:rowOff>
    </xdr:to>
    <xdr:pic>
      <xdr:nvPicPr>
        <xdr:cNvPr id="633" name="Picture 632" descr="Insight Picture 632"/>
        <xdr:cNvPicPr>
          <a:picLocks noChangeAspect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9287" y="437164163"/>
          <a:ext cx="2132550" cy="1895475"/>
        </a:xfrm>
        <a:prstGeom prst="rect">
          <a:avLst/>
        </a:prstGeom>
      </xdr:spPr>
    </xdr:pic>
    <xdr:clientData/>
  </xdr:twoCellAnchor>
  <xdr:twoCellAnchor editAs="oneCell">
    <xdr:from>
      <xdr:col>2</xdr:col>
      <xdr:colOff>3158109</xdr:colOff>
      <xdr:row>250</xdr:row>
      <xdr:rowOff>61913</xdr:rowOff>
    </xdr:from>
    <xdr:to>
      <xdr:col>2</xdr:col>
      <xdr:colOff>5481066</xdr:colOff>
      <xdr:row>250</xdr:row>
      <xdr:rowOff>2014538</xdr:rowOff>
    </xdr:to>
    <xdr:pic>
      <xdr:nvPicPr>
        <xdr:cNvPr id="634" name="Picture 633" descr="Insight Picture 633"/>
        <xdr:cNvPicPr>
          <a:picLocks noChangeAspect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4084" y="439183463"/>
          <a:ext cx="2322957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3096227</xdr:colOff>
      <xdr:row>251</xdr:row>
      <xdr:rowOff>61913</xdr:rowOff>
    </xdr:from>
    <xdr:to>
      <xdr:col>2</xdr:col>
      <xdr:colOff>5542948</xdr:colOff>
      <xdr:row>251</xdr:row>
      <xdr:rowOff>1481138</xdr:rowOff>
    </xdr:to>
    <xdr:pic>
      <xdr:nvPicPr>
        <xdr:cNvPr id="635" name="Picture 634" descr="Insight Picture 634"/>
        <xdr:cNvPicPr>
          <a:picLocks noChangeAspect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2202" y="441259913"/>
          <a:ext cx="2446721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3362796</xdr:colOff>
      <xdr:row>252</xdr:row>
      <xdr:rowOff>61913</xdr:rowOff>
    </xdr:from>
    <xdr:to>
      <xdr:col>2</xdr:col>
      <xdr:colOff>5276379</xdr:colOff>
      <xdr:row>252</xdr:row>
      <xdr:rowOff>1157288</xdr:rowOff>
    </xdr:to>
    <xdr:pic>
      <xdr:nvPicPr>
        <xdr:cNvPr id="636" name="Picture 635" descr="Insight Picture 635"/>
        <xdr:cNvPicPr>
          <a:picLocks noChangeAspect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771" y="442802963"/>
          <a:ext cx="1913583" cy="1095375"/>
        </a:xfrm>
        <a:prstGeom prst="rect">
          <a:avLst/>
        </a:prstGeom>
      </xdr:spPr>
    </xdr:pic>
    <xdr:clientData/>
  </xdr:twoCellAnchor>
  <xdr:twoCellAnchor editAs="oneCell">
    <xdr:from>
      <xdr:col>2</xdr:col>
      <xdr:colOff>2782057</xdr:colOff>
      <xdr:row>253</xdr:row>
      <xdr:rowOff>64641</xdr:rowOff>
    </xdr:from>
    <xdr:to>
      <xdr:col>2</xdr:col>
      <xdr:colOff>5857119</xdr:colOff>
      <xdr:row>253</xdr:row>
      <xdr:rowOff>3307223</xdr:rowOff>
    </xdr:to>
    <xdr:pic>
      <xdr:nvPicPr>
        <xdr:cNvPr id="637" name="Picture 636" descr="Insight Picture 636"/>
        <xdr:cNvPicPr>
          <a:picLocks noChangeAspect="1"/>
        </xdr:cNvPicPr>
      </xdr:nvPicPr>
      <xdr:blipFill>
        <a:blip xmlns:r="http://schemas.openxmlformats.org/officeDocument/2006/relationships" r:embed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8032" y="444024891"/>
          <a:ext cx="3075062" cy="3242582"/>
        </a:xfrm>
        <a:prstGeom prst="rect">
          <a:avLst/>
        </a:prstGeom>
      </xdr:spPr>
    </xdr:pic>
    <xdr:clientData/>
  </xdr:twoCellAnchor>
  <xdr:twoCellAnchor editAs="oneCell">
    <xdr:from>
      <xdr:col>2</xdr:col>
      <xdr:colOff>3224752</xdr:colOff>
      <xdr:row>254</xdr:row>
      <xdr:rowOff>61913</xdr:rowOff>
    </xdr:from>
    <xdr:to>
      <xdr:col>2</xdr:col>
      <xdr:colOff>5414424</xdr:colOff>
      <xdr:row>254</xdr:row>
      <xdr:rowOff>2214563</xdr:rowOff>
    </xdr:to>
    <xdr:pic>
      <xdr:nvPicPr>
        <xdr:cNvPr id="638" name="Picture 637" descr="Insight Picture 637"/>
        <xdr:cNvPicPr>
          <a:picLocks noChangeAspect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0727" y="447394013"/>
          <a:ext cx="2189672" cy="215265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3124788</xdr:colOff>
      <xdr:row>255</xdr:row>
      <xdr:rowOff>61913</xdr:rowOff>
    </xdr:from>
    <xdr:to>
      <xdr:col>2</xdr:col>
      <xdr:colOff>5514387</xdr:colOff>
      <xdr:row>255</xdr:row>
      <xdr:rowOff>2538413</xdr:rowOff>
    </xdr:to>
    <xdr:pic>
      <xdr:nvPicPr>
        <xdr:cNvPr id="639" name="Picture 638" descr="Insight Picture 638"/>
        <xdr:cNvPicPr>
          <a:picLocks noChangeAspect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763" y="449670488"/>
          <a:ext cx="2389599" cy="2476500"/>
        </a:xfrm>
        <a:prstGeom prst="rect">
          <a:avLst/>
        </a:prstGeom>
      </xdr:spPr>
    </xdr:pic>
    <xdr:clientData/>
  </xdr:twoCellAnchor>
  <xdr:twoCellAnchor editAs="oneCell">
    <xdr:from>
      <xdr:col>2</xdr:col>
      <xdr:colOff>3358035</xdr:colOff>
      <xdr:row>256</xdr:row>
      <xdr:rowOff>61913</xdr:rowOff>
    </xdr:from>
    <xdr:to>
      <xdr:col>2</xdr:col>
      <xdr:colOff>5281139</xdr:colOff>
      <xdr:row>256</xdr:row>
      <xdr:rowOff>1700213</xdr:rowOff>
    </xdr:to>
    <xdr:pic>
      <xdr:nvPicPr>
        <xdr:cNvPr id="640" name="Picture 639" descr="Insight Picture 639"/>
        <xdr:cNvPicPr>
          <a:picLocks noChangeAspect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010" y="452270813"/>
          <a:ext cx="1923104" cy="1638300"/>
        </a:xfrm>
        <a:prstGeom prst="rect">
          <a:avLst/>
        </a:prstGeom>
      </xdr:spPr>
    </xdr:pic>
    <xdr:clientData/>
  </xdr:twoCellAnchor>
  <xdr:twoCellAnchor editAs="oneCell">
    <xdr:from>
      <xdr:col>2</xdr:col>
      <xdr:colOff>2758256</xdr:colOff>
      <xdr:row>257</xdr:row>
      <xdr:rowOff>61913</xdr:rowOff>
    </xdr:from>
    <xdr:to>
      <xdr:col>2</xdr:col>
      <xdr:colOff>5880919</xdr:colOff>
      <xdr:row>257</xdr:row>
      <xdr:rowOff>2024063</xdr:rowOff>
    </xdr:to>
    <xdr:pic>
      <xdr:nvPicPr>
        <xdr:cNvPr id="641" name="Picture 640" descr="Insight Picture 640"/>
        <xdr:cNvPicPr>
          <a:picLocks noChangeAspect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231" y="454032938"/>
          <a:ext cx="3122663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3181910</xdr:colOff>
      <xdr:row>258</xdr:row>
      <xdr:rowOff>61913</xdr:rowOff>
    </xdr:from>
    <xdr:to>
      <xdr:col>2</xdr:col>
      <xdr:colOff>5457265</xdr:colOff>
      <xdr:row>258</xdr:row>
      <xdr:rowOff>1890713</xdr:rowOff>
    </xdr:to>
    <xdr:pic>
      <xdr:nvPicPr>
        <xdr:cNvPr id="642" name="Picture 641" descr="Insight Picture 641"/>
        <xdr:cNvPicPr>
          <a:picLocks noChangeAspect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885" y="456118913"/>
          <a:ext cx="2275355" cy="1828800"/>
        </a:xfrm>
        <a:prstGeom prst="rect">
          <a:avLst/>
        </a:prstGeom>
      </xdr:spPr>
    </xdr:pic>
    <xdr:clientData/>
  </xdr:twoCellAnchor>
  <xdr:twoCellAnchor editAs="oneCell">
    <xdr:from>
      <xdr:col>2</xdr:col>
      <xdr:colOff>3448479</xdr:colOff>
      <xdr:row>259</xdr:row>
      <xdr:rowOff>64641</xdr:rowOff>
    </xdr:from>
    <xdr:to>
      <xdr:col>2</xdr:col>
      <xdr:colOff>5190697</xdr:colOff>
      <xdr:row>259</xdr:row>
      <xdr:rowOff>3040523</xdr:rowOff>
    </xdr:to>
    <xdr:pic>
      <xdr:nvPicPr>
        <xdr:cNvPr id="643" name="Picture 642" descr="Insight Picture 642"/>
        <xdr:cNvPicPr>
          <a:picLocks noChangeAspect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454" y="458074266"/>
          <a:ext cx="1742218" cy="2975882"/>
        </a:xfrm>
        <a:prstGeom prst="rect">
          <a:avLst/>
        </a:prstGeom>
      </xdr:spPr>
    </xdr:pic>
    <xdr:clientData/>
  </xdr:twoCellAnchor>
  <xdr:twoCellAnchor editAs="oneCell">
    <xdr:from>
      <xdr:col>2</xdr:col>
      <xdr:colOff>2529768</xdr:colOff>
      <xdr:row>260</xdr:row>
      <xdr:rowOff>64641</xdr:rowOff>
    </xdr:from>
    <xdr:to>
      <xdr:col>2</xdr:col>
      <xdr:colOff>6109406</xdr:colOff>
      <xdr:row>260</xdr:row>
      <xdr:rowOff>3307223</xdr:rowOff>
    </xdr:to>
    <xdr:pic>
      <xdr:nvPicPr>
        <xdr:cNvPr id="644" name="Picture 643" descr="Insight Picture 643"/>
        <xdr:cNvPicPr>
          <a:picLocks noChangeAspect="1"/>
        </xdr:cNvPicPr>
      </xdr:nvPicPr>
      <xdr:blipFill>
        <a:blip xmlns:r="http://schemas.openxmlformats.org/officeDocument/2006/relationships" r:embed="rId2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743" y="461179416"/>
          <a:ext cx="3579638" cy="3242582"/>
        </a:xfrm>
        <a:prstGeom prst="rect">
          <a:avLst/>
        </a:prstGeom>
      </xdr:spPr>
    </xdr:pic>
    <xdr:clientData/>
  </xdr:twoCellAnchor>
  <xdr:twoCellAnchor editAs="oneCell">
    <xdr:from>
      <xdr:col>2</xdr:col>
      <xdr:colOff>3391357</xdr:colOff>
      <xdr:row>261</xdr:row>
      <xdr:rowOff>61913</xdr:rowOff>
    </xdr:from>
    <xdr:to>
      <xdr:col>2</xdr:col>
      <xdr:colOff>5247819</xdr:colOff>
      <xdr:row>261</xdr:row>
      <xdr:rowOff>1433513</xdr:rowOff>
    </xdr:to>
    <xdr:pic>
      <xdr:nvPicPr>
        <xdr:cNvPr id="645" name="Picture 644" descr="Insight Picture 644"/>
        <xdr:cNvPicPr>
          <a:picLocks noChangeAspect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7332" y="464548538"/>
          <a:ext cx="1856462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3638885</xdr:colOff>
      <xdr:row>262</xdr:row>
      <xdr:rowOff>61913</xdr:rowOff>
    </xdr:from>
    <xdr:to>
      <xdr:col>2</xdr:col>
      <xdr:colOff>5000290</xdr:colOff>
      <xdr:row>262</xdr:row>
      <xdr:rowOff>2690813</xdr:rowOff>
    </xdr:to>
    <xdr:pic>
      <xdr:nvPicPr>
        <xdr:cNvPr id="646" name="Picture 645" descr="Insight Picture 645"/>
        <xdr:cNvPicPr>
          <a:picLocks noChangeAspect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860" y="466043963"/>
          <a:ext cx="1361405" cy="2628900"/>
        </a:xfrm>
        <a:prstGeom prst="rect">
          <a:avLst/>
        </a:prstGeom>
      </xdr:spPr>
    </xdr:pic>
    <xdr:clientData/>
  </xdr:twoCellAnchor>
  <xdr:twoCellAnchor editAs="oneCell">
    <xdr:from>
      <xdr:col>2</xdr:col>
      <xdr:colOff>2991503</xdr:colOff>
      <xdr:row>263</xdr:row>
      <xdr:rowOff>61913</xdr:rowOff>
    </xdr:from>
    <xdr:to>
      <xdr:col>2</xdr:col>
      <xdr:colOff>5647671</xdr:colOff>
      <xdr:row>263</xdr:row>
      <xdr:rowOff>2319338</xdr:rowOff>
    </xdr:to>
    <xdr:pic>
      <xdr:nvPicPr>
        <xdr:cNvPr id="647" name="Picture 646" descr="Insight Picture 646"/>
        <xdr:cNvPicPr>
          <a:picLocks noChangeAspect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7478" y="468796688"/>
          <a:ext cx="2656168" cy="2257425"/>
        </a:xfrm>
        <a:prstGeom prst="rect">
          <a:avLst/>
        </a:prstGeom>
      </xdr:spPr>
    </xdr:pic>
    <xdr:clientData/>
  </xdr:twoCellAnchor>
  <xdr:twoCellAnchor editAs="oneCell">
    <xdr:from>
      <xdr:col>2</xdr:col>
      <xdr:colOff>3548442</xdr:colOff>
      <xdr:row>264</xdr:row>
      <xdr:rowOff>61913</xdr:rowOff>
    </xdr:from>
    <xdr:to>
      <xdr:col>2</xdr:col>
      <xdr:colOff>5090733</xdr:colOff>
      <xdr:row>264</xdr:row>
      <xdr:rowOff>1462088</xdr:rowOff>
    </xdr:to>
    <xdr:pic>
      <xdr:nvPicPr>
        <xdr:cNvPr id="648" name="Picture 647" descr="Insight Picture 647"/>
        <xdr:cNvPicPr>
          <a:picLocks noChangeAspect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4417" y="471177938"/>
          <a:ext cx="1542291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3886414</xdr:colOff>
      <xdr:row>265</xdr:row>
      <xdr:rowOff>61913</xdr:rowOff>
    </xdr:from>
    <xdr:to>
      <xdr:col>2</xdr:col>
      <xdr:colOff>4752762</xdr:colOff>
      <xdr:row>265</xdr:row>
      <xdr:rowOff>2624138</xdr:rowOff>
    </xdr:to>
    <xdr:pic>
      <xdr:nvPicPr>
        <xdr:cNvPr id="649" name="Picture 648" descr="Insight Picture 648"/>
        <xdr:cNvPicPr>
          <a:picLocks noChangeAspect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389" y="472701938"/>
          <a:ext cx="866348" cy="2562225"/>
        </a:xfrm>
        <a:prstGeom prst="rect">
          <a:avLst/>
        </a:prstGeom>
      </xdr:spPr>
    </xdr:pic>
    <xdr:clientData/>
  </xdr:twoCellAnchor>
  <xdr:twoCellAnchor editAs="oneCell">
    <xdr:from>
      <xdr:col>2</xdr:col>
      <xdr:colOff>3115268</xdr:colOff>
      <xdr:row>266</xdr:row>
      <xdr:rowOff>61913</xdr:rowOff>
    </xdr:from>
    <xdr:to>
      <xdr:col>2</xdr:col>
      <xdr:colOff>5523907</xdr:colOff>
      <xdr:row>266</xdr:row>
      <xdr:rowOff>2338388</xdr:rowOff>
    </xdr:to>
    <xdr:pic>
      <xdr:nvPicPr>
        <xdr:cNvPr id="650" name="Picture 649" descr="Insight Picture 649"/>
        <xdr:cNvPicPr>
          <a:picLocks noChangeAspect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1243" y="475387988"/>
          <a:ext cx="2408639" cy="2276475"/>
        </a:xfrm>
        <a:prstGeom prst="rect">
          <a:avLst/>
        </a:prstGeom>
      </xdr:spPr>
    </xdr:pic>
    <xdr:clientData/>
  </xdr:twoCellAnchor>
  <xdr:twoCellAnchor editAs="oneCell">
    <xdr:from>
      <xdr:col>2</xdr:col>
      <xdr:colOff>3181910</xdr:colOff>
      <xdr:row>267</xdr:row>
      <xdr:rowOff>61913</xdr:rowOff>
    </xdr:from>
    <xdr:to>
      <xdr:col>2</xdr:col>
      <xdr:colOff>5457265</xdr:colOff>
      <xdr:row>267</xdr:row>
      <xdr:rowOff>1557338</xdr:rowOff>
    </xdr:to>
    <xdr:pic>
      <xdr:nvPicPr>
        <xdr:cNvPr id="651" name="Picture 650" descr="Insight Picture 650"/>
        <xdr:cNvPicPr>
          <a:picLocks noChangeAspect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885" y="477788288"/>
          <a:ext cx="2275355" cy="1495425"/>
        </a:xfrm>
        <a:prstGeom prst="rect">
          <a:avLst/>
        </a:prstGeom>
      </xdr:spPr>
    </xdr:pic>
    <xdr:clientData/>
  </xdr:twoCellAnchor>
  <xdr:twoCellAnchor editAs="oneCell">
    <xdr:from>
      <xdr:col>2</xdr:col>
      <xdr:colOff>2577370</xdr:colOff>
      <xdr:row>268</xdr:row>
      <xdr:rowOff>61913</xdr:rowOff>
    </xdr:from>
    <xdr:to>
      <xdr:col>2</xdr:col>
      <xdr:colOff>6061805</xdr:colOff>
      <xdr:row>268</xdr:row>
      <xdr:rowOff>2366963</xdr:rowOff>
    </xdr:to>
    <xdr:pic>
      <xdr:nvPicPr>
        <xdr:cNvPr id="652" name="Picture 651" descr="Insight Picture 651"/>
        <xdr:cNvPicPr>
          <a:picLocks noChangeAspect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3345" y="479407538"/>
          <a:ext cx="3484435" cy="2305050"/>
        </a:xfrm>
        <a:prstGeom prst="rect">
          <a:avLst/>
        </a:prstGeom>
      </xdr:spPr>
    </xdr:pic>
    <xdr:clientData/>
  </xdr:twoCellAnchor>
  <xdr:twoCellAnchor editAs="oneCell">
    <xdr:from>
      <xdr:col>2</xdr:col>
      <xdr:colOff>3120027</xdr:colOff>
      <xdr:row>269</xdr:row>
      <xdr:rowOff>61913</xdr:rowOff>
    </xdr:from>
    <xdr:to>
      <xdr:col>2</xdr:col>
      <xdr:colOff>5519147</xdr:colOff>
      <xdr:row>269</xdr:row>
      <xdr:rowOff>1395413</xdr:rowOff>
    </xdr:to>
    <xdr:pic>
      <xdr:nvPicPr>
        <xdr:cNvPr id="653" name="Picture 652" descr="Insight Picture 652"/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6002" y="481836413"/>
          <a:ext cx="2399120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2777296</xdr:colOff>
      <xdr:row>270</xdr:row>
      <xdr:rowOff>61913</xdr:rowOff>
    </xdr:from>
    <xdr:to>
      <xdr:col>2</xdr:col>
      <xdr:colOff>5861878</xdr:colOff>
      <xdr:row>270</xdr:row>
      <xdr:rowOff>1462088</xdr:rowOff>
    </xdr:to>
    <xdr:pic>
      <xdr:nvPicPr>
        <xdr:cNvPr id="654" name="Picture 653" descr="Insight Picture 653"/>
        <xdr:cNvPicPr>
          <a:picLocks noChangeAspect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3271" y="483293738"/>
          <a:ext cx="3084582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3096227</xdr:colOff>
      <xdr:row>271</xdr:row>
      <xdr:rowOff>61913</xdr:rowOff>
    </xdr:from>
    <xdr:to>
      <xdr:col>2</xdr:col>
      <xdr:colOff>5542948</xdr:colOff>
      <xdr:row>271</xdr:row>
      <xdr:rowOff>1481138</xdr:rowOff>
    </xdr:to>
    <xdr:pic>
      <xdr:nvPicPr>
        <xdr:cNvPr id="655" name="Picture 654" descr="Insight Picture 654"/>
        <xdr:cNvPicPr>
          <a:picLocks noChangeAspect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2202" y="484817738"/>
          <a:ext cx="2446721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3053386</xdr:colOff>
      <xdr:row>272</xdr:row>
      <xdr:rowOff>61913</xdr:rowOff>
    </xdr:from>
    <xdr:to>
      <xdr:col>2</xdr:col>
      <xdr:colOff>5585790</xdr:colOff>
      <xdr:row>272</xdr:row>
      <xdr:rowOff>1728788</xdr:rowOff>
    </xdr:to>
    <xdr:pic>
      <xdr:nvPicPr>
        <xdr:cNvPr id="656" name="Picture 655" descr="Insight Picture 655"/>
        <xdr:cNvPicPr>
          <a:picLocks noChangeAspect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9361" y="486360788"/>
          <a:ext cx="2532404" cy="1666875"/>
        </a:xfrm>
        <a:prstGeom prst="rect">
          <a:avLst/>
        </a:prstGeom>
      </xdr:spPr>
    </xdr:pic>
    <xdr:clientData/>
  </xdr:twoCellAnchor>
  <xdr:twoCellAnchor editAs="oneCell">
    <xdr:from>
      <xdr:col>2</xdr:col>
      <xdr:colOff>2720174</xdr:colOff>
      <xdr:row>273</xdr:row>
      <xdr:rowOff>61913</xdr:rowOff>
    </xdr:from>
    <xdr:to>
      <xdr:col>2</xdr:col>
      <xdr:colOff>5919000</xdr:colOff>
      <xdr:row>273</xdr:row>
      <xdr:rowOff>1890713</xdr:rowOff>
    </xdr:to>
    <xdr:pic>
      <xdr:nvPicPr>
        <xdr:cNvPr id="657" name="Picture 656" descr="Insight Picture 656"/>
        <xdr:cNvPicPr>
          <a:picLocks noChangeAspect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6149" y="488151488"/>
          <a:ext cx="3198826" cy="1828800"/>
        </a:xfrm>
        <a:prstGeom prst="rect">
          <a:avLst/>
        </a:prstGeom>
      </xdr:spPr>
    </xdr:pic>
    <xdr:clientData/>
  </xdr:twoCellAnchor>
  <xdr:twoCellAnchor editAs="oneCell">
    <xdr:from>
      <xdr:col>2</xdr:col>
      <xdr:colOff>3153349</xdr:colOff>
      <xdr:row>274</xdr:row>
      <xdr:rowOff>61913</xdr:rowOff>
    </xdr:from>
    <xdr:to>
      <xdr:col>2</xdr:col>
      <xdr:colOff>5485826</xdr:colOff>
      <xdr:row>274</xdr:row>
      <xdr:rowOff>1766888</xdr:rowOff>
    </xdr:to>
    <xdr:pic>
      <xdr:nvPicPr>
        <xdr:cNvPr id="658" name="Picture 657" descr="Insight Picture 657"/>
        <xdr:cNvPicPr>
          <a:picLocks noChangeAspect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9324" y="490104113"/>
          <a:ext cx="2332477" cy="1704975"/>
        </a:xfrm>
        <a:prstGeom prst="rect">
          <a:avLst/>
        </a:prstGeom>
      </xdr:spPr>
    </xdr:pic>
    <xdr:clientData/>
  </xdr:twoCellAnchor>
  <xdr:twoCellAnchor editAs="oneCell">
    <xdr:from>
      <xdr:col>2</xdr:col>
      <xdr:colOff>3205711</xdr:colOff>
      <xdr:row>275</xdr:row>
      <xdr:rowOff>61913</xdr:rowOff>
    </xdr:from>
    <xdr:to>
      <xdr:col>2</xdr:col>
      <xdr:colOff>5433465</xdr:colOff>
      <xdr:row>275</xdr:row>
      <xdr:rowOff>2014538</xdr:rowOff>
    </xdr:to>
    <xdr:pic>
      <xdr:nvPicPr>
        <xdr:cNvPr id="659" name="Picture 658" descr="Insight Picture 658"/>
        <xdr:cNvPicPr>
          <a:picLocks noChangeAspect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86" y="491932913"/>
          <a:ext cx="2227754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3105748</xdr:colOff>
      <xdr:row>276</xdr:row>
      <xdr:rowOff>61913</xdr:rowOff>
    </xdr:from>
    <xdr:to>
      <xdr:col>2</xdr:col>
      <xdr:colOff>5533428</xdr:colOff>
      <xdr:row>276</xdr:row>
      <xdr:rowOff>1824038</xdr:rowOff>
    </xdr:to>
    <xdr:pic>
      <xdr:nvPicPr>
        <xdr:cNvPr id="660" name="Picture 659" descr="Insight Picture 659"/>
        <xdr:cNvPicPr>
          <a:picLocks noChangeAspect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723" y="494009363"/>
          <a:ext cx="2427680" cy="1762125"/>
        </a:xfrm>
        <a:prstGeom prst="rect">
          <a:avLst/>
        </a:prstGeom>
      </xdr:spPr>
    </xdr:pic>
    <xdr:clientData/>
  </xdr:twoCellAnchor>
  <xdr:twoCellAnchor editAs="oneCell">
    <xdr:from>
      <xdr:col>2</xdr:col>
      <xdr:colOff>3148589</xdr:colOff>
      <xdr:row>278</xdr:row>
      <xdr:rowOff>61913</xdr:rowOff>
    </xdr:from>
    <xdr:to>
      <xdr:col>2</xdr:col>
      <xdr:colOff>5490586</xdr:colOff>
      <xdr:row>278</xdr:row>
      <xdr:rowOff>1852613</xdr:rowOff>
    </xdr:to>
    <xdr:pic>
      <xdr:nvPicPr>
        <xdr:cNvPr id="661" name="Picture 660" descr="Insight Picture 660"/>
        <xdr:cNvPicPr>
          <a:picLocks noChangeAspect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4564" y="496085813"/>
          <a:ext cx="2341997" cy="1790700"/>
        </a:xfrm>
        <a:prstGeom prst="rect">
          <a:avLst/>
        </a:prstGeom>
      </xdr:spPr>
    </xdr:pic>
    <xdr:clientData/>
  </xdr:twoCellAnchor>
  <xdr:twoCellAnchor editAs="oneCell">
    <xdr:from>
      <xdr:col>2</xdr:col>
      <xdr:colOff>2577370</xdr:colOff>
      <xdr:row>279</xdr:row>
      <xdr:rowOff>61913</xdr:rowOff>
    </xdr:from>
    <xdr:to>
      <xdr:col>2</xdr:col>
      <xdr:colOff>6061805</xdr:colOff>
      <xdr:row>279</xdr:row>
      <xdr:rowOff>2195513</xdr:rowOff>
    </xdr:to>
    <xdr:pic>
      <xdr:nvPicPr>
        <xdr:cNvPr id="662" name="Picture 661" descr="Insight Picture 661"/>
        <xdr:cNvPicPr>
          <a:picLocks noChangeAspect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3345" y="498000338"/>
          <a:ext cx="3484435" cy="2133600"/>
        </a:xfrm>
        <a:prstGeom prst="rect">
          <a:avLst/>
        </a:prstGeom>
      </xdr:spPr>
    </xdr:pic>
    <xdr:clientData/>
  </xdr:twoCellAnchor>
  <xdr:twoCellAnchor editAs="oneCell">
    <xdr:from>
      <xdr:col>2</xdr:col>
      <xdr:colOff>2948662</xdr:colOff>
      <xdr:row>280</xdr:row>
      <xdr:rowOff>61913</xdr:rowOff>
    </xdr:from>
    <xdr:to>
      <xdr:col>2</xdr:col>
      <xdr:colOff>5690513</xdr:colOff>
      <xdr:row>280</xdr:row>
      <xdr:rowOff>2033588</xdr:rowOff>
    </xdr:to>
    <xdr:pic>
      <xdr:nvPicPr>
        <xdr:cNvPr id="663" name="Picture 662" descr="Insight Picture 662"/>
        <xdr:cNvPicPr>
          <a:picLocks noChangeAspect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37" y="500257763"/>
          <a:ext cx="2741851" cy="1971675"/>
        </a:xfrm>
        <a:prstGeom prst="rect">
          <a:avLst/>
        </a:prstGeom>
      </xdr:spPr>
    </xdr:pic>
    <xdr:clientData/>
  </xdr:twoCellAnchor>
  <xdr:twoCellAnchor editAs="oneCell">
    <xdr:from>
      <xdr:col>2</xdr:col>
      <xdr:colOff>3577003</xdr:colOff>
      <xdr:row>281</xdr:row>
      <xdr:rowOff>64641</xdr:rowOff>
    </xdr:from>
    <xdr:to>
      <xdr:col>2</xdr:col>
      <xdr:colOff>5062172</xdr:colOff>
      <xdr:row>281</xdr:row>
      <xdr:rowOff>3269123</xdr:rowOff>
    </xdr:to>
    <xdr:pic>
      <xdr:nvPicPr>
        <xdr:cNvPr id="664" name="Picture 663" descr="Insight Picture 663"/>
        <xdr:cNvPicPr>
          <a:picLocks noChangeAspect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2978" y="502355991"/>
          <a:ext cx="1485169" cy="3204482"/>
        </a:xfrm>
        <a:prstGeom prst="rect">
          <a:avLst/>
        </a:prstGeom>
      </xdr:spPr>
    </xdr:pic>
    <xdr:clientData/>
  </xdr:twoCellAnchor>
  <xdr:twoCellAnchor editAs="oneCell">
    <xdr:from>
      <xdr:col>2</xdr:col>
      <xdr:colOff>1544416</xdr:colOff>
      <xdr:row>282</xdr:row>
      <xdr:rowOff>61913</xdr:rowOff>
    </xdr:from>
    <xdr:to>
      <xdr:col>2</xdr:col>
      <xdr:colOff>7094759</xdr:colOff>
      <xdr:row>282</xdr:row>
      <xdr:rowOff>2043113</xdr:rowOff>
    </xdr:to>
    <xdr:pic>
      <xdr:nvPicPr>
        <xdr:cNvPr id="665" name="Picture 664" descr="Insight Picture 664"/>
        <xdr:cNvPicPr>
          <a:picLocks noChangeAspect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0391" y="505687013"/>
          <a:ext cx="5550343" cy="1981200"/>
        </a:xfrm>
        <a:prstGeom prst="rect">
          <a:avLst/>
        </a:prstGeom>
      </xdr:spPr>
    </xdr:pic>
    <xdr:clientData/>
  </xdr:twoCellAnchor>
  <xdr:twoCellAnchor editAs="oneCell">
    <xdr:from>
      <xdr:col>2</xdr:col>
      <xdr:colOff>2610691</xdr:colOff>
      <xdr:row>283</xdr:row>
      <xdr:rowOff>61913</xdr:rowOff>
    </xdr:from>
    <xdr:to>
      <xdr:col>2</xdr:col>
      <xdr:colOff>6028484</xdr:colOff>
      <xdr:row>283</xdr:row>
      <xdr:rowOff>1547813</xdr:rowOff>
    </xdr:to>
    <xdr:pic>
      <xdr:nvPicPr>
        <xdr:cNvPr id="666" name="Picture 665" descr="Insight Picture 665"/>
        <xdr:cNvPicPr>
          <a:picLocks noChangeAspect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6666" y="507792038"/>
          <a:ext cx="3417793" cy="1485900"/>
        </a:xfrm>
        <a:prstGeom prst="rect">
          <a:avLst/>
        </a:prstGeom>
      </xdr:spPr>
    </xdr:pic>
    <xdr:clientData/>
  </xdr:twoCellAnchor>
  <xdr:twoCellAnchor editAs="oneCell">
    <xdr:from>
      <xdr:col>2</xdr:col>
      <xdr:colOff>2315561</xdr:colOff>
      <xdr:row>284</xdr:row>
      <xdr:rowOff>64641</xdr:rowOff>
    </xdr:from>
    <xdr:to>
      <xdr:col>2</xdr:col>
      <xdr:colOff>6323614</xdr:colOff>
      <xdr:row>284</xdr:row>
      <xdr:rowOff>2935748</xdr:rowOff>
    </xdr:to>
    <xdr:pic>
      <xdr:nvPicPr>
        <xdr:cNvPr id="667" name="Picture 666" descr="Insight Picture 666"/>
        <xdr:cNvPicPr>
          <a:picLocks noChangeAspect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1536" y="509404491"/>
          <a:ext cx="4008053" cy="2871107"/>
        </a:xfrm>
        <a:prstGeom prst="rect">
          <a:avLst/>
        </a:prstGeom>
      </xdr:spPr>
    </xdr:pic>
    <xdr:clientData/>
  </xdr:twoCellAnchor>
  <xdr:twoCellAnchor editAs="oneCell">
    <xdr:from>
      <xdr:col>2</xdr:col>
      <xdr:colOff>2544049</xdr:colOff>
      <xdr:row>285</xdr:row>
      <xdr:rowOff>61913</xdr:rowOff>
    </xdr:from>
    <xdr:to>
      <xdr:col>2</xdr:col>
      <xdr:colOff>6095127</xdr:colOff>
      <xdr:row>285</xdr:row>
      <xdr:rowOff>1766888</xdr:rowOff>
    </xdr:to>
    <xdr:pic>
      <xdr:nvPicPr>
        <xdr:cNvPr id="668" name="Picture 667" descr="Insight Picture 667"/>
        <xdr:cNvPicPr>
          <a:picLocks noChangeAspect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0024" y="512402138"/>
          <a:ext cx="3551078" cy="1704975"/>
        </a:xfrm>
        <a:prstGeom prst="rect">
          <a:avLst/>
        </a:prstGeom>
      </xdr:spPr>
    </xdr:pic>
    <xdr:clientData/>
  </xdr:twoCellAnchor>
  <xdr:twoCellAnchor editAs="oneCell">
    <xdr:from>
      <xdr:col>2</xdr:col>
      <xdr:colOff>3181910</xdr:colOff>
      <xdr:row>286</xdr:row>
      <xdr:rowOff>61913</xdr:rowOff>
    </xdr:from>
    <xdr:to>
      <xdr:col>2</xdr:col>
      <xdr:colOff>5457265</xdr:colOff>
      <xdr:row>286</xdr:row>
      <xdr:rowOff>1547813</xdr:rowOff>
    </xdr:to>
    <xdr:pic>
      <xdr:nvPicPr>
        <xdr:cNvPr id="669" name="Picture 668" descr="Insight Picture 668"/>
        <xdr:cNvPicPr>
          <a:picLocks noChangeAspect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7885" y="514230938"/>
          <a:ext cx="2275355" cy="1485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3105748</xdr:colOff>
      <xdr:row>287</xdr:row>
      <xdr:rowOff>61913</xdr:rowOff>
    </xdr:from>
    <xdr:to>
      <xdr:col>2</xdr:col>
      <xdr:colOff>5533428</xdr:colOff>
      <xdr:row>287</xdr:row>
      <xdr:rowOff>2138363</xdr:rowOff>
    </xdr:to>
    <xdr:pic>
      <xdr:nvPicPr>
        <xdr:cNvPr id="670" name="Picture 669" descr="Insight Picture 669"/>
        <xdr:cNvPicPr>
          <a:picLocks noChangeAspect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723" y="515840663"/>
          <a:ext cx="2427680" cy="2076450"/>
        </a:xfrm>
        <a:prstGeom prst="rect">
          <a:avLst/>
        </a:prstGeom>
      </xdr:spPr>
    </xdr:pic>
    <xdr:clientData/>
  </xdr:twoCellAnchor>
  <xdr:twoCellAnchor editAs="oneCell">
    <xdr:from>
      <xdr:col>2</xdr:col>
      <xdr:colOff>2463126</xdr:colOff>
      <xdr:row>288</xdr:row>
      <xdr:rowOff>61913</xdr:rowOff>
    </xdr:from>
    <xdr:to>
      <xdr:col>2</xdr:col>
      <xdr:colOff>6176048</xdr:colOff>
      <xdr:row>288</xdr:row>
      <xdr:rowOff>2824163</xdr:rowOff>
    </xdr:to>
    <xdr:pic>
      <xdr:nvPicPr>
        <xdr:cNvPr id="671" name="Picture 670" descr="Insight Picture 670"/>
        <xdr:cNvPicPr>
          <a:picLocks noChangeAspect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101" y="518040938"/>
          <a:ext cx="3712922" cy="2762250"/>
        </a:xfrm>
        <a:prstGeom prst="rect">
          <a:avLst/>
        </a:prstGeom>
      </xdr:spPr>
    </xdr:pic>
    <xdr:clientData/>
  </xdr:twoCellAnchor>
  <xdr:twoCellAnchor editAs="oneCell">
    <xdr:from>
      <xdr:col>2</xdr:col>
      <xdr:colOff>2691614</xdr:colOff>
      <xdr:row>289</xdr:row>
      <xdr:rowOff>61913</xdr:rowOff>
    </xdr:from>
    <xdr:to>
      <xdr:col>2</xdr:col>
      <xdr:colOff>5947561</xdr:colOff>
      <xdr:row>289</xdr:row>
      <xdr:rowOff>1471613</xdr:rowOff>
    </xdr:to>
    <xdr:pic>
      <xdr:nvPicPr>
        <xdr:cNvPr id="672" name="Picture 671" descr="Insight Picture 671"/>
        <xdr:cNvPicPr>
          <a:picLocks noChangeAspect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7589" y="520927013"/>
          <a:ext cx="3255947" cy="1409700"/>
        </a:xfrm>
        <a:prstGeom prst="rect">
          <a:avLst/>
        </a:prstGeom>
      </xdr:spPr>
    </xdr:pic>
    <xdr:clientData/>
  </xdr:twoCellAnchor>
  <xdr:twoCellAnchor editAs="oneCell">
    <xdr:from>
      <xdr:col>2</xdr:col>
      <xdr:colOff>2877260</xdr:colOff>
      <xdr:row>290</xdr:row>
      <xdr:rowOff>61913</xdr:rowOff>
    </xdr:from>
    <xdr:to>
      <xdr:col>2</xdr:col>
      <xdr:colOff>5761915</xdr:colOff>
      <xdr:row>290</xdr:row>
      <xdr:rowOff>2185988</xdr:rowOff>
    </xdr:to>
    <xdr:pic>
      <xdr:nvPicPr>
        <xdr:cNvPr id="673" name="Picture 672" descr="Insight Picture 672"/>
        <xdr:cNvPicPr>
          <a:picLocks noChangeAspect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3235" y="522460538"/>
          <a:ext cx="2884655" cy="2124075"/>
        </a:xfrm>
        <a:prstGeom prst="rect">
          <a:avLst/>
        </a:prstGeom>
      </xdr:spPr>
    </xdr:pic>
    <xdr:clientData/>
  </xdr:twoCellAnchor>
  <xdr:twoCellAnchor editAs="oneCell">
    <xdr:from>
      <xdr:col>2</xdr:col>
      <xdr:colOff>3372316</xdr:colOff>
      <xdr:row>291</xdr:row>
      <xdr:rowOff>61913</xdr:rowOff>
    </xdr:from>
    <xdr:to>
      <xdr:col>2</xdr:col>
      <xdr:colOff>5266859</xdr:colOff>
      <xdr:row>291</xdr:row>
      <xdr:rowOff>1700213</xdr:rowOff>
    </xdr:to>
    <xdr:pic>
      <xdr:nvPicPr>
        <xdr:cNvPr id="674" name="Picture 673" descr="Insight Picture 673"/>
        <xdr:cNvPicPr>
          <a:picLocks noChangeAspect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291" y="524708438"/>
          <a:ext cx="1894543" cy="1638300"/>
        </a:xfrm>
        <a:prstGeom prst="rect">
          <a:avLst/>
        </a:prstGeom>
      </xdr:spPr>
    </xdr:pic>
    <xdr:clientData/>
  </xdr:twoCellAnchor>
  <xdr:twoCellAnchor editAs="oneCell">
    <xdr:from>
      <xdr:col>2</xdr:col>
      <xdr:colOff>3162869</xdr:colOff>
      <xdr:row>292</xdr:row>
      <xdr:rowOff>61913</xdr:rowOff>
    </xdr:from>
    <xdr:to>
      <xdr:col>2</xdr:col>
      <xdr:colOff>5476306</xdr:colOff>
      <xdr:row>292</xdr:row>
      <xdr:rowOff>1481138</xdr:rowOff>
    </xdr:to>
    <xdr:pic>
      <xdr:nvPicPr>
        <xdr:cNvPr id="675" name="Picture 674" descr="Insight Picture 674"/>
        <xdr:cNvPicPr>
          <a:picLocks noChangeAspect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844" y="526470563"/>
          <a:ext cx="2313437" cy="1419225"/>
        </a:xfrm>
        <a:prstGeom prst="rect">
          <a:avLst/>
        </a:prstGeom>
      </xdr:spPr>
    </xdr:pic>
    <xdr:clientData/>
  </xdr:twoCellAnchor>
  <xdr:twoCellAnchor editAs="oneCell">
    <xdr:from>
      <xdr:col>2</xdr:col>
      <xdr:colOff>3358035</xdr:colOff>
      <xdr:row>293</xdr:row>
      <xdr:rowOff>61913</xdr:rowOff>
    </xdr:from>
    <xdr:to>
      <xdr:col>2</xdr:col>
      <xdr:colOff>5281139</xdr:colOff>
      <xdr:row>293</xdr:row>
      <xdr:rowOff>1662113</xdr:rowOff>
    </xdr:to>
    <xdr:pic>
      <xdr:nvPicPr>
        <xdr:cNvPr id="676" name="Picture 675" descr="Insight Picture 675"/>
        <xdr:cNvPicPr>
          <a:picLocks noChangeAspect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010" y="528013613"/>
          <a:ext cx="1923104" cy="1600200"/>
        </a:xfrm>
        <a:prstGeom prst="rect">
          <a:avLst/>
        </a:prstGeom>
      </xdr:spPr>
    </xdr:pic>
    <xdr:clientData/>
  </xdr:twoCellAnchor>
  <xdr:twoCellAnchor editAs="oneCell">
    <xdr:from>
      <xdr:col>2</xdr:col>
      <xdr:colOff>2691614</xdr:colOff>
      <xdr:row>294</xdr:row>
      <xdr:rowOff>61913</xdr:rowOff>
    </xdr:from>
    <xdr:to>
      <xdr:col>2</xdr:col>
      <xdr:colOff>5947561</xdr:colOff>
      <xdr:row>294</xdr:row>
      <xdr:rowOff>1357313</xdr:rowOff>
    </xdr:to>
    <xdr:pic>
      <xdr:nvPicPr>
        <xdr:cNvPr id="677" name="Picture 676" descr="Insight Picture 676"/>
        <xdr:cNvPicPr>
          <a:picLocks noChangeAspect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7589" y="529737638"/>
          <a:ext cx="3255947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3001024</xdr:colOff>
      <xdr:row>295</xdr:row>
      <xdr:rowOff>61913</xdr:rowOff>
    </xdr:from>
    <xdr:to>
      <xdr:col>2</xdr:col>
      <xdr:colOff>5638151</xdr:colOff>
      <xdr:row>295</xdr:row>
      <xdr:rowOff>1395413</xdr:rowOff>
    </xdr:to>
    <xdr:pic>
      <xdr:nvPicPr>
        <xdr:cNvPr id="678" name="Picture 677" descr="Insight Picture 677"/>
        <xdr:cNvPicPr>
          <a:picLocks noChangeAspect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999" y="531156863"/>
          <a:ext cx="2637127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3162869</xdr:colOff>
      <xdr:row>296</xdr:row>
      <xdr:rowOff>61913</xdr:rowOff>
    </xdr:from>
    <xdr:to>
      <xdr:col>2</xdr:col>
      <xdr:colOff>5476306</xdr:colOff>
      <xdr:row>296</xdr:row>
      <xdr:rowOff>1385888</xdr:rowOff>
    </xdr:to>
    <xdr:pic>
      <xdr:nvPicPr>
        <xdr:cNvPr id="679" name="Picture 678" descr="Insight Picture 678"/>
        <xdr:cNvPicPr>
          <a:picLocks noChangeAspect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844" y="532614188"/>
          <a:ext cx="2313437" cy="1323975"/>
        </a:xfrm>
        <a:prstGeom prst="rect">
          <a:avLst/>
        </a:prstGeom>
      </xdr:spPr>
    </xdr:pic>
    <xdr:clientData/>
  </xdr:twoCellAnchor>
  <xdr:twoCellAnchor editAs="oneCell">
    <xdr:from>
      <xdr:col>2</xdr:col>
      <xdr:colOff>2948662</xdr:colOff>
      <xdr:row>297</xdr:row>
      <xdr:rowOff>61913</xdr:rowOff>
    </xdr:from>
    <xdr:to>
      <xdr:col>2</xdr:col>
      <xdr:colOff>5690513</xdr:colOff>
      <xdr:row>297</xdr:row>
      <xdr:rowOff>1643063</xdr:rowOff>
    </xdr:to>
    <xdr:pic>
      <xdr:nvPicPr>
        <xdr:cNvPr id="680" name="Picture 679" descr="Insight Picture 679"/>
        <xdr:cNvPicPr>
          <a:picLocks noChangeAspect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37" y="534061988"/>
          <a:ext cx="2741851" cy="1581150"/>
        </a:xfrm>
        <a:prstGeom prst="rect">
          <a:avLst/>
        </a:prstGeom>
      </xdr:spPr>
    </xdr:pic>
    <xdr:clientData/>
  </xdr:twoCellAnchor>
  <xdr:twoCellAnchor editAs="oneCell">
    <xdr:from>
      <xdr:col>2</xdr:col>
      <xdr:colOff>2763016</xdr:colOff>
      <xdr:row>298</xdr:row>
      <xdr:rowOff>61913</xdr:rowOff>
    </xdr:from>
    <xdr:to>
      <xdr:col>2</xdr:col>
      <xdr:colOff>5876159</xdr:colOff>
      <xdr:row>298</xdr:row>
      <xdr:rowOff>2128838</xdr:rowOff>
    </xdr:to>
    <xdr:pic>
      <xdr:nvPicPr>
        <xdr:cNvPr id="681" name="Picture 680" descr="Insight Picture 680"/>
        <xdr:cNvPicPr>
          <a:picLocks noChangeAspect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991" y="535766963"/>
          <a:ext cx="3113143" cy="2066925"/>
        </a:xfrm>
        <a:prstGeom prst="rect">
          <a:avLst/>
        </a:prstGeom>
      </xdr:spPr>
    </xdr:pic>
    <xdr:clientData/>
  </xdr:twoCellAnchor>
  <xdr:twoCellAnchor editAs="oneCell">
    <xdr:from>
      <xdr:col>2</xdr:col>
      <xdr:colOff>2129915</xdr:colOff>
      <xdr:row>299</xdr:row>
      <xdr:rowOff>61913</xdr:rowOff>
    </xdr:from>
    <xdr:to>
      <xdr:col>2</xdr:col>
      <xdr:colOff>6509260</xdr:colOff>
      <xdr:row>299</xdr:row>
      <xdr:rowOff>1366838</xdr:rowOff>
    </xdr:to>
    <xdr:pic>
      <xdr:nvPicPr>
        <xdr:cNvPr id="682" name="Picture 681" descr="Insight Picture 681"/>
        <xdr:cNvPicPr>
          <a:picLocks noChangeAspect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5890" y="537957713"/>
          <a:ext cx="4379345" cy="1304925"/>
        </a:xfrm>
        <a:prstGeom prst="rect">
          <a:avLst/>
        </a:prstGeom>
      </xdr:spPr>
    </xdr:pic>
    <xdr:clientData/>
  </xdr:twoCellAnchor>
  <xdr:twoCellAnchor editAs="oneCell">
    <xdr:from>
      <xdr:col>2</xdr:col>
      <xdr:colOff>3372316</xdr:colOff>
      <xdr:row>300</xdr:row>
      <xdr:rowOff>61913</xdr:rowOff>
    </xdr:from>
    <xdr:to>
      <xdr:col>2</xdr:col>
      <xdr:colOff>5266859</xdr:colOff>
      <xdr:row>300</xdr:row>
      <xdr:rowOff>1881188</xdr:rowOff>
    </xdr:to>
    <xdr:pic>
      <xdr:nvPicPr>
        <xdr:cNvPr id="683" name="Picture 682" descr="Insight Picture 682"/>
        <xdr:cNvPicPr>
          <a:picLocks noChangeAspect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291" y="539386463"/>
          <a:ext cx="1894543" cy="1819275"/>
        </a:xfrm>
        <a:prstGeom prst="rect">
          <a:avLst/>
        </a:prstGeom>
      </xdr:spPr>
    </xdr:pic>
    <xdr:clientData/>
  </xdr:twoCellAnchor>
  <xdr:twoCellAnchor editAs="oneCell">
    <xdr:from>
      <xdr:col>2</xdr:col>
      <xdr:colOff>3177149</xdr:colOff>
      <xdr:row>301</xdr:row>
      <xdr:rowOff>61913</xdr:rowOff>
    </xdr:from>
    <xdr:to>
      <xdr:col>2</xdr:col>
      <xdr:colOff>5462025</xdr:colOff>
      <xdr:row>301</xdr:row>
      <xdr:rowOff>1643063</xdr:rowOff>
    </xdr:to>
    <xdr:pic>
      <xdr:nvPicPr>
        <xdr:cNvPr id="684" name="Picture 683" descr="Insight Picture 683"/>
        <xdr:cNvPicPr>
          <a:picLocks noChangeAspect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3124" y="541329563"/>
          <a:ext cx="2284876" cy="1581150"/>
        </a:xfrm>
        <a:prstGeom prst="rect">
          <a:avLst/>
        </a:prstGeom>
      </xdr:spPr>
    </xdr:pic>
    <xdr:clientData/>
  </xdr:twoCellAnchor>
  <xdr:twoCellAnchor editAs="oneCell">
    <xdr:from>
      <xdr:col>2</xdr:col>
      <xdr:colOff>3377076</xdr:colOff>
      <xdr:row>302</xdr:row>
      <xdr:rowOff>61913</xdr:rowOff>
    </xdr:from>
    <xdr:to>
      <xdr:col>2</xdr:col>
      <xdr:colOff>5262098</xdr:colOff>
      <xdr:row>302</xdr:row>
      <xdr:rowOff>1528763</xdr:rowOff>
    </xdr:to>
    <xdr:pic>
      <xdr:nvPicPr>
        <xdr:cNvPr id="685" name="Picture 684" descr="Insight Picture 684"/>
        <xdr:cNvPicPr>
          <a:picLocks noChangeAspect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051" y="543034538"/>
          <a:ext cx="1885022" cy="1466850"/>
        </a:xfrm>
        <a:prstGeom prst="rect">
          <a:avLst/>
        </a:prstGeom>
      </xdr:spPr>
    </xdr:pic>
    <xdr:clientData/>
  </xdr:twoCellAnchor>
  <xdr:twoCellAnchor editAs="oneCell">
    <xdr:from>
      <xdr:col>2</xdr:col>
      <xdr:colOff>2710655</xdr:colOff>
      <xdr:row>303</xdr:row>
      <xdr:rowOff>61913</xdr:rowOff>
    </xdr:from>
    <xdr:to>
      <xdr:col>2</xdr:col>
      <xdr:colOff>5928521</xdr:colOff>
      <xdr:row>303</xdr:row>
      <xdr:rowOff>2119313</xdr:rowOff>
    </xdr:to>
    <xdr:pic>
      <xdr:nvPicPr>
        <xdr:cNvPr id="686" name="Picture 685" descr="Insight Picture 685"/>
        <xdr:cNvPicPr>
          <a:picLocks noChangeAspect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6630" y="544625213"/>
          <a:ext cx="3217866" cy="2057400"/>
        </a:xfrm>
        <a:prstGeom prst="rect">
          <a:avLst/>
        </a:prstGeom>
      </xdr:spPr>
    </xdr:pic>
    <xdr:clientData/>
  </xdr:twoCellAnchor>
  <xdr:twoCellAnchor editAs="oneCell">
    <xdr:from>
      <xdr:col>2</xdr:col>
      <xdr:colOff>2724935</xdr:colOff>
      <xdr:row>304</xdr:row>
      <xdr:rowOff>61913</xdr:rowOff>
    </xdr:from>
    <xdr:to>
      <xdr:col>2</xdr:col>
      <xdr:colOff>5914240</xdr:colOff>
      <xdr:row>304</xdr:row>
      <xdr:rowOff>1700213</xdr:rowOff>
    </xdr:to>
    <xdr:pic>
      <xdr:nvPicPr>
        <xdr:cNvPr id="687" name="Picture 686" descr="Insight Picture 686"/>
        <xdr:cNvPicPr>
          <a:picLocks noChangeAspect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910" y="546806438"/>
          <a:ext cx="3189305" cy="1638300"/>
        </a:xfrm>
        <a:prstGeom prst="rect">
          <a:avLst/>
        </a:prstGeom>
      </xdr:spPr>
    </xdr:pic>
    <xdr:clientData/>
  </xdr:twoCellAnchor>
  <xdr:twoCellAnchor editAs="oneCell">
    <xdr:from>
      <xdr:col>2</xdr:col>
      <xdr:colOff>3143828</xdr:colOff>
      <xdr:row>305</xdr:row>
      <xdr:rowOff>61913</xdr:rowOff>
    </xdr:from>
    <xdr:to>
      <xdr:col>2</xdr:col>
      <xdr:colOff>5495346</xdr:colOff>
      <xdr:row>305</xdr:row>
      <xdr:rowOff>2586038</xdr:rowOff>
    </xdr:to>
    <xdr:pic>
      <xdr:nvPicPr>
        <xdr:cNvPr id="688" name="Picture 687" descr="Insight Picture 687"/>
        <xdr:cNvPicPr>
          <a:picLocks noChangeAspect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803" y="548568563"/>
          <a:ext cx="2351518" cy="2524125"/>
        </a:xfrm>
        <a:prstGeom prst="rect">
          <a:avLst/>
        </a:prstGeom>
      </xdr:spPr>
    </xdr:pic>
    <xdr:clientData/>
  </xdr:twoCellAnchor>
  <xdr:twoCellAnchor editAs="oneCell">
    <xdr:from>
      <xdr:col>2</xdr:col>
      <xdr:colOff>3100987</xdr:colOff>
      <xdr:row>306</xdr:row>
      <xdr:rowOff>61913</xdr:rowOff>
    </xdr:from>
    <xdr:to>
      <xdr:col>2</xdr:col>
      <xdr:colOff>5538188</xdr:colOff>
      <xdr:row>306</xdr:row>
      <xdr:rowOff>1795463</xdr:rowOff>
    </xdr:to>
    <xdr:pic>
      <xdr:nvPicPr>
        <xdr:cNvPr id="689" name="Picture 688" descr="Insight Picture 688"/>
        <xdr:cNvPicPr>
          <a:picLocks noChangeAspect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6962" y="551216513"/>
          <a:ext cx="2437201" cy="173355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3124788</xdr:colOff>
      <xdr:row>307</xdr:row>
      <xdr:rowOff>61913</xdr:rowOff>
    </xdr:from>
    <xdr:to>
      <xdr:col>2</xdr:col>
      <xdr:colOff>5514387</xdr:colOff>
      <xdr:row>307</xdr:row>
      <xdr:rowOff>1462088</xdr:rowOff>
    </xdr:to>
    <xdr:pic>
      <xdr:nvPicPr>
        <xdr:cNvPr id="690" name="Picture 689" descr="Insight Picture 689"/>
        <xdr:cNvPicPr>
          <a:picLocks noChangeAspect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763" y="553073888"/>
          <a:ext cx="2389599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3191430</xdr:colOff>
      <xdr:row>308</xdr:row>
      <xdr:rowOff>61913</xdr:rowOff>
    </xdr:from>
    <xdr:to>
      <xdr:col>2</xdr:col>
      <xdr:colOff>5447744</xdr:colOff>
      <xdr:row>308</xdr:row>
      <xdr:rowOff>1652588</xdr:rowOff>
    </xdr:to>
    <xdr:pic>
      <xdr:nvPicPr>
        <xdr:cNvPr id="691" name="Picture 690" descr="Insight Picture 690"/>
        <xdr:cNvPicPr>
          <a:picLocks noChangeAspect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7405" y="554597888"/>
          <a:ext cx="2256314" cy="1590675"/>
        </a:xfrm>
        <a:prstGeom prst="rect">
          <a:avLst/>
        </a:prstGeom>
      </xdr:spPr>
    </xdr:pic>
    <xdr:clientData/>
  </xdr:twoCellAnchor>
  <xdr:twoCellAnchor editAs="oneCell">
    <xdr:from>
      <xdr:col>2</xdr:col>
      <xdr:colOff>3239031</xdr:colOff>
      <xdr:row>309</xdr:row>
      <xdr:rowOff>61913</xdr:rowOff>
    </xdr:from>
    <xdr:to>
      <xdr:col>2</xdr:col>
      <xdr:colOff>5400143</xdr:colOff>
      <xdr:row>309</xdr:row>
      <xdr:rowOff>1462088</xdr:rowOff>
    </xdr:to>
    <xdr:pic>
      <xdr:nvPicPr>
        <xdr:cNvPr id="692" name="Picture 691" descr="Insight Picture 691"/>
        <xdr:cNvPicPr>
          <a:picLocks noChangeAspect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5006" y="556312388"/>
          <a:ext cx="2161112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2986743</xdr:colOff>
      <xdr:row>310</xdr:row>
      <xdr:rowOff>61913</xdr:rowOff>
    </xdr:from>
    <xdr:to>
      <xdr:col>2</xdr:col>
      <xdr:colOff>5652431</xdr:colOff>
      <xdr:row>310</xdr:row>
      <xdr:rowOff>1528763</xdr:rowOff>
    </xdr:to>
    <xdr:pic>
      <xdr:nvPicPr>
        <xdr:cNvPr id="693" name="Picture 692" descr="Insight Picture 692"/>
        <xdr:cNvPicPr>
          <a:picLocks noChangeAspect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718" y="557836388"/>
          <a:ext cx="2665688" cy="1466850"/>
        </a:xfrm>
        <a:prstGeom prst="rect">
          <a:avLst/>
        </a:prstGeom>
      </xdr:spPr>
    </xdr:pic>
    <xdr:clientData/>
  </xdr:twoCellAnchor>
  <xdr:twoCellAnchor editAs="oneCell">
    <xdr:from>
      <xdr:col>2</xdr:col>
      <xdr:colOff>2772537</xdr:colOff>
      <xdr:row>311</xdr:row>
      <xdr:rowOff>61913</xdr:rowOff>
    </xdr:from>
    <xdr:to>
      <xdr:col>2</xdr:col>
      <xdr:colOff>5866639</xdr:colOff>
      <xdr:row>311</xdr:row>
      <xdr:rowOff>1890713</xdr:rowOff>
    </xdr:to>
    <xdr:pic>
      <xdr:nvPicPr>
        <xdr:cNvPr id="694" name="Picture 693" descr="Insight Picture 693"/>
        <xdr:cNvPicPr>
          <a:picLocks noChangeAspect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8512" y="559427063"/>
          <a:ext cx="3094102" cy="1828800"/>
        </a:xfrm>
        <a:prstGeom prst="rect">
          <a:avLst/>
        </a:prstGeom>
      </xdr:spPr>
    </xdr:pic>
    <xdr:clientData/>
  </xdr:twoCellAnchor>
  <xdr:twoCellAnchor editAs="oneCell">
    <xdr:from>
      <xdr:col>2</xdr:col>
      <xdr:colOff>3115268</xdr:colOff>
      <xdr:row>312</xdr:row>
      <xdr:rowOff>61913</xdr:rowOff>
    </xdr:from>
    <xdr:to>
      <xdr:col>2</xdr:col>
      <xdr:colOff>5523907</xdr:colOff>
      <xdr:row>312</xdr:row>
      <xdr:rowOff>2471738</xdr:rowOff>
    </xdr:to>
    <xdr:pic>
      <xdr:nvPicPr>
        <xdr:cNvPr id="695" name="Picture 694" descr="Insight Picture 694"/>
        <xdr:cNvPicPr>
          <a:picLocks noChangeAspect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1243" y="561379688"/>
          <a:ext cx="2408639" cy="2409825"/>
        </a:xfrm>
        <a:prstGeom prst="rect">
          <a:avLst/>
        </a:prstGeom>
      </xdr:spPr>
    </xdr:pic>
    <xdr:clientData/>
  </xdr:twoCellAnchor>
  <xdr:twoCellAnchor editAs="oneCell">
    <xdr:from>
      <xdr:col>2</xdr:col>
      <xdr:colOff>3062906</xdr:colOff>
      <xdr:row>313</xdr:row>
      <xdr:rowOff>61913</xdr:rowOff>
    </xdr:from>
    <xdr:to>
      <xdr:col>2</xdr:col>
      <xdr:colOff>5576269</xdr:colOff>
      <xdr:row>313</xdr:row>
      <xdr:rowOff>2719388</xdr:rowOff>
    </xdr:to>
    <xdr:pic>
      <xdr:nvPicPr>
        <xdr:cNvPr id="696" name="Picture 695" descr="Insight Picture 695"/>
        <xdr:cNvPicPr>
          <a:picLocks noChangeAspect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8881" y="563913338"/>
          <a:ext cx="2513363" cy="2657475"/>
        </a:xfrm>
        <a:prstGeom prst="rect">
          <a:avLst/>
        </a:prstGeom>
      </xdr:spPr>
    </xdr:pic>
    <xdr:clientData/>
  </xdr:twoCellAnchor>
  <xdr:twoCellAnchor editAs="oneCell">
    <xdr:from>
      <xdr:col>2</xdr:col>
      <xdr:colOff>3448479</xdr:colOff>
      <xdr:row>314</xdr:row>
      <xdr:rowOff>61913</xdr:rowOff>
    </xdr:from>
    <xdr:to>
      <xdr:col>2</xdr:col>
      <xdr:colOff>5190697</xdr:colOff>
      <xdr:row>314</xdr:row>
      <xdr:rowOff>2690813</xdr:rowOff>
    </xdr:to>
    <xdr:pic>
      <xdr:nvPicPr>
        <xdr:cNvPr id="697" name="Picture 696" descr="Insight Picture 696"/>
        <xdr:cNvPicPr>
          <a:picLocks noChangeAspect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454" y="566694638"/>
          <a:ext cx="1742218" cy="2628900"/>
        </a:xfrm>
        <a:prstGeom prst="rect">
          <a:avLst/>
        </a:prstGeom>
      </xdr:spPr>
    </xdr:pic>
    <xdr:clientData/>
  </xdr:twoCellAnchor>
  <xdr:twoCellAnchor editAs="oneCell">
    <xdr:from>
      <xdr:col>2</xdr:col>
      <xdr:colOff>3515121</xdr:colOff>
      <xdr:row>315</xdr:row>
      <xdr:rowOff>64641</xdr:rowOff>
    </xdr:from>
    <xdr:to>
      <xdr:col>2</xdr:col>
      <xdr:colOff>5124054</xdr:colOff>
      <xdr:row>315</xdr:row>
      <xdr:rowOff>3307223</xdr:rowOff>
    </xdr:to>
    <xdr:pic>
      <xdr:nvPicPr>
        <xdr:cNvPr id="698" name="Picture 697" descr="Insight Picture 697"/>
        <xdr:cNvPicPr>
          <a:picLocks noChangeAspect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1096" y="569450091"/>
          <a:ext cx="1608933" cy="3242582"/>
        </a:xfrm>
        <a:prstGeom prst="rect">
          <a:avLst/>
        </a:prstGeom>
      </xdr:spPr>
    </xdr:pic>
    <xdr:clientData/>
  </xdr:twoCellAnchor>
  <xdr:twoCellAnchor editAs="oneCell">
    <xdr:from>
      <xdr:col>2</xdr:col>
      <xdr:colOff>3448479</xdr:colOff>
      <xdr:row>316</xdr:row>
      <xdr:rowOff>61913</xdr:rowOff>
    </xdr:from>
    <xdr:to>
      <xdr:col>2</xdr:col>
      <xdr:colOff>5190697</xdr:colOff>
      <xdr:row>316</xdr:row>
      <xdr:rowOff>1423988</xdr:rowOff>
    </xdr:to>
    <xdr:pic>
      <xdr:nvPicPr>
        <xdr:cNvPr id="699" name="Picture 698" descr="Insight Picture 698"/>
        <xdr:cNvPicPr>
          <a:picLocks noChangeAspect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4454" y="572819213"/>
          <a:ext cx="1742218" cy="1362075"/>
        </a:xfrm>
        <a:prstGeom prst="rect">
          <a:avLst/>
        </a:prstGeom>
      </xdr:spPr>
    </xdr:pic>
    <xdr:clientData/>
  </xdr:twoCellAnchor>
  <xdr:twoCellAnchor editAs="oneCell">
    <xdr:from>
      <xdr:col>2</xdr:col>
      <xdr:colOff>3062906</xdr:colOff>
      <xdr:row>317</xdr:row>
      <xdr:rowOff>61913</xdr:rowOff>
    </xdr:from>
    <xdr:to>
      <xdr:col>2</xdr:col>
      <xdr:colOff>5576269</xdr:colOff>
      <xdr:row>317</xdr:row>
      <xdr:rowOff>1357313</xdr:rowOff>
    </xdr:to>
    <xdr:pic>
      <xdr:nvPicPr>
        <xdr:cNvPr id="700" name="Picture 699" descr="Insight Picture 699"/>
        <xdr:cNvPicPr>
          <a:picLocks noChangeAspect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8881" y="574305113"/>
          <a:ext cx="2513363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3253312</xdr:colOff>
      <xdr:row>318</xdr:row>
      <xdr:rowOff>61913</xdr:rowOff>
    </xdr:from>
    <xdr:to>
      <xdr:col>2</xdr:col>
      <xdr:colOff>5385862</xdr:colOff>
      <xdr:row>318</xdr:row>
      <xdr:rowOff>1785938</xdr:rowOff>
    </xdr:to>
    <xdr:pic>
      <xdr:nvPicPr>
        <xdr:cNvPr id="701" name="Picture 700" descr="Insight Picture 700"/>
        <xdr:cNvPicPr>
          <a:picLocks noChangeAspect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9287" y="575724338"/>
          <a:ext cx="2132550" cy="1724025"/>
        </a:xfrm>
        <a:prstGeom prst="rect">
          <a:avLst/>
        </a:prstGeom>
      </xdr:spPr>
    </xdr:pic>
    <xdr:clientData/>
  </xdr:twoCellAnchor>
  <xdr:twoCellAnchor editAs="oneCell">
    <xdr:from>
      <xdr:col>2</xdr:col>
      <xdr:colOff>3386597</xdr:colOff>
      <xdr:row>319</xdr:row>
      <xdr:rowOff>64641</xdr:rowOff>
    </xdr:from>
    <xdr:to>
      <xdr:col>2</xdr:col>
      <xdr:colOff>5252578</xdr:colOff>
      <xdr:row>319</xdr:row>
      <xdr:rowOff>3192923</xdr:rowOff>
    </xdr:to>
    <xdr:pic>
      <xdr:nvPicPr>
        <xdr:cNvPr id="702" name="Picture 701" descr="Insight Picture 701"/>
        <xdr:cNvPicPr>
          <a:picLocks noChangeAspect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72" y="577574916"/>
          <a:ext cx="1865981" cy="3128282"/>
        </a:xfrm>
        <a:prstGeom prst="rect">
          <a:avLst/>
        </a:prstGeom>
      </xdr:spPr>
    </xdr:pic>
    <xdr:clientData/>
  </xdr:twoCellAnchor>
  <xdr:twoCellAnchor editAs="oneCell">
    <xdr:from>
      <xdr:col>2</xdr:col>
      <xdr:colOff>3001024</xdr:colOff>
      <xdr:row>320</xdr:row>
      <xdr:rowOff>61913</xdr:rowOff>
    </xdr:from>
    <xdr:to>
      <xdr:col>2</xdr:col>
      <xdr:colOff>5638151</xdr:colOff>
      <xdr:row>320</xdr:row>
      <xdr:rowOff>1957388</xdr:rowOff>
    </xdr:to>
    <xdr:pic>
      <xdr:nvPicPr>
        <xdr:cNvPr id="703" name="Picture 702" descr="Insight Picture 702"/>
        <xdr:cNvPicPr>
          <a:picLocks noChangeAspect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999" y="580829738"/>
          <a:ext cx="2637127" cy="1895475"/>
        </a:xfrm>
        <a:prstGeom prst="rect">
          <a:avLst/>
        </a:prstGeom>
      </xdr:spPr>
    </xdr:pic>
    <xdr:clientData/>
  </xdr:twoCellAnchor>
  <xdr:twoCellAnchor editAs="oneCell">
    <xdr:from>
      <xdr:col>2</xdr:col>
      <xdr:colOff>3443718</xdr:colOff>
      <xdr:row>321</xdr:row>
      <xdr:rowOff>61913</xdr:rowOff>
    </xdr:from>
    <xdr:to>
      <xdr:col>2</xdr:col>
      <xdr:colOff>5195456</xdr:colOff>
      <xdr:row>321</xdr:row>
      <xdr:rowOff>2014538</xdr:rowOff>
    </xdr:to>
    <xdr:pic>
      <xdr:nvPicPr>
        <xdr:cNvPr id="704" name="Picture 703" descr="Insight Picture 703"/>
        <xdr:cNvPicPr>
          <a:picLocks noChangeAspect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9693" y="582849038"/>
          <a:ext cx="1751738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3505600</xdr:colOff>
      <xdr:row>322</xdr:row>
      <xdr:rowOff>61913</xdr:rowOff>
    </xdr:from>
    <xdr:to>
      <xdr:col>2</xdr:col>
      <xdr:colOff>5133574</xdr:colOff>
      <xdr:row>322</xdr:row>
      <xdr:rowOff>1604963</xdr:rowOff>
    </xdr:to>
    <xdr:pic>
      <xdr:nvPicPr>
        <xdr:cNvPr id="705" name="Picture 704" descr="Insight Picture 704"/>
        <xdr:cNvPicPr>
          <a:picLocks noChangeAspect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1575" y="584925488"/>
          <a:ext cx="1627974" cy="1543050"/>
        </a:xfrm>
        <a:prstGeom prst="rect">
          <a:avLst/>
        </a:prstGeom>
      </xdr:spPr>
    </xdr:pic>
    <xdr:clientData/>
  </xdr:twoCellAnchor>
  <xdr:twoCellAnchor editAs="oneCell">
    <xdr:from>
      <xdr:col>2</xdr:col>
      <xdr:colOff>3205711</xdr:colOff>
      <xdr:row>323</xdr:row>
      <xdr:rowOff>61913</xdr:rowOff>
    </xdr:from>
    <xdr:to>
      <xdr:col>2</xdr:col>
      <xdr:colOff>5433465</xdr:colOff>
      <xdr:row>323</xdr:row>
      <xdr:rowOff>1347788</xdr:rowOff>
    </xdr:to>
    <xdr:pic>
      <xdr:nvPicPr>
        <xdr:cNvPr id="706" name="Picture 705" descr="Insight Picture 705"/>
        <xdr:cNvPicPr>
          <a:picLocks noChangeAspect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86" y="586592363"/>
          <a:ext cx="2227754" cy="1285875"/>
        </a:xfrm>
        <a:prstGeom prst="rect">
          <a:avLst/>
        </a:prstGeom>
      </xdr:spPr>
    </xdr:pic>
    <xdr:clientData/>
  </xdr:twoCellAnchor>
  <xdr:twoCellAnchor editAs="oneCell">
    <xdr:from>
      <xdr:col>2</xdr:col>
      <xdr:colOff>2763016</xdr:colOff>
      <xdr:row>324</xdr:row>
      <xdr:rowOff>61913</xdr:rowOff>
    </xdr:from>
    <xdr:to>
      <xdr:col>2</xdr:col>
      <xdr:colOff>5876159</xdr:colOff>
      <xdr:row>324</xdr:row>
      <xdr:rowOff>2252663</xdr:rowOff>
    </xdr:to>
    <xdr:pic>
      <xdr:nvPicPr>
        <xdr:cNvPr id="707" name="Picture 706" descr="Insight Picture 706"/>
        <xdr:cNvPicPr>
          <a:picLocks noChangeAspect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991" y="588002063"/>
          <a:ext cx="3113143" cy="2190750"/>
        </a:xfrm>
        <a:prstGeom prst="rect">
          <a:avLst/>
        </a:prstGeom>
      </xdr:spPr>
    </xdr:pic>
    <xdr:clientData/>
  </xdr:twoCellAnchor>
  <xdr:twoCellAnchor editAs="oneCell">
    <xdr:from>
      <xdr:col>2</xdr:col>
      <xdr:colOff>2943902</xdr:colOff>
      <xdr:row>325</xdr:row>
      <xdr:rowOff>61913</xdr:rowOff>
    </xdr:from>
    <xdr:to>
      <xdr:col>2</xdr:col>
      <xdr:colOff>5695273</xdr:colOff>
      <xdr:row>325</xdr:row>
      <xdr:rowOff>2157413</xdr:rowOff>
    </xdr:to>
    <xdr:pic>
      <xdr:nvPicPr>
        <xdr:cNvPr id="708" name="Picture 707" descr="Insight Picture 707"/>
        <xdr:cNvPicPr>
          <a:picLocks noChangeAspect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877" y="590316638"/>
          <a:ext cx="2751371" cy="2095500"/>
        </a:xfrm>
        <a:prstGeom prst="rect">
          <a:avLst/>
        </a:prstGeom>
      </xdr:spPr>
    </xdr:pic>
    <xdr:clientData/>
  </xdr:twoCellAnchor>
  <xdr:twoCellAnchor editAs="oneCell">
    <xdr:from>
      <xdr:col>2</xdr:col>
      <xdr:colOff>2748735</xdr:colOff>
      <xdr:row>326</xdr:row>
      <xdr:rowOff>61913</xdr:rowOff>
    </xdr:from>
    <xdr:to>
      <xdr:col>2</xdr:col>
      <xdr:colOff>5890439</xdr:colOff>
      <xdr:row>326</xdr:row>
      <xdr:rowOff>1357313</xdr:rowOff>
    </xdr:to>
    <xdr:pic>
      <xdr:nvPicPr>
        <xdr:cNvPr id="709" name="Picture 708" descr="Insight Picture 708"/>
        <xdr:cNvPicPr>
          <a:picLocks noChangeAspect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4710" y="592535963"/>
          <a:ext cx="3141704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3167630</xdr:colOff>
      <xdr:row>327</xdr:row>
      <xdr:rowOff>61913</xdr:rowOff>
    </xdr:from>
    <xdr:to>
      <xdr:col>2</xdr:col>
      <xdr:colOff>5471546</xdr:colOff>
      <xdr:row>327</xdr:row>
      <xdr:rowOff>1281113</xdr:rowOff>
    </xdr:to>
    <xdr:pic>
      <xdr:nvPicPr>
        <xdr:cNvPr id="710" name="Picture 709" descr="Insight Picture 709"/>
        <xdr:cNvPicPr>
          <a:picLocks noChangeAspect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3605" y="593955188"/>
          <a:ext cx="2303916" cy="12192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3129548</xdr:colOff>
      <xdr:row>328</xdr:row>
      <xdr:rowOff>61913</xdr:rowOff>
    </xdr:from>
    <xdr:to>
      <xdr:col>2</xdr:col>
      <xdr:colOff>5509627</xdr:colOff>
      <xdr:row>328</xdr:row>
      <xdr:rowOff>2005013</xdr:rowOff>
    </xdr:to>
    <xdr:pic>
      <xdr:nvPicPr>
        <xdr:cNvPr id="711" name="Picture 710" descr="Insight Picture 710"/>
        <xdr:cNvPicPr>
          <a:picLocks noChangeAspect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5523" y="595298213"/>
          <a:ext cx="2380079" cy="1943100"/>
        </a:xfrm>
        <a:prstGeom prst="rect">
          <a:avLst/>
        </a:prstGeom>
      </xdr:spPr>
    </xdr:pic>
    <xdr:clientData/>
  </xdr:twoCellAnchor>
  <xdr:twoCellAnchor editAs="oneCell">
    <xdr:from>
      <xdr:col>2</xdr:col>
      <xdr:colOff>2615452</xdr:colOff>
      <xdr:row>329</xdr:row>
      <xdr:rowOff>61913</xdr:rowOff>
    </xdr:from>
    <xdr:to>
      <xdr:col>2</xdr:col>
      <xdr:colOff>6023724</xdr:colOff>
      <xdr:row>329</xdr:row>
      <xdr:rowOff>1585913</xdr:rowOff>
    </xdr:to>
    <xdr:pic>
      <xdr:nvPicPr>
        <xdr:cNvPr id="712" name="Picture 711" descr="Insight Picture 711"/>
        <xdr:cNvPicPr>
          <a:picLocks noChangeAspect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1427" y="597365138"/>
          <a:ext cx="3408272" cy="1524000"/>
        </a:xfrm>
        <a:prstGeom prst="rect">
          <a:avLst/>
        </a:prstGeom>
      </xdr:spPr>
    </xdr:pic>
    <xdr:clientData/>
  </xdr:twoCellAnchor>
  <xdr:twoCellAnchor editAs="oneCell">
    <xdr:from>
      <xdr:col>2</xdr:col>
      <xdr:colOff>2644012</xdr:colOff>
      <xdr:row>330</xdr:row>
      <xdr:rowOff>61913</xdr:rowOff>
    </xdr:from>
    <xdr:to>
      <xdr:col>2</xdr:col>
      <xdr:colOff>5995163</xdr:colOff>
      <xdr:row>330</xdr:row>
      <xdr:rowOff>1938338</xdr:rowOff>
    </xdr:to>
    <xdr:pic>
      <xdr:nvPicPr>
        <xdr:cNvPr id="713" name="Picture 712" descr="Insight Picture 712"/>
        <xdr:cNvPicPr>
          <a:picLocks noChangeAspect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9987" y="599012963"/>
          <a:ext cx="3351151" cy="1876425"/>
        </a:xfrm>
        <a:prstGeom prst="rect">
          <a:avLst/>
        </a:prstGeom>
      </xdr:spPr>
    </xdr:pic>
    <xdr:clientData/>
  </xdr:twoCellAnchor>
  <xdr:twoCellAnchor editAs="oneCell">
    <xdr:from>
      <xdr:col>2</xdr:col>
      <xdr:colOff>3100987</xdr:colOff>
      <xdr:row>331</xdr:row>
      <xdr:rowOff>61913</xdr:rowOff>
    </xdr:from>
    <xdr:to>
      <xdr:col>2</xdr:col>
      <xdr:colOff>5538188</xdr:colOff>
      <xdr:row>331</xdr:row>
      <xdr:rowOff>2443163</xdr:rowOff>
    </xdr:to>
    <xdr:pic>
      <xdr:nvPicPr>
        <xdr:cNvPr id="714" name="Picture 713" descr="Insight Picture 713"/>
        <xdr:cNvPicPr>
          <a:picLocks noChangeAspect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6962" y="601013213"/>
          <a:ext cx="2437201" cy="2381250"/>
        </a:xfrm>
        <a:prstGeom prst="rect">
          <a:avLst/>
        </a:prstGeom>
      </xdr:spPr>
    </xdr:pic>
    <xdr:clientData/>
  </xdr:twoCellAnchor>
  <xdr:twoCellAnchor editAs="oneCell">
    <xdr:from>
      <xdr:col>2</xdr:col>
      <xdr:colOff>3234272</xdr:colOff>
      <xdr:row>332</xdr:row>
      <xdr:rowOff>61913</xdr:rowOff>
    </xdr:from>
    <xdr:to>
      <xdr:col>2</xdr:col>
      <xdr:colOff>5404903</xdr:colOff>
      <xdr:row>332</xdr:row>
      <xdr:rowOff>1281113</xdr:rowOff>
    </xdr:to>
    <xdr:pic>
      <xdr:nvPicPr>
        <xdr:cNvPr id="715" name="Picture 714" descr="Insight Picture 714"/>
        <xdr:cNvPicPr>
          <a:picLocks noChangeAspect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247" y="603518288"/>
          <a:ext cx="2170631" cy="1219200"/>
        </a:xfrm>
        <a:prstGeom prst="rect">
          <a:avLst/>
        </a:prstGeom>
      </xdr:spPr>
    </xdr:pic>
    <xdr:clientData/>
  </xdr:twoCellAnchor>
  <xdr:twoCellAnchor editAs="oneCell">
    <xdr:from>
      <xdr:col>2</xdr:col>
      <xdr:colOff>2239399</xdr:colOff>
      <xdr:row>333</xdr:row>
      <xdr:rowOff>61913</xdr:rowOff>
    </xdr:from>
    <xdr:to>
      <xdr:col>2</xdr:col>
      <xdr:colOff>6399777</xdr:colOff>
      <xdr:row>333</xdr:row>
      <xdr:rowOff>2014538</xdr:rowOff>
    </xdr:to>
    <xdr:pic>
      <xdr:nvPicPr>
        <xdr:cNvPr id="716" name="Picture 715" descr="Insight Picture 715"/>
        <xdr:cNvPicPr>
          <a:picLocks noChangeAspect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374" y="604861313"/>
          <a:ext cx="4160378" cy="1952625"/>
        </a:xfrm>
        <a:prstGeom prst="rect">
          <a:avLst/>
        </a:prstGeom>
      </xdr:spPr>
    </xdr:pic>
    <xdr:clientData/>
  </xdr:twoCellAnchor>
  <xdr:twoCellAnchor editAs="oneCell">
    <xdr:from>
      <xdr:col>2</xdr:col>
      <xdr:colOff>2943902</xdr:colOff>
      <xdr:row>334</xdr:row>
      <xdr:rowOff>61913</xdr:rowOff>
    </xdr:from>
    <xdr:to>
      <xdr:col>2</xdr:col>
      <xdr:colOff>5695273</xdr:colOff>
      <xdr:row>334</xdr:row>
      <xdr:rowOff>1662113</xdr:rowOff>
    </xdr:to>
    <xdr:pic>
      <xdr:nvPicPr>
        <xdr:cNvPr id="717" name="Picture 716" descr="Insight Picture 716"/>
        <xdr:cNvPicPr>
          <a:picLocks noChangeAspect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877" y="606937763"/>
          <a:ext cx="2751371" cy="1600200"/>
        </a:xfrm>
        <a:prstGeom prst="rect">
          <a:avLst/>
        </a:prstGeom>
      </xdr:spPr>
    </xdr:pic>
    <xdr:clientData/>
  </xdr:twoCellAnchor>
  <xdr:twoCellAnchor editAs="oneCell">
    <xdr:from>
      <xdr:col>2</xdr:col>
      <xdr:colOff>2839179</xdr:colOff>
      <xdr:row>335</xdr:row>
      <xdr:rowOff>61913</xdr:rowOff>
    </xdr:from>
    <xdr:to>
      <xdr:col>2</xdr:col>
      <xdr:colOff>5799997</xdr:colOff>
      <xdr:row>335</xdr:row>
      <xdr:rowOff>2643188</xdr:rowOff>
    </xdr:to>
    <xdr:pic>
      <xdr:nvPicPr>
        <xdr:cNvPr id="718" name="Picture 717" descr="Insight Picture 717"/>
        <xdr:cNvPicPr>
          <a:picLocks noChangeAspect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154" y="608661788"/>
          <a:ext cx="2960818" cy="2581275"/>
        </a:xfrm>
        <a:prstGeom prst="rect">
          <a:avLst/>
        </a:prstGeom>
      </xdr:spPr>
    </xdr:pic>
    <xdr:clientData/>
  </xdr:twoCellAnchor>
  <xdr:twoCellAnchor editAs="oneCell">
    <xdr:from>
      <xdr:col>2</xdr:col>
      <xdr:colOff>2686853</xdr:colOff>
      <xdr:row>336</xdr:row>
      <xdr:rowOff>61913</xdr:rowOff>
    </xdr:from>
    <xdr:to>
      <xdr:col>2</xdr:col>
      <xdr:colOff>5952321</xdr:colOff>
      <xdr:row>336</xdr:row>
      <xdr:rowOff>1776413</xdr:rowOff>
    </xdr:to>
    <xdr:pic>
      <xdr:nvPicPr>
        <xdr:cNvPr id="719" name="Picture 718" descr="Insight Picture 718"/>
        <xdr:cNvPicPr>
          <a:picLocks noChangeAspect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828" y="611366888"/>
          <a:ext cx="3265468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2601171</xdr:colOff>
      <xdr:row>337</xdr:row>
      <xdr:rowOff>61913</xdr:rowOff>
    </xdr:from>
    <xdr:to>
      <xdr:col>2</xdr:col>
      <xdr:colOff>6038005</xdr:colOff>
      <xdr:row>337</xdr:row>
      <xdr:rowOff>1376363</xdr:rowOff>
    </xdr:to>
    <xdr:pic>
      <xdr:nvPicPr>
        <xdr:cNvPr id="720" name="Picture 719" descr="Insight Picture 719"/>
        <xdr:cNvPicPr>
          <a:picLocks noChangeAspect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7146" y="613205213"/>
          <a:ext cx="3436834" cy="1314450"/>
        </a:xfrm>
        <a:prstGeom prst="rect">
          <a:avLst/>
        </a:prstGeom>
      </xdr:spPr>
    </xdr:pic>
    <xdr:clientData/>
  </xdr:twoCellAnchor>
  <xdr:twoCellAnchor editAs="oneCell">
    <xdr:from>
      <xdr:col>2</xdr:col>
      <xdr:colOff>2924861</xdr:colOff>
      <xdr:row>338</xdr:row>
      <xdr:rowOff>61913</xdr:rowOff>
    </xdr:from>
    <xdr:to>
      <xdr:col>2</xdr:col>
      <xdr:colOff>5714313</xdr:colOff>
      <xdr:row>338</xdr:row>
      <xdr:rowOff>1700213</xdr:rowOff>
    </xdr:to>
    <xdr:pic>
      <xdr:nvPicPr>
        <xdr:cNvPr id="721" name="Picture 720" descr="Insight Picture 720"/>
        <xdr:cNvPicPr>
          <a:picLocks noChangeAspect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836" y="614643488"/>
          <a:ext cx="2789452" cy="1638300"/>
        </a:xfrm>
        <a:prstGeom prst="rect">
          <a:avLst/>
        </a:prstGeom>
      </xdr:spPr>
    </xdr:pic>
    <xdr:clientData/>
  </xdr:twoCellAnchor>
  <xdr:twoCellAnchor editAs="oneCell">
    <xdr:from>
      <xdr:col>2</xdr:col>
      <xdr:colOff>2748735</xdr:colOff>
      <xdr:row>339</xdr:row>
      <xdr:rowOff>61913</xdr:rowOff>
    </xdr:from>
    <xdr:to>
      <xdr:col>2</xdr:col>
      <xdr:colOff>5890439</xdr:colOff>
      <xdr:row>339</xdr:row>
      <xdr:rowOff>2157413</xdr:rowOff>
    </xdr:to>
    <xdr:pic>
      <xdr:nvPicPr>
        <xdr:cNvPr id="722" name="Picture 721" descr="Insight Picture 721"/>
        <xdr:cNvPicPr>
          <a:picLocks noChangeAspect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4710" y="616405613"/>
          <a:ext cx="3141704" cy="20955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3048626</xdr:colOff>
      <xdr:row>340</xdr:row>
      <xdr:rowOff>61913</xdr:rowOff>
    </xdr:from>
    <xdr:to>
      <xdr:col>2</xdr:col>
      <xdr:colOff>5590550</xdr:colOff>
      <xdr:row>340</xdr:row>
      <xdr:rowOff>2024063</xdr:rowOff>
    </xdr:to>
    <xdr:pic>
      <xdr:nvPicPr>
        <xdr:cNvPr id="723" name="Picture 722" descr="Insight Picture 722"/>
        <xdr:cNvPicPr>
          <a:picLocks noChangeAspect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4601" y="618624938"/>
          <a:ext cx="2541924" cy="1962150"/>
        </a:xfrm>
        <a:prstGeom prst="rect">
          <a:avLst/>
        </a:prstGeom>
      </xdr:spPr>
    </xdr:pic>
    <xdr:clientData/>
  </xdr:twoCellAnchor>
  <xdr:twoCellAnchor editAs="oneCell">
    <xdr:from>
      <xdr:col>2</xdr:col>
      <xdr:colOff>2463126</xdr:colOff>
      <xdr:row>341</xdr:row>
      <xdr:rowOff>61913</xdr:rowOff>
    </xdr:from>
    <xdr:to>
      <xdr:col>2</xdr:col>
      <xdr:colOff>6176048</xdr:colOff>
      <xdr:row>341</xdr:row>
      <xdr:rowOff>2376488</xdr:rowOff>
    </xdr:to>
    <xdr:pic>
      <xdr:nvPicPr>
        <xdr:cNvPr id="724" name="Picture 723" descr="Insight Picture 723"/>
        <xdr:cNvPicPr>
          <a:picLocks noChangeAspect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101" y="620710913"/>
          <a:ext cx="3712922" cy="2314575"/>
        </a:xfrm>
        <a:prstGeom prst="rect">
          <a:avLst/>
        </a:prstGeom>
      </xdr:spPr>
    </xdr:pic>
    <xdr:clientData/>
  </xdr:twoCellAnchor>
  <xdr:twoCellAnchor editAs="oneCell">
    <xdr:from>
      <xdr:col>2</xdr:col>
      <xdr:colOff>3200950</xdr:colOff>
      <xdr:row>342</xdr:row>
      <xdr:rowOff>61913</xdr:rowOff>
    </xdr:from>
    <xdr:to>
      <xdr:col>2</xdr:col>
      <xdr:colOff>5438224</xdr:colOff>
      <xdr:row>342</xdr:row>
      <xdr:rowOff>1652588</xdr:rowOff>
    </xdr:to>
    <xdr:pic>
      <xdr:nvPicPr>
        <xdr:cNvPr id="725" name="Picture 724" descr="Insight Picture 724"/>
        <xdr:cNvPicPr>
          <a:picLocks noChangeAspect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6925" y="623149313"/>
          <a:ext cx="2237274" cy="1590675"/>
        </a:xfrm>
        <a:prstGeom prst="rect">
          <a:avLst/>
        </a:prstGeom>
      </xdr:spPr>
    </xdr:pic>
    <xdr:clientData/>
  </xdr:twoCellAnchor>
  <xdr:twoCellAnchor editAs="oneCell">
    <xdr:from>
      <xdr:col>2</xdr:col>
      <xdr:colOff>2743976</xdr:colOff>
      <xdr:row>343</xdr:row>
      <xdr:rowOff>61913</xdr:rowOff>
    </xdr:from>
    <xdr:to>
      <xdr:col>2</xdr:col>
      <xdr:colOff>5895200</xdr:colOff>
      <xdr:row>343</xdr:row>
      <xdr:rowOff>1357313</xdr:rowOff>
    </xdr:to>
    <xdr:pic>
      <xdr:nvPicPr>
        <xdr:cNvPr id="726" name="Picture 725" descr="Insight Picture 725"/>
        <xdr:cNvPicPr>
          <a:picLocks noChangeAspect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951" y="624863813"/>
          <a:ext cx="3151224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2658293</xdr:colOff>
      <xdr:row>344</xdr:row>
      <xdr:rowOff>61913</xdr:rowOff>
    </xdr:from>
    <xdr:to>
      <xdr:col>2</xdr:col>
      <xdr:colOff>5980882</xdr:colOff>
      <xdr:row>344</xdr:row>
      <xdr:rowOff>2690813</xdr:rowOff>
    </xdr:to>
    <xdr:pic>
      <xdr:nvPicPr>
        <xdr:cNvPr id="727" name="Picture 726" descr="Insight Picture 726"/>
        <xdr:cNvPicPr>
          <a:picLocks noChangeAspect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4268" y="626283038"/>
          <a:ext cx="3322589" cy="2628900"/>
        </a:xfrm>
        <a:prstGeom prst="rect">
          <a:avLst/>
        </a:prstGeom>
      </xdr:spPr>
    </xdr:pic>
    <xdr:clientData/>
  </xdr:twoCellAnchor>
  <xdr:twoCellAnchor editAs="oneCell">
    <xdr:from>
      <xdr:col>2</xdr:col>
      <xdr:colOff>3324715</xdr:colOff>
      <xdr:row>345</xdr:row>
      <xdr:rowOff>61913</xdr:rowOff>
    </xdr:from>
    <xdr:to>
      <xdr:col>2</xdr:col>
      <xdr:colOff>5314461</xdr:colOff>
      <xdr:row>345</xdr:row>
      <xdr:rowOff>2414588</xdr:rowOff>
    </xdr:to>
    <xdr:pic>
      <xdr:nvPicPr>
        <xdr:cNvPr id="728" name="Picture 727" descr="Insight Picture 727"/>
        <xdr:cNvPicPr>
          <a:picLocks noChangeAspect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690" y="629035763"/>
          <a:ext cx="1989746" cy="2352675"/>
        </a:xfrm>
        <a:prstGeom prst="rect">
          <a:avLst/>
        </a:prstGeom>
      </xdr:spPr>
    </xdr:pic>
    <xdr:clientData/>
  </xdr:twoCellAnchor>
  <xdr:twoCellAnchor editAs="oneCell">
    <xdr:from>
      <xdr:col>2</xdr:col>
      <xdr:colOff>3277113</xdr:colOff>
      <xdr:row>346</xdr:row>
      <xdr:rowOff>61913</xdr:rowOff>
    </xdr:from>
    <xdr:to>
      <xdr:col>2</xdr:col>
      <xdr:colOff>5362062</xdr:colOff>
      <xdr:row>346</xdr:row>
      <xdr:rowOff>2138363</xdr:rowOff>
    </xdr:to>
    <xdr:pic>
      <xdr:nvPicPr>
        <xdr:cNvPr id="729" name="Picture 728" descr="Insight Picture 728"/>
        <xdr:cNvPicPr>
          <a:picLocks noChangeAspect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3088" y="631512263"/>
          <a:ext cx="2084949" cy="2076450"/>
        </a:xfrm>
        <a:prstGeom prst="rect">
          <a:avLst/>
        </a:prstGeom>
      </xdr:spPr>
    </xdr:pic>
    <xdr:clientData/>
  </xdr:twoCellAnchor>
  <xdr:twoCellAnchor editAs="oneCell">
    <xdr:from>
      <xdr:col>2</xdr:col>
      <xdr:colOff>3457999</xdr:colOff>
      <xdr:row>347</xdr:row>
      <xdr:rowOff>61913</xdr:rowOff>
    </xdr:from>
    <xdr:to>
      <xdr:col>2</xdr:col>
      <xdr:colOff>5181176</xdr:colOff>
      <xdr:row>347</xdr:row>
      <xdr:rowOff>1223963</xdr:rowOff>
    </xdr:to>
    <xdr:pic>
      <xdr:nvPicPr>
        <xdr:cNvPr id="730" name="Picture 729" descr="Insight Picture 729"/>
        <xdr:cNvPicPr>
          <a:picLocks noChangeAspect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974" y="633712538"/>
          <a:ext cx="1723177" cy="1162050"/>
        </a:xfrm>
        <a:prstGeom prst="rect">
          <a:avLst/>
        </a:prstGeom>
      </xdr:spPr>
    </xdr:pic>
    <xdr:clientData/>
  </xdr:twoCellAnchor>
  <xdr:twoCellAnchor editAs="oneCell">
    <xdr:from>
      <xdr:col>2</xdr:col>
      <xdr:colOff>3158109</xdr:colOff>
      <xdr:row>348</xdr:row>
      <xdr:rowOff>61913</xdr:rowOff>
    </xdr:from>
    <xdr:to>
      <xdr:col>2</xdr:col>
      <xdr:colOff>5481066</xdr:colOff>
      <xdr:row>348</xdr:row>
      <xdr:rowOff>1376363</xdr:rowOff>
    </xdr:to>
    <xdr:pic>
      <xdr:nvPicPr>
        <xdr:cNvPr id="731" name="Picture 730" descr="Insight Picture 730"/>
        <xdr:cNvPicPr>
          <a:picLocks noChangeAspect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4084" y="634998413"/>
          <a:ext cx="2322957" cy="1314450"/>
        </a:xfrm>
        <a:prstGeom prst="rect">
          <a:avLst/>
        </a:prstGeom>
      </xdr:spPr>
    </xdr:pic>
    <xdr:clientData/>
  </xdr:twoCellAnchor>
  <xdr:twoCellAnchor editAs="oneCell">
    <xdr:from>
      <xdr:col>2</xdr:col>
      <xdr:colOff>3358035</xdr:colOff>
      <xdr:row>349</xdr:row>
      <xdr:rowOff>61913</xdr:rowOff>
    </xdr:from>
    <xdr:to>
      <xdr:col>2</xdr:col>
      <xdr:colOff>5281139</xdr:colOff>
      <xdr:row>349</xdr:row>
      <xdr:rowOff>1624013</xdr:rowOff>
    </xdr:to>
    <xdr:pic>
      <xdr:nvPicPr>
        <xdr:cNvPr id="732" name="Picture 731" descr="Insight Picture 731"/>
        <xdr:cNvPicPr>
          <a:picLocks noChangeAspect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010" y="636436688"/>
          <a:ext cx="1923104" cy="1562100"/>
        </a:xfrm>
        <a:prstGeom prst="rect">
          <a:avLst/>
        </a:prstGeom>
      </xdr:spPr>
    </xdr:pic>
    <xdr:clientData/>
  </xdr:twoCellAnchor>
  <xdr:twoCellAnchor editAs="oneCell">
    <xdr:from>
      <xdr:col>2</xdr:col>
      <xdr:colOff>3310434</xdr:colOff>
      <xdr:row>350</xdr:row>
      <xdr:rowOff>61913</xdr:rowOff>
    </xdr:from>
    <xdr:to>
      <xdr:col>2</xdr:col>
      <xdr:colOff>5328740</xdr:colOff>
      <xdr:row>350</xdr:row>
      <xdr:rowOff>1671638</xdr:rowOff>
    </xdr:to>
    <xdr:pic>
      <xdr:nvPicPr>
        <xdr:cNvPr id="733" name="Picture 732" descr="Insight Picture 732"/>
        <xdr:cNvPicPr>
          <a:picLocks noChangeAspect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6409" y="638122613"/>
          <a:ext cx="2018306" cy="1609725"/>
        </a:xfrm>
        <a:prstGeom prst="rect">
          <a:avLst/>
        </a:prstGeom>
      </xdr:spPr>
    </xdr:pic>
    <xdr:clientData/>
  </xdr:twoCellAnchor>
  <xdr:twoCellAnchor editAs="oneCell">
    <xdr:from>
      <xdr:col>2</xdr:col>
      <xdr:colOff>2915341</xdr:colOff>
      <xdr:row>351</xdr:row>
      <xdr:rowOff>61913</xdr:rowOff>
    </xdr:from>
    <xdr:to>
      <xdr:col>2</xdr:col>
      <xdr:colOff>5723834</xdr:colOff>
      <xdr:row>351</xdr:row>
      <xdr:rowOff>2309813</xdr:rowOff>
    </xdr:to>
    <xdr:pic>
      <xdr:nvPicPr>
        <xdr:cNvPr id="734" name="Picture 733" descr="Insight Picture 733"/>
        <xdr:cNvPicPr>
          <a:picLocks noChangeAspect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1316" y="639856163"/>
          <a:ext cx="2808493" cy="2247900"/>
        </a:xfrm>
        <a:prstGeom prst="rect">
          <a:avLst/>
        </a:prstGeom>
      </xdr:spPr>
    </xdr:pic>
    <xdr:clientData/>
  </xdr:twoCellAnchor>
  <xdr:twoCellAnchor editAs="oneCell">
    <xdr:from>
      <xdr:col>2</xdr:col>
      <xdr:colOff>3362796</xdr:colOff>
      <xdr:row>352</xdr:row>
      <xdr:rowOff>64641</xdr:rowOff>
    </xdr:from>
    <xdr:to>
      <xdr:col>2</xdr:col>
      <xdr:colOff>5276379</xdr:colOff>
      <xdr:row>352</xdr:row>
      <xdr:rowOff>3221498</xdr:rowOff>
    </xdr:to>
    <xdr:pic>
      <xdr:nvPicPr>
        <xdr:cNvPr id="735" name="Picture 734" descr="Insight Picture 734"/>
        <xdr:cNvPicPr>
          <a:picLocks noChangeAspect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771" y="642230616"/>
          <a:ext cx="1913583" cy="3156857"/>
        </a:xfrm>
        <a:prstGeom prst="rect">
          <a:avLst/>
        </a:prstGeom>
      </xdr:spPr>
    </xdr:pic>
    <xdr:clientData/>
  </xdr:twoCellAnchor>
  <xdr:twoCellAnchor editAs="oneCell">
    <xdr:from>
      <xdr:col>2</xdr:col>
      <xdr:colOff>3205711</xdr:colOff>
      <xdr:row>353</xdr:row>
      <xdr:rowOff>61913</xdr:rowOff>
    </xdr:from>
    <xdr:to>
      <xdr:col>2</xdr:col>
      <xdr:colOff>5433465</xdr:colOff>
      <xdr:row>353</xdr:row>
      <xdr:rowOff>1452563</xdr:rowOff>
    </xdr:to>
    <xdr:pic>
      <xdr:nvPicPr>
        <xdr:cNvPr id="736" name="Picture 735" descr="Insight Picture 735"/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686" y="645514013"/>
          <a:ext cx="2227754" cy="1390650"/>
        </a:xfrm>
        <a:prstGeom prst="rect">
          <a:avLst/>
        </a:prstGeom>
      </xdr:spPr>
    </xdr:pic>
    <xdr:clientData/>
  </xdr:twoCellAnchor>
  <xdr:twoCellAnchor editAs="oneCell">
    <xdr:from>
      <xdr:col>2</xdr:col>
      <xdr:colOff>3191430</xdr:colOff>
      <xdr:row>354</xdr:row>
      <xdr:rowOff>61913</xdr:rowOff>
    </xdr:from>
    <xdr:to>
      <xdr:col>2</xdr:col>
      <xdr:colOff>5447744</xdr:colOff>
      <xdr:row>354</xdr:row>
      <xdr:rowOff>1223963</xdr:rowOff>
    </xdr:to>
    <xdr:pic>
      <xdr:nvPicPr>
        <xdr:cNvPr id="737" name="Picture 736" descr="Insight Picture 736"/>
        <xdr:cNvPicPr>
          <a:picLocks noChangeAspect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7405" y="647028488"/>
          <a:ext cx="2256314" cy="1162050"/>
        </a:xfrm>
        <a:prstGeom prst="rect">
          <a:avLst/>
        </a:prstGeom>
      </xdr:spPr>
    </xdr:pic>
    <xdr:clientData/>
  </xdr:twoCellAnchor>
  <xdr:twoCellAnchor editAs="oneCell">
    <xdr:from>
      <xdr:col>2</xdr:col>
      <xdr:colOff>3377076</xdr:colOff>
      <xdr:row>355</xdr:row>
      <xdr:rowOff>61913</xdr:rowOff>
    </xdr:from>
    <xdr:to>
      <xdr:col>2</xdr:col>
      <xdr:colOff>5262098</xdr:colOff>
      <xdr:row>355</xdr:row>
      <xdr:rowOff>1233488</xdr:rowOff>
    </xdr:to>
    <xdr:pic>
      <xdr:nvPicPr>
        <xdr:cNvPr id="738" name="Picture 737" descr="Insight Picture 737"/>
        <xdr:cNvPicPr>
          <a:picLocks noChangeAspect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051" y="648314363"/>
          <a:ext cx="1885022" cy="1171575"/>
        </a:xfrm>
        <a:prstGeom prst="rect">
          <a:avLst/>
        </a:prstGeom>
      </xdr:spPr>
    </xdr:pic>
    <xdr:clientData/>
  </xdr:twoCellAnchor>
  <xdr:twoCellAnchor editAs="oneCell">
    <xdr:from>
      <xdr:col>2</xdr:col>
      <xdr:colOff>3377076</xdr:colOff>
      <xdr:row>356</xdr:row>
      <xdr:rowOff>61913</xdr:rowOff>
    </xdr:from>
    <xdr:to>
      <xdr:col>2</xdr:col>
      <xdr:colOff>5262098</xdr:colOff>
      <xdr:row>356</xdr:row>
      <xdr:rowOff>2576513</xdr:rowOff>
    </xdr:to>
    <xdr:pic>
      <xdr:nvPicPr>
        <xdr:cNvPr id="739" name="Picture 738" descr="Insight Picture 738"/>
        <xdr:cNvPicPr>
          <a:picLocks noChangeAspect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051" y="649609763"/>
          <a:ext cx="1885022" cy="2514600"/>
        </a:xfrm>
        <a:prstGeom prst="rect">
          <a:avLst/>
        </a:prstGeom>
      </xdr:spPr>
    </xdr:pic>
    <xdr:clientData/>
  </xdr:twoCellAnchor>
  <xdr:twoCellAnchor editAs="oneCell">
    <xdr:from>
      <xdr:col>2</xdr:col>
      <xdr:colOff>3353276</xdr:colOff>
      <xdr:row>357</xdr:row>
      <xdr:rowOff>61913</xdr:rowOff>
    </xdr:from>
    <xdr:to>
      <xdr:col>2</xdr:col>
      <xdr:colOff>5285900</xdr:colOff>
      <xdr:row>357</xdr:row>
      <xdr:rowOff>1443038</xdr:rowOff>
    </xdr:to>
    <xdr:pic>
      <xdr:nvPicPr>
        <xdr:cNvPr id="740" name="Picture 739" descr="Insight Picture 739"/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9251" y="652248188"/>
          <a:ext cx="1932624" cy="1381125"/>
        </a:xfrm>
        <a:prstGeom prst="rect">
          <a:avLst/>
        </a:prstGeom>
      </xdr:spPr>
    </xdr:pic>
    <xdr:clientData/>
  </xdr:twoCellAnchor>
  <xdr:twoCellAnchor editAs="oneCell">
    <xdr:from>
      <xdr:col>2</xdr:col>
      <xdr:colOff>2986743</xdr:colOff>
      <xdr:row>358</xdr:row>
      <xdr:rowOff>61913</xdr:rowOff>
    </xdr:from>
    <xdr:to>
      <xdr:col>2</xdr:col>
      <xdr:colOff>5652431</xdr:colOff>
      <xdr:row>358</xdr:row>
      <xdr:rowOff>2281238</xdr:rowOff>
    </xdr:to>
    <xdr:pic>
      <xdr:nvPicPr>
        <xdr:cNvPr id="741" name="Picture 740" descr="Insight Picture 740"/>
        <xdr:cNvPicPr>
          <a:picLocks noChangeAspect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718" y="653753138"/>
          <a:ext cx="2665688" cy="2219325"/>
        </a:xfrm>
        <a:prstGeom prst="rect">
          <a:avLst/>
        </a:prstGeom>
      </xdr:spPr>
    </xdr:pic>
    <xdr:clientData/>
  </xdr:twoCellAnchor>
  <xdr:twoCellAnchor editAs="oneCell">
    <xdr:from>
      <xdr:col>2</xdr:col>
      <xdr:colOff>2639252</xdr:colOff>
      <xdr:row>359</xdr:row>
      <xdr:rowOff>61913</xdr:rowOff>
    </xdr:from>
    <xdr:to>
      <xdr:col>2</xdr:col>
      <xdr:colOff>5999923</xdr:colOff>
      <xdr:row>359</xdr:row>
      <xdr:rowOff>2195513</xdr:rowOff>
    </xdr:to>
    <xdr:pic>
      <xdr:nvPicPr>
        <xdr:cNvPr id="742" name="Picture 741" descr="Insight Picture 741"/>
        <xdr:cNvPicPr>
          <a:picLocks noChangeAspect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5227" y="656096288"/>
          <a:ext cx="3360671" cy="2133600"/>
        </a:xfrm>
        <a:prstGeom prst="rect">
          <a:avLst/>
        </a:prstGeom>
      </xdr:spPr>
    </xdr:pic>
    <xdr:clientData/>
  </xdr:twoCellAnchor>
  <xdr:twoCellAnchor editAs="oneCell">
    <xdr:from>
      <xdr:col>2</xdr:col>
      <xdr:colOff>3567483</xdr:colOff>
      <xdr:row>360</xdr:row>
      <xdr:rowOff>61913</xdr:rowOff>
    </xdr:from>
    <xdr:to>
      <xdr:col>2</xdr:col>
      <xdr:colOff>5071693</xdr:colOff>
      <xdr:row>360</xdr:row>
      <xdr:rowOff>1919288</xdr:rowOff>
    </xdr:to>
    <xdr:pic>
      <xdr:nvPicPr>
        <xdr:cNvPr id="743" name="Picture 742" descr="Insight Picture 742"/>
        <xdr:cNvPicPr>
          <a:picLocks noChangeAspect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458" y="658353713"/>
          <a:ext cx="1504210" cy="1857375"/>
        </a:xfrm>
        <a:prstGeom prst="rect">
          <a:avLst/>
        </a:prstGeom>
      </xdr:spPr>
    </xdr:pic>
    <xdr:clientData/>
  </xdr:twoCellAnchor>
  <xdr:twoCellAnchor editAs="oneCell">
    <xdr:from>
      <xdr:col>2</xdr:col>
      <xdr:colOff>2215598</xdr:colOff>
      <xdr:row>361</xdr:row>
      <xdr:rowOff>61913</xdr:rowOff>
    </xdr:from>
    <xdr:to>
      <xdr:col>2</xdr:col>
      <xdr:colOff>6423577</xdr:colOff>
      <xdr:row>361</xdr:row>
      <xdr:rowOff>1947863</xdr:rowOff>
    </xdr:to>
    <xdr:pic>
      <xdr:nvPicPr>
        <xdr:cNvPr id="744" name="Picture 743" descr="Insight Picture 743"/>
        <xdr:cNvPicPr>
          <a:picLocks noChangeAspect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1573" y="660334913"/>
          <a:ext cx="4207979" cy="1885950"/>
        </a:xfrm>
        <a:prstGeom prst="rect">
          <a:avLst/>
        </a:prstGeom>
      </xdr:spPr>
    </xdr:pic>
    <xdr:clientData/>
  </xdr:twoCellAnchor>
  <xdr:twoCellAnchor editAs="oneCell">
    <xdr:from>
      <xdr:col>2</xdr:col>
      <xdr:colOff>3515121</xdr:colOff>
      <xdr:row>362</xdr:row>
      <xdr:rowOff>61913</xdr:rowOff>
    </xdr:from>
    <xdr:to>
      <xdr:col>2</xdr:col>
      <xdr:colOff>5124054</xdr:colOff>
      <xdr:row>362</xdr:row>
      <xdr:rowOff>1357313</xdr:rowOff>
    </xdr:to>
    <xdr:pic>
      <xdr:nvPicPr>
        <xdr:cNvPr id="745" name="Picture 744" descr="Insight Picture 744"/>
        <xdr:cNvPicPr>
          <a:picLocks noChangeAspect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1096" y="662344688"/>
          <a:ext cx="1608933" cy="1295400"/>
        </a:xfrm>
        <a:prstGeom prst="rect">
          <a:avLst/>
        </a:prstGeom>
      </xdr:spPr>
    </xdr:pic>
    <xdr:clientData/>
  </xdr:twoCellAnchor>
  <xdr:twoCellAnchor editAs="oneCell">
    <xdr:from>
      <xdr:col>2</xdr:col>
      <xdr:colOff>3367556</xdr:colOff>
      <xdr:row>363</xdr:row>
      <xdr:rowOff>61913</xdr:rowOff>
    </xdr:from>
    <xdr:to>
      <xdr:col>2</xdr:col>
      <xdr:colOff>5271619</xdr:colOff>
      <xdr:row>363</xdr:row>
      <xdr:rowOff>1595438</xdr:rowOff>
    </xdr:to>
    <xdr:pic>
      <xdr:nvPicPr>
        <xdr:cNvPr id="746" name="Picture 745" descr="Insight Picture 745"/>
        <xdr:cNvPicPr>
          <a:picLocks noChangeAspect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531" y="663763913"/>
          <a:ext cx="1904063" cy="1533525"/>
        </a:xfrm>
        <a:prstGeom prst="rect">
          <a:avLst/>
        </a:prstGeom>
      </xdr:spPr>
    </xdr:pic>
    <xdr:clientData/>
  </xdr:twoCellAnchor>
  <xdr:twoCellAnchor editAs="oneCell">
    <xdr:from>
      <xdr:col>2</xdr:col>
      <xdr:colOff>2239399</xdr:colOff>
      <xdr:row>364</xdr:row>
      <xdr:rowOff>61913</xdr:rowOff>
    </xdr:from>
    <xdr:to>
      <xdr:col>2</xdr:col>
      <xdr:colOff>6399777</xdr:colOff>
      <xdr:row>364</xdr:row>
      <xdr:rowOff>2166938</xdr:rowOff>
    </xdr:to>
    <xdr:pic>
      <xdr:nvPicPr>
        <xdr:cNvPr id="747" name="Picture 746" descr="Insight Picture 746"/>
        <xdr:cNvPicPr>
          <a:picLocks noChangeAspect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374" y="665421263"/>
          <a:ext cx="4160378" cy="2105025"/>
        </a:xfrm>
        <a:prstGeom prst="rect">
          <a:avLst/>
        </a:prstGeom>
      </xdr:spPr>
    </xdr:pic>
    <xdr:clientData/>
  </xdr:twoCellAnchor>
  <xdr:twoCellAnchor editAs="oneCell">
    <xdr:from>
      <xdr:col>2</xdr:col>
      <xdr:colOff>2177517</xdr:colOff>
      <xdr:row>365</xdr:row>
      <xdr:rowOff>61913</xdr:rowOff>
    </xdr:from>
    <xdr:to>
      <xdr:col>2</xdr:col>
      <xdr:colOff>6461658</xdr:colOff>
      <xdr:row>365</xdr:row>
      <xdr:rowOff>2557463</xdr:rowOff>
    </xdr:to>
    <xdr:pic>
      <xdr:nvPicPr>
        <xdr:cNvPr id="748" name="Picture 747" descr="Insight Picture 747"/>
        <xdr:cNvPicPr>
          <a:picLocks noChangeAspect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3492" y="667650113"/>
          <a:ext cx="4284141" cy="2495550"/>
        </a:xfrm>
        <a:prstGeom prst="rect">
          <a:avLst/>
        </a:prstGeom>
      </xdr:spPr>
    </xdr:pic>
    <xdr:clientData/>
  </xdr:twoCellAnchor>
  <xdr:twoCellAnchor editAs="oneCell">
    <xdr:from>
      <xdr:col>2</xdr:col>
      <xdr:colOff>2729695</xdr:colOff>
      <xdr:row>366</xdr:row>
      <xdr:rowOff>61913</xdr:rowOff>
    </xdr:from>
    <xdr:to>
      <xdr:col>2</xdr:col>
      <xdr:colOff>5909480</xdr:colOff>
      <xdr:row>366</xdr:row>
      <xdr:rowOff>1976438</xdr:rowOff>
    </xdr:to>
    <xdr:pic>
      <xdr:nvPicPr>
        <xdr:cNvPr id="749" name="Picture 748" descr="Insight Picture 748"/>
        <xdr:cNvPicPr>
          <a:picLocks noChangeAspect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670" y="670269488"/>
          <a:ext cx="3179785" cy="1914525"/>
        </a:xfrm>
        <a:prstGeom prst="rect">
          <a:avLst/>
        </a:prstGeom>
      </xdr:spPr>
    </xdr:pic>
    <xdr:clientData/>
  </xdr:twoCellAnchor>
  <xdr:twoCellAnchor editAs="oneCell">
    <xdr:from>
      <xdr:col>2</xdr:col>
      <xdr:colOff>3162869</xdr:colOff>
      <xdr:row>367</xdr:row>
      <xdr:rowOff>61913</xdr:rowOff>
    </xdr:from>
    <xdr:to>
      <xdr:col>2</xdr:col>
      <xdr:colOff>5476306</xdr:colOff>
      <xdr:row>367</xdr:row>
      <xdr:rowOff>2566988</xdr:rowOff>
    </xdr:to>
    <xdr:pic>
      <xdr:nvPicPr>
        <xdr:cNvPr id="750" name="Picture 749" descr="Insight Picture 749"/>
        <xdr:cNvPicPr>
          <a:picLocks noChangeAspect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844" y="672307838"/>
          <a:ext cx="2313437" cy="2505075"/>
        </a:xfrm>
        <a:prstGeom prst="rect">
          <a:avLst/>
        </a:prstGeom>
      </xdr:spPr>
    </xdr:pic>
    <xdr:clientData/>
  </xdr:twoCellAnchor>
  <xdr:twoCellAnchor editAs="oneCell">
    <xdr:from>
      <xdr:col>2</xdr:col>
      <xdr:colOff>3072426</xdr:colOff>
      <xdr:row>368</xdr:row>
      <xdr:rowOff>64641</xdr:rowOff>
    </xdr:from>
    <xdr:to>
      <xdr:col>2</xdr:col>
      <xdr:colOff>5566748</xdr:colOff>
      <xdr:row>368</xdr:row>
      <xdr:rowOff>3307223</xdr:rowOff>
    </xdr:to>
    <xdr:pic>
      <xdr:nvPicPr>
        <xdr:cNvPr id="751" name="Picture 750" descr="Insight Picture 750"/>
        <xdr:cNvPicPr>
          <a:picLocks noChangeAspect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8401" y="674939466"/>
          <a:ext cx="2494322" cy="3242582"/>
        </a:xfrm>
        <a:prstGeom prst="rect">
          <a:avLst/>
        </a:prstGeom>
      </xdr:spPr>
    </xdr:pic>
    <xdr:clientData/>
  </xdr:twoCellAnchor>
  <xdr:twoCellAnchor editAs="oneCell">
    <xdr:from>
      <xdr:col>2</xdr:col>
      <xdr:colOff>3172389</xdr:colOff>
      <xdr:row>369</xdr:row>
      <xdr:rowOff>61913</xdr:rowOff>
    </xdr:from>
    <xdr:to>
      <xdr:col>2</xdr:col>
      <xdr:colOff>5466785</xdr:colOff>
      <xdr:row>369</xdr:row>
      <xdr:rowOff>1433513</xdr:rowOff>
    </xdr:to>
    <xdr:pic>
      <xdr:nvPicPr>
        <xdr:cNvPr id="752" name="Picture 751" descr="Insight Picture 751"/>
        <xdr:cNvPicPr>
          <a:picLocks noChangeAspect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364" y="678308588"/>
          <a:ext cx="2294396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2624972</xdr:colOff>
      <xdr:row>370</xdr:row>
      <xdr:rowOff>61913</xdr:rowOff>
    </xdr:from>
    <xdr:to>
      <xdr:col>2</xdr:col>
      <xdr:colOff>6014204</xdr:colOff>
      <xdr:row>370</xdr:row>
      <xdr:rowOff>2233613</xdr:rowOff>
    </xdr:to>
    <xdr:pic>
      <xdr:nvPicPr>
        <xdr:cNvPr id="753" name="Picture 752" descr="Insight Picture 752"/>
        <xdr:cNvPicPr>
          <a:picLocks noChangeAspect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947" y="679804013"/>
          <a:ext cx="3389232" cy="2171700"/>
        </a:xfrm>
        <a:prstGeom prst="rect">
          <a:avLst/>
        </a:prstGeom>
      </xdr:spPr>
    </xdr:pic>
    <xdr:clientData/>
  </xdr:twoCellAnchor>
  <xdr:twoCellAnchor editAs="oneCell">
    <xdr:from>
      <xdr:col>2</xdr:col>
      <xdr:colOff>3234272</xdr:colOff>
      <xdr:row>371</xdr:row>
      <xdr:rowOff>61913</xdr:rowOff>
    </xdr:from>
    <xdr:to>
      <xdr:col>2</xdr:col>
      <xdr:colOff>5404903</xdr:colOff>
      <xdr:row>371</xdr:row>
      <xdr:rowOff>1433513</xdr:rowOff>
    </xdr:to>
    <xdr:pic>
      <xdr:nvPicPr>
        <xdr:cNvPr id="754" name="Picture 753" descr="Insight Picture 753"/>
        <xdr:cNvPicPr>
          <a:picLocks noChangeAspect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0247" y="682099538"/>
          <a:ext cx="2170631" cy="1371600"/>
        </a:xfrm>
        <a:prstGeom prst="rect">
          <a:avLst/>
        </a:prstGeom>
      </xdr:spPr>
    </xdr:pic>
    <xdr:clientData/>
  </xdr:twoCellAnchor>
  <xdr:twoCellAnchor editAs="oneCell">
    <xdr:from>
      <xdr:col>2</xdr:col>
      <xdr:colOff>2882020</xdr:colOff>
      <xdr:row>372</xdr:row>
      <xdr:rowOff>61913</xdr:rowOff>
    </xdr:from>
    <xdr:to>
      <xdr:col>2</xdr:col>
      <xdr:colOff>5757155</xdr:colOff>
      <xdr:row>372</xdr:row>
      <xdr:rowOff>1757363</xdr:rowOff>
    </xdr:to>
    <xdr:pic>
      <xdr:nvPicPr>
        <xdr:cNvPr id="755" name="Picture 754" descr="Insight Picture 754"/>
        <xdr:cNvPicPr>
          <a:picLocks noChangeAspect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7995" y="683594963"/>
          <a:ext cx="2875135" cy="1695450"/>
        </a:xfrm>
        <a:prstGeom prst="rect">
          <a:avLst/>
        </a:prstGeom>
      </xdr:spPr>
    </xdr:pic>
    <xdr:clientData/>
  </xdr:twoCellAnchor>
  <xdr:twoCellAnchor editAs="oneCell">
    <xdr:from>
      <xdr:col>2</xdr:col>
      <xdr:colOff>3110507</xdr:colOff>
      <xdr:row>373</xdr:row>
      <xdr:rowOff>61913</xdr:rowOff>
    </xdr:from>
    <xdr:to>
      <xdr:col>2</xdr:col>
      <xdr:colOff>5528667</xdr:colOff>
      <xdr:row>373</xdr:row>
      <xdr:rowOff>1281113</xdr:rowOff>
    </xdr:to>
    <xdr:pic>
      <xdr:nvPicPr>
        <xdr:cNvPr id="756" name="Picture 755" descr="Insight Picture 755"/>
        <xdr:cNvPicPr>
          <a:picLocks noChangeAspect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6482" y="685414238"/>
          <a:ext cx="2418160" cy="1219200"/>
        </a:xfrm>
        <a:prstGeom prst="rect">
          <a:avLst/>
        </a:prstGeom>
      </xdr:spPr>
    </xdr:pic>
    <xdr:clientData/>
  </xdr:twoCellAnchor>
  <xdr:twoCellAnchor editAs="oneCell">
    <xdr:from>
      <xdr:col>2</xdr:col>
      <xdr:colOff>2401244</xdr:colOff>
      <xdr:row>374</xdr:row>
      <xdr:rowOff>64641</xdr:rowOff>
    </xdr:from>
    <xdr:to>
      <xdr:col>2</xdr:col>
      <xdr:colOff>6237931</xdr:colOff>
      <xdr:row>374</xdr:row>
      <xdr:rowOff>2888123</xdr:rowOff>
    </xdr:to>
    <xdr:pic>
      <xdr:nvPicPr>
        <xdr:cNvPr id="757" name="Picture 756" descr="Insight Picture 756"/>
        <xdr:cNvPicPr>
          <a:picLocks noChangeAspect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7219" y="686759991"/>
          <a:ext cx="3836687" cy="2823482"/>
        </a:xfrm>
        <a:prstGeom prst="rect">
          <a:avLst/>
        </a:prstGeom>
      </xdr:spPr>
    </xdr:pic>
    <xdr:clientData/>
  </xdr:twoCellAnchor>
  <xdr:twoCellAnchor editAs="oneCell">
    <xdr:from>
      <xdr:col>2</xdr:col>
      <xdr:colOff>2515488</xdr:colOff>
      <xdr:row>375</xdr:row>
      <xdr:rowOff>64641</xdr:rowOff>
    </xdr:from>
    <xdr:to>
      <xdr:col>2</xdr:col>
      <xdr:colOff>6123687</xdr:colOff>
      <xdr:row>375</xdr:row>
      <xdr:rowOff>3307223</xdr:rowOff>
    </xdr:to>
    <xdr:pic>
      <xdr:nvPicPr>
        <xdr:cNvPr id="758" name="Picture 757" descr="Insight Picture 757"/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1463" y="689712741"/>
          <a:ext cx="3608199" cy="3242582"/>
        </a:xfrm>
        <a:prstGeom prst="rect">
          <a:avLst/>
        </a:prstGeom>
      </xdr:spPr>
    </xdr:pic>
    <xdr:clientData/>
  </xdr:twoCellAnchor>
  <xdr:twoCellAnchor editAs="oneCell">
    <xdr:from>
      <xdr:col>2</xdr:col>
      <xdr:colOff>63326</xdr:colOff>
      <xdr:row>376</xdr:row>
      <xdr:rowOff>64641</xdr:rowOff>
    </xdr:from>
    <xdr:to>
      <xdr:col>2</xdr:col>
      <xdr:colOff>8575848</xdr:colOff>
      <xdr:row>376</xdr:row>
      <xdr:rowOff>2954798</xdr:rowOff>
    </xdr:to>
    <xdr:pic>
      <xdr:nvPicPr>
        <xdr:cNvPr id="759" name="Picture 758" descr="Insight Picture 758"/>
        <xdr:cNvPicPr>
          <a:picLocks noChangeAspect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301" y="693084591"/>
          <a:ext cx="8512522" cy="2890157"/>
        </a:xfrm>
        <a:prstGeom prst="rect">
          <a:avLst/>
        </a:prstGeom>
      </xdr:spPr>
    </xdr:pic>
    <xdr:clientData/>
  </xdr:twoCellAnchor>
  <xdr:twoCellAnchor editAs="oneCell">
    <xdr:from>
      <xdr:col>2</xdr:col>
      <xdr:colOff>2339362</xdr:colOff>
      <xdr:row>377</xdr:row>
      <xdr:rowOff>64641</xdr:rowOff>
    </xdr:from>
    <xdr:to>
      <xdr:col>2</xdr:col>
      <xdr:colOff>6299813</xdr:colOff>
      <xdr:row>377</xdr:row>
      <xdr:rowOff>3307223</xdr:rowOff>
    </xdr:to>
    <xdr:pic>
      <xdr:nvPicPr>
        <xdr:cNvPr id="760" name="Picture 759" descr="Insight Picture 759"/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5337" y="696104016"/>
          <a:ext cx="3960451" cy="3242582"/>
        </a:xfrm>
        <a:prstGeom prst="rect">
          <a:avLst/>
        </a:prstGeom>
      </xdr:spPr>
    </xdr:pic>
    <xdr:clientData/>
  </xdr:twoCellAnchor>
  <xdr:twoCellAnchor editAs="oneCell">
    <xdr:from>
      <xdr:col>2</xdr:col>
      <xdr:colOff>2477407</xdr:colOff>
      <xdr:row>378</xdr:row>
      <xdr:rowOff>64641</xdr:rowOff>
    </xdr:from>
    <xdr:to>
      <xdr:col>2</xdr:col>
      <xdr:colOff>6161769</xdr:colOff>
      <xdr:row>378</xdr:row>
      <xdr:rowOff>3211973</xdr:rowOff>
    </xdr:to>
    <xdr:pic>
      <xdr:nvPicPr>
        <xdr:cNvPr id="761" name="Picture 760" descr="Insight Picture 760"/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3382" y="699475866"/>
          <a:ext cx="3684362" cy="3147332"/>
        </a:xfrm>
        <a:prstGeom prst="rect">
          <a:avLst/>
        </a:prstGeom>
      </xdr:spPr>
    </xdr:pic>
    <xdr:clientData/>
  </xdr:twoCellAnchor>
  <xdr:twoCellAnchor editAs="oneCell">
    <xdr:from>
      <xdr:col>2</xdr:col>
      <xdr:colOff>1056160</xdr:colOff>
      <xdr:row>379</xdr:row>
      <xdr:rowOff>61913</xdr:rowOff>
    </xdr:from>
    <xdr:to>
      <xdr:col>2</xdr:col>
      <xdr:colOff>7583014</xdr:colOff>
      <xdr:row>379</xdr:row>
      <xdr:rowOff>2005013</xdr:rowOff>
    </xdr:to>
    <xdr:pic>
      <xdr:nvPicPr>
        <xdr:cNvPr id="762" name="Picture 761" descr="Insight Picture 761"/>
        <xdr:cNvPicPr>
          <a:picLocks noChangeAspect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2135" y="702749738"/>
          <a:ext cx="6526854" cy="1943100"/>
        </a:xfrm>
        <a:prstGeom prst="rect">
          <a:avLst/>
        </a:prstGeom>
      </xdr:spPr>
    </xdr:pic>
    <xdr:clientData/>
  </xdr:twoCellAnchor>
  <xdr:twoCellAnchor editAs="oneCell">
    <xdr:from>
      <xdr:col>2</xdr:col>
      <xdr:colOff>2367923</xdr:colOff>
      <xdr:row>380</xdr:row>
      <xdr:rowOff>64641</xdr:rowOff>
    </xdr:from>
    <xdr:to>
      <xdr:col>2</xdr:col>
      <xdr:colOff>6271252</xdr:colOff>
      <xdr:row>380</xdr:row>
      <xdr:rowOff>3307223</xdr:rowOff>
    </xdr:to>
    <xdr:pic>
      <xdr:nvPicPr>
        <xdr:cNvPr id="763" name="Picture 762" descr="Insight Picture 762"/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3898" y="704819391"/>
          <a:ext cx="3903329" cy="3242582"/>
        </a:xfrm>
        <a:prstGeom prst="rect">
          <a:avLst/>
        </a:prstGeom>
      </xdr:spPr>
    </xdr:pic>
    <xdr:clientData/>
  </xdr:twoCellAnchor>
  <xdr:twoCellAnchor editAs="oneCell">
    <xdr:from>
      <xdr:col>2</xdr:col>
      <xdr:colOff>3072426</xdr:colOff>
      <xdr:row>381</xdr:row>
      <xdr:rowOff>61913</xdr:rowOff>
    </xdr:from>
    <xdr:to>
      <xdr:col>2</xdr:col>
      <xdr:colOff>5566748</xdr:colOff>
      <xdr:row>381</xdr:row>
      <xdr:rowOff>1728788</xdr:rowOff>
    </xdr:to>
    <xdr:pic>
      <xdr:nvPicPr>
        <xdr:cNvPr id="764" name="Picture 763" descr="Insight Picture 763"/>
        <xdr:cNvPicPr>
          <a:picLocks noChangeAspect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8401" y="708188513"/>
          <a:ext cx="2494322" cy="1666875"/>
        </a:xfrm>
        <a:prstGeom prst="rect">
          <a:avLst/>
        </a:prstGeom>
      </xdr:spPr>
    </xdr:pic>
    <xdr:clientData/>
  </xdr:twoCellAnchor>
  <xdr:twoCellAnchor editAs="oneCell">
    <xdr:from>
      <xdr:col>2</xdr:col>
      <xdr:colOff>2867740</xdr:colOff>
      <xdr:row>382</xdr:row>
      <xdr:rowOff>61913</xdr:rowOff>
    </xdr:from>
    <xdr:to>
      <xdr:col>2</xdr:col>
      <xdr:colOff>5771436</xdr:colOff>
      <xdr:row>382</xdr:row>
      <xdr:rowOff>1462088</xdr:rowOff>
    </xdr:to>
    <xdr:pic>
      <xdr:nvPicPr>
        <xdr:cNvPr id="765" name="Picture 764" descr="Insight Picture 764"/>
        <xdr:cNvPicPr>
          <a:picLocks noChangeAspect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715" y="709979213"/>
          <a:ext cx="2903696" cy="1400175"/>
        </a:xfrm>
        <a:prstGeom prst="rect">
          <a:avLst/>
        </a:prstGeom>
      </xdr:spPr>
    </xdr:pic>
    <xdr:clientData/>
  </xdr:twoCellAnchor>
  <xdr:twoCellAnchor editAs="oneCell">
    <xdr:from>
      <xdr:col>2</xdr:col>
      <xdr:colOff>3443718</xdr:colOff>
      <xdr:row>383</xdr:row>
      <xdr:rowOff>61913</xdr:rowOff>
    </xdr:from>
    <xdr:to>
      <xdr:col>2</xdr:col>
      <xdr:colOff>5195456</xdr:colOff>
      <xdr:row>383</xdr:row>
      <xdr:rowOff>1395413</xdr:rowOff>
    </xdr:to>
    <xdr:pic>
      <xdr:nvPicPr>
        <xdr:cNvPr id="766" name="Picture 765" descr="Insight Picture 765"/>
        <xdr:cNvPicPr>
          <a:picLocks noChangeAspect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9693" y="711503213"/>
          <a:ext cx="1751738" cy="1333500"/>
        </a:xfrm>
        <a:prstGeom prst="rect">
          <a:avLst/>
        </a:prstGeom>
      </xdr:spPr>
    </xdr:pic>
    <xdr:clientData/>
  </xdr:twoCellAnchor>
  <xdr:twoCellAnchor editAs="oneCell">
    <xdr:from>
      <xdr:col>2</xdr:col>
      <xdr:colOff>3857852</xdr:colOff>
      <xdr:row>384</xdr:row>
      <xdr:rowOff>61913</xdr:rowOff>
    </xdr:from>
    <xdr:to>
      <xdr:col>2</xdr:col>
      <xdr:colOff>4781323</xdr:colOff>
      <xdr:row>384</xdr:row>
      <xdr:rowOff>2557463</xdr:rowOff>
    </xdr:to>
    <xdr:pic>
      <xdr:nvPicPr>
        <xdr:cNvPr id="767" name="Picture 766" descr="Insight Picture 766"/>
        <xdr:cNvPicPr>
          <a:picLocks noChangeAspect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827" y="712960538"/>
          <a:ext cx="923471" cy="2495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2610236</xdr:colOff>
      <xdr:row>1</xdr:row>
      <xdr:rowOff>61913</xdr:rowOff>
    </xdr:from>
    <xdr:to>
      <xdr:col>3</xdr:col>
      <xdr:colOff>4181088</xdr:colOff>
      <xdr:row>1</xdr:row>
      <xdr:rowOff>1462088</xdr:rowOff>
    </xdr:to>
    <xdr:pic>
      <xdr:nvPicPr>
        <xdr:cNvPr id="2" name="Picture 1" descr="Insight 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511" y="823913"/>
          <a:ext cx="1570852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2610236</xdr:colOff>
      <xdr:row>2</xdr:row>
      <xdr:rowOff>61913</xdr:rowOff>
    </xdr:from>
    <xdr:to>
      <xdr:col>3</xdr:col>
      <xdr:colOff>4181088</xdr:colOff>
      <xdr:row>2</xdr:row>
      <xdr:rowOff>1576388</xdr:rowOff>
    </xdr:to>
    <xdr:pic>
      <xdr:nvPicPr>
        <xdr:cNvPr id="3" name="Picture 2" descr="Insight 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511" y="2347913"/>
          <a:ext cx="1570852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2553115</xdr:colOff>
      <xdr:row>3</xdr:row>
      <xdr:rowOff>61913</xdr:rowOff>
    </xdr:from>
    <xdr:to>
      <xdr:col>3</xdr:col>
      <xdr:colOff>4238211</xdr:colOff>
      <xdr:row>3</xdr:row>
      <xdr:rowOff>1576388</xdr:rowOff>
    </xdr:to>
    <xdr:pic>
      <xdr:nvPicPr>
        <xdr:cNvPr id="4" name="Picture 3" descr="Insight 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6390" y="3986213"/>
          <a:ext cx="1685096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2729240</xdr:colOff>
      <xdr:row>4</xdr:row>
      <xdr:rowOff>61913</xdr:rowOff>
    </xdr:from>
    <xdr:to>
      <xdr:col>3</xdr:col>
      <xdr:colOff>4062084</xdr:colOff>
      <xdr:row>4</xdr:row>
      <xdr:rowOff>1652588</xdr:rowOff>
    </xdr:to>
    <xdr:pic>
      <xdr:nvPicPr>
        <xdr:cNvPr id="5" name="Picture 4" descr="Insight 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515" y="5624513"/>
          <a:ext cx="1332844" cy="1590675"/>
        </a:xfrm>
        <a:prstGeom prst="rect">
          <a:avLst/>
        </a:prstGeom>
      </xdr:spPr>
    </xdr:pic>
    <xdr:clientData/>
  </xdr:twoCellAnchor>
  <xdr:twoCellAnchor editAs="oneCell">
    <xdr:from>
      <xdr:col>3</xdr:col>
      <xdr:colOff>2557875</xdr:colOff>
      <xdr:row>5</xdr:row>
      <xdr:rowOff>61913</xdr:rowOff>
    </xdr:from>
    <xdr:to>
      <xdr:col>3</xdr:col>
      <xdr:colOff>4233450</xdr:colOff>
      <xdr:row>5</xdr:row>
      <xdr:rowOff>1776413</xdr:rowOff>
    </xdr:to>
    <xdr:pic>
      <xdr:nvPicPr>
        <xdr:cNvPr id="6" name="Picture 5" descr="Insight 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1150" y="7339013"/>
          <a:ext cx="1675575" cy="1714500"/>
        </a:xfrm>
        <a:prstGeom prst="rect">
          <a:avLst/>
        </a:prstGeom>
      </xdr:spPr>
    </xdr:pic>
    <xdr:clientData/>
  </xdr:twoCellAnchor>
  <xdr:twoCellAnchor editAs="oneCell">
    <xdr:from>
      <xdr:col>3</xdr:col>
      <xdr:colOff>2557875</xdr:colOff>
      <xdr:row>6</xdr:row>
      <xdr:rowOff>61913</xdr:rowOff>
    </xdr:from>
    <xdr:to>
      <xdr:col>3</xdr:col>
      <xdr:colOff>4233450</xdr:colOff>
      <xdr:row>6</xdr:row>
      <xdr:rowOff>1652588</xdr:rowOff>
    </xdr:to>
    <xdr:pic>
      <xdr:nvPicPr>
        <xdr:cNvPr id="7" name="Picture 6" descr="Insight 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1150" y="9177338"/>
          <a:ext cx="1675575" cy="1590675"/>
        </a:xfrm>
        <a:prstGeom prst="rect">
          <a:avLst/>
        </a:prstGeom>
      </xdr:spPr>
    </xdr:pic>
    <xdr:clientData/>
  </xdr:twoCellAnchor>
  <xdr:twoCellAnchor editAs="oneCell">
    <xdr:from>
      <xdr:col>3</xdr:col>
      <xdr:colOff>2719720</xdr:colOff>
      <xdr:row>7</xdr:row>
      <xdr:rowOff>61913</xdr:rowOff>
    </xdr:from>
    <xdr:to>
      <xdr:col>3</xdr:col>
      <xdr:colOff>4071605</xdr:colOff>
      <xdr:row>7</xdr:row>
      <xdr:rowOff>1776413</xdr:rowOff>
    </xdr:to>
    <xdr:pic>
      <xdr:nvPicPr>
        <xdr:cNvPr id="8" name="Picture 7" descr="Insight 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2995" y="10891838"/>
          <a:ext cx="1351885" cy="1714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2714960</xdr:colOff>
      <xdr:row>8</xdr:row>
      <xdr:rowOff>61913</xdr:rowOff>
    </xdr:from>
    <xdr:to>
      <xdr:col>3</xdr:col>
      <xdr:colOff>4076365</xdr:colOff>
      <xdr:row>8</xdr:row>
      <xdr:rowOff>1776413</xdr:rowOff>
    </xdr:to>
    <xdr:pic>
      <xdr:nvPicPr>
        <xdr:cNvPr id="9" name="Picture 8" descr="Insight 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8235" y="12730163"/>
          <a:ext cx="1361405" cy="1714500"/>
        </a:xfrm>
        <a:prstGeom prst="rect">
          <a:avLst/>
        </a:prstGeom>
      </xdr:spPr>
    </xdr:pic>
    <xdr:clientData/>
  </xdr:twoCellAnchor>
  <xdr:twoCellAnchor editAs="oneCell">
    <xdr:from>
      <xdr:col>3</xdr:col>
      <xdr:colOff>2557875</xdr:colOff>
      <xdr:row>9</xdr:row>
      <xdr:rowOff>61913</xdr:rowOff>
    </xdr:from>
    <xdr:to>
      <xdr:col>3</xdr:col>
      <xdr:colOff>4233450</xdr:colOff>
      <xdr:row>9</xdr:row>
      <xdr:rowOff>1776413</xdr:rowOff>
    </xdr:to>
    <xdr:pic>
      <xdr:nvPicPr>
        <xdr:cNvPr id="10" name="Picture 9" descr="Insight 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1150" y="14568488"/>
          <a:ext cx="1675575" cy="1714500"/>
        </a:xfrm>
        <a:prstGeom prst="rect">
          <a:avLst/>
        </a:prstGeom>
      </xdr:spPr>
    </xdr:pic>
    <xdr:clientData/>
  </xdr:twoCellAnchor>
  <xdr:twoCellAnchor editAs="oneCell">
    <xdr:from>
      <xdr:col>3</xdr:col>
      <xdr:colOff>2386509</xdr:colOff>
      <xdr:row>10</xdr:row>
      <xdr:rowOff>61913</xdr:rowOff>
    </xdr:from>
    <xdr:to>
      <xdr:col>3</xdr:col>
      <xdr:colOff>4404815</xdr:colOff>
      <xdr:row>10</xdr:row>
      <xdr:rowOff>1290638</xdr:rowOff>
    </xdr:to>
    <xdr:pic>
      <xdr:nvPicPr>
        <xdr:cNvPr id="11" name="Picture 10" descr="Insight 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9784" y="16406813"/>
          <a:ext cx="2018306" cy="1228725"/>
        </a:xfrm>
        <a:prstGeom prst="rect">
          <a:avLst/>
        </a:prstGeom>
      </xdr:spPr>
    </xdr:pic>
    <xdr:clientData/>
  </xdr:twoCellAnchor>
  <xdr:twoCellAnchor editAs="oneCell">
    <xdr:from>
      <xdr:col>3</xdr:col>
      <xdr:colOff>2557875</xdr:colOff>
      <xdr:row>11</xdr:row>
      <xdr:rowOff>61913</xdr:rowOff>
    </xdr:from>
    <xdr:to>
      <xdr:col>3</xdr:col>
      <xdr:colOff>4233450</xdr:colOff>
      <xdr:row>11</xdr:row>
      <xdr:rowOff>1776413</xdr:rowOff>
    </xdr:to>
    <xdr:pic>
      <xdr:nvPicPr>
        <xdr:cNvPr id="12" name="Picture 11" descr="Insight 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1150" y="17759363"/>
          <a:ext cx="1675575" cy="17145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2543594</xdr:colOff>
      <xdr:row>12</xdr:row>
      <xdr:rowOff>61913</xdr:rowOff>
    </xdr:from>
    <xdr:to>
      <xdr:col>3</xdr:col>
      <xdr:colOff>4247731</xdr:colOff>
      <xdr:row>12</xdr:row>
      <xdr:rowOff>1652588</xdr:rowOff>
    </xdr:to>
    <xdr:pic>
      <xdr:nvPicPr>
        <xdr:cNvPr id="13" name="Picture 12" descr="Insight 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869" y="19597688"/>
          <a:ext cx="1704137" cy="1590675"/>
        </a:xfrm>
        <a:prstGeom prst="rect">
          <a:avLst/>
        </a:prstGeom>
      </xdr:spPr>
    </xdr:pic>
    <xdr:clientData/>
  </xdr:twoCellAnchor>
  <xdr:twoCellAnchor editAs="oneCell">
    <xdr:from>
      <xdr:col>3</xdr:col>
      <xdr:colOff>2786362</xdr:colOff>
      <xdr:row>13</xdr:row>
      <xdr:rowOff>61913</xdr:rowOff>
    </xdr:from>
    <xdr:to>
      <xdr:col>3</xdr:col>
      <xdr:colOff>4004962</xdr:colOff>
      <xdr:row>13</xdr:row>
      <xdr:rowOff>1624013</xdr:rowOff>
    </xdr:to>
    <xdr:pic>
      <xdr:nvPicPr>
        <xdr:cNvPr id="14" name="Picture 13" descr="Insight Pictur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637" y="21312188"/>
          <a:ext cx="1218600" cy="1562100"/>
        </a:xfrm>
        <a:prstGeom prst="rect">
          <a:avLst/>
        </a:prstGeom>
      </xdr:spPr>
    </xdr:pic>
    <xdr:clientData/>
  </xdr:twoCellAnchor>
  <xdr:twoCellAnchor editAs="oneCell">
    <xdr:from>
      <xdr:col>3</xdr:col>
      <xdr:colOff>2786362</xdr:colOff>
      <xdr:row>14</xdr:row>
      <xdr:rowOff>61913</xdr:rowOff>
    </xdr:from>
    <xdr:to>
      <xdr:col>3</xdr:col>
      <xdr:colOff>4004962</xdr:colOff>
      <xdr:row>14</xdr:row>
      <xdr:rowOff>1738313</xdr:rowOff>
    </xdr:to>
    <xdr:pic>
      <xdr:nvPicPr>
        <xdr:cNvPr id="15" name="Picture 14" descr="Insight Pictur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637" y="22998113"/>
          <a:ext cx="1218600" cy="1676400"/>
        </a:xfrm>
        <a:prstGeom prst="rect">
          <a:avLst/>
        </a:prstGeom>
      </xdr:spPr>
    </xdr:pic>
    <xdr:clientData/>
  </xdr:twoCellAnchor>
  <xdr:twoCellAnchor editAs="oneCell">
    <xdr:from>
      <xdr:col>3</xdr:col>
      <xdr:colOff>2948208</xdr:colOff>
      <xdr:row>15</xdr:row>
      <xdr:rowOff>61913</xdr:rowOff>
    </xdr:from>
    <xdr:to>
      <xdr:col>3</xdr:col>
      <xdr:colOff>3843118</xdr:colOff>
      <xdr:row>15</xdr:row>
      <xdr:rowOff>1824038</xdr:rowOff>
    </xdr:to>
    <xdr:pic>
      <xdr:nvPicPr>
        <xdr:cNvPr id="16" name="Picture 15" descr="Insight Pictur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1483" y="24798338"/>
          <a:ext cx="894910" cy="1762125"/>
        </a:xfrm>
        <a:prstGeom prst="rect">
          <a:avLst/>
        </a:prstGeom>
      </xdr:spPr>
    </xdr:pic>
    <xdr:clientData/>
  </xdr:twoCellAnchor>
  <xdr:twoCellAnchor editAs="oneCell">
    <xdr:from>
      <xdr:col>3</xdr:col>
      <xdr:colOff>2786362</xdr:colOff>
      <xdr:row>16</xdr:row>
      <xdr:rowOff>61913</xdr:rowOff>
    </xdr:from>
    <xdr:to>
      <xdr:col>3</xdr:col>
      <xdr:colOff>4004962</xdr:colOff>
      <xdr:row>16</xdr:row>
      <xdr:rowOff>1738313</xdr:rowOff>
    </xdr:to>
    <xdr:pic>
      <xdr:nvPicPr>
        <xdr:cNvPr id="17" name="Picture 16" descr="Insight Picture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637" y="26684288"/>
          <a:ext cx="1218600" cy="1676400"/>
        </a:xfrm>
        <a:prstGeom prst="rect">
          <a:avLst/>
        </a:prstGeom>
      </xdr:spPr>
    </xdr:pic>
    <xdr:clientData/>
  </xdr:twoCellAnchor>
  <xdr:twoCellAnchor editAs="oneCell">
    <xdr:from>
      <xdr:col>3</xdr:col>
      <xdr:colOff>2562635</xdr:colOff>
      <xdr:row>17</xdr:row>
      <xdr:rowOff>61913</xdr:rowOff>
    </xdr:from>
    <xdr:to>
      <xdr:col>3</xdr:col>
      <xdr:colOff>4228690</xdr:colOff>
      <xdr:row>17</xdr:row>
      <xdr:rowOff>1385888</xdr:rowOff>
    </xdr:to>
    <xdr:pic>
      <xdr:nvPicPr>
        <xdr:cNvPr id="18" name="Picture 17" descr="Insight Picture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910" y="28484513"/>
          <a:ext cx="1666055" cy="1323975"/>
        </a:xfrm>
        <a:prstGeom prst="rect">
          <a:avLst/>
        </a:prstGeom>
      </xdr:spPr>
    </xdr:pic>
    <xdr:clientData/>
  </xdr:twoCellAnchor>
  <xdr:twoCellAnchor editAs="oneCell">
    <xdr:from>
      <xdr:col>3</xdr:col>
      <xdr:colOff>2714960</xdr:colOff>
      <xdr:row>18</xdr:row>
      <xdr:rowOff>61913</xdr:rowOff>
    </xdr:from>
    <xdr:to>
      <xdr:col>3</xdr:col>
      <xdr:colOff>4076365</xdr:colOff>
      <xdr:row>18</xdr:row>
      <xdr:rowOff>2109788</xdr:rowOff>
    </xdr:to>
    <xdr:pic>
      <xdr:nvPicPr>
        <xdr:cNvPr id="19" name="Picture 18" descr="Insight Picture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8235" y="29932313"/>
          <a:ext cx="1361405" cy="2047875"/>
        </a:xfrm>
        <a:prstGeom prst="rect">
          <a:avLst/>
        </a:prstGeom>
      </xdr:spPr>
    </xdr:pic>
    <xdr:clientData/>
  </xdr:twoCellAnchor>
  <xdr:twoCellAnchor editAs="oneCell">
    <xdr:from>
      <xdr:col>3</xdr:col>
      <xdr:colOff>2595956</xdr:colOff>
      <xdr:row>19</xdr:row>
      <xdr:rowOff>61913</xdr:rowOff>
    </xdr:from>
    <xdr:to>
      <xdr:col>3</xdr:col>
      <xdr:colOff>4195369</xdr:colOff>
      <xdr:row>19</xdr:row>
      <xdr:rowOff>1938338</xdr:rowOff>
    </xdr:to>
    <xdr:pic>
      <xdr:nvPicPr>
        <xdr:cNvPr id="20" name="Picture 19" descr="Insight Picture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231" y="32104013"/>
          <a:ext cx="1599413" cy="1876425"/>
        </a:xfrm>
        <a:prstGeom prst="rect">
          <a:avLst/>
        </a:prstGeom>
      </xdr:spPr>
    </xdr:pic>
    <xdr:clientData/>
  </xdr:twoCellAnchor>
  <xdr:twoCellAnchor editAs="oneCell">
    <xdr:from>
      <xdr:col>3</xdr:col>
      <xdr:colOff>2538835</xdr:colOff>
      <xdr:row>20</xdr:row>
      <xdr:rowOff>61913</xdr:rowOff>
    </xdr:from>
    <xdr:to>
      <xdr:col>3</xdr:col>
      <xdr:colOff>4252491</xdr:colOff>
      <xdr:row>20</xdr:row>
      <xdr:rowOff>1871663</xdr:rowOff>
    </xdr:to>
    <xdr:pic>
      <xdr:nvPicPr>
        <xdr:cNvPr id="21" name="Picture 20" descr="Insight Picture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110" y="34104263"/>
          <a:ext cx="1713656" cy="1809750"/>
        </a:xfrm>
        <a:prstGeom prst="rect">
          <a:avLst/>
        </a:prstGeom>
      </xdr:spPr>
    </xdr:pic>
    <xdr:clientData/>
  </xdr:twoCellAnchor>
  <xdr:twoCellAnchor editAs="oneCell">
    <xdr:from>
      <xdr:col>3</xdr:col>
      <xdr:colOff>2791123</xdr:colOff>
      <xdr:row>21</xdr:row>
      <xdr:rowOff>61913</xdr:rowOff>
    </xdr:from>
    <xdr:to>
      <xdr:col>3</xdr:col>
      <xdr:colOff>4000203</xdr:colOff>
      <xdr:row>21</xdr:row>
      <xdr:rowOff>2443163</xdr:rowOff>
    </xdr:to>
    <xdr:pic>
      <xdr:nvPicPr>
        <xdr:cNvPr id="22" name="Picture 21" descr="Insight Picture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398" y="36037838"/>
          <a:ext cx="1209080" cy="2381250"/>
        </a:xfrm>
        <a:prstGeom prst="rect">
          <a:avLst/>
        </a:prstGeom>
      </xdr:spPr>
    </xdr:pic>
    <xdr:clientData/>
  </xdr:twoCellAnchor>
  <xdr:twoCellAnchor editAs="oneCell">
    <xdr:from>
      <xdr:col>3</xdr:col>
      <xdr:colOff>2595956</xdr:colOff>
      <xdr:row>22</xdr:row>
      <xdr:rowOff>61913</xdr:rowOff>
    </xdr:from>
    <xdr:to>
      <xdr:col>3</xdr:col>
      <xdr:colOff>4195369</xdr:colOff>
      <xdr:row>22</xdr:row>
      <xdr:rowOff>1662113</xdr:rowOff>
    </xdr:to>
    <xdr:pic>
      <xdr:nvPicPr>
        <xdr:cNvPr id="23" name="Picture 22" descr="Insight Picture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231" y="38542913"/>
          <a:ext cx="1599413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2343668</xdr:colOff>
      <xdr:row>23</xdr:row>
      <xdr:rowOff>61913</xdr:rowOff>
    </xdr:from>
    <xdr:to>
      <xdr:col>3</xdr:col>
      <xdr:colOff>4447657</xdr:colOff>
      <xdr:row>23</xdr:row>
      <xdr:rowOff>1604963</xdr:rowOff>
    </xdr:to>
    <xdr:pic>
      <xdr:nvPicPr>
        <xdr:cNvPr id="24" name="Picture 23" descr="Insight Picture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6943" y="40266938"/>
          <a:ext cx="2103989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2595956</xdr:colOff>
      <xdr:row>24</xdr:row>
      <xdr:rowOff>61913</xdr:rowOff>
    </xdr:from>
    <xdr:to>
      <xdr:col>3</xdr:col>
      <xdr:colOff>4195369</xdr:colOff>
      <xdr:row>24</xdr:row>
      <xdr:rowOff>2052638</xdr:rowOff>
    </xdr:to>
    <xdr:pic>
      <xdr:nvPicPr>
        <xdr:cNvPr id="25" name="Picture 24" descr="Insight Picture 2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231" y="41933813"/>
          <a:ext cx="1599413" cy="1990725"/>
        </a:xfrm>
        <a:prstGeom prst="rect">
          <a:avLst/>
        </a:prstGeom>
      </xdr:spPr>
    </xdr:pic>
    <xdr:clientData/>
  </xdr:twoCellAnchor>
  <xdr:twoCellAnchor editAs="oneCell">
    <xdr:from>
      <xdr:col>3</xdr:col>
      <xdr:colOff>2538835</xdr:colOff>
      <xdr:row>25</xdr:row>
      <xdr:rowOff>61913</xdr:rowOff>
    </xdr:from>
    <xdr:to>
      <xdr:col>3</xdr:col>
      <xdr:colOff>4252491</xdr:colOff>
      <xdr:row>25</xdr:row>
      <xdr:rowOff>1995488</xdr:rowOff>
    </xdr:to>
    <xdr:pic>
      <xdr:nvPicPr>
        <xdr:cNvPr id="26" name="Picture 25" descr="Insight Picture 2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2110" y="44048363"/>
          <a:ext cx="1713656" cy="1933575"/>
        </a:xfrm>
        <a:prstGeom prst="rect">
          <a:avLst/>
        </a:prstGeom>
      </xdr:spPr>
    </xdr:pic>
    <xdr:clientData/>
  </xdr:twoCellAnchor>
  <xdr:twoCellAnchor editAs="oneCell">
    <xdr:from>
      <xdr:col>3</xdr:col>
      <xdr:colOff>2491232</xdr:colOff>
      <xdr:row>26</xdr:row>
      <xdr:rowOff>61913</xdr:rowOff>
    </xdr:from>
    <xdr:to>
      <xdr:col>3</xdr:col>
      <xdr:colOff>4300092</xdr:colOff>
      <xdr:row>26</xdr:row>
      <xdr:rowOff>2147888</xdr:rowOff>
    </xdr:to>
    <xdr:pic>
      <xdr:nvPicPr>
        <xdr:cNvPr id="27" name="Picture 26" descr="Insight Picture 2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507" y="46105763"/>
          <a:ext cx="1808860" cy="2085975"/>
        </a:xfrm>
        <a:prstGeom prst="rect">
          <a:avLst/>
        </a:prstGeom>
      </xdr:spPr>
    </xdr:pic>
    <xdr:clientData/>
  </xdr:twoCellAnchor>
  <xdr:twoCellAnchor editAs="oneCell">
    <xdr:from>
      <xdr:col>3</xdr:col>
      <xdr:colOff>2491232</xdr:colOff>
      <xdr:row>27</xdr:row>
      <xdr:rowOff>61913</xdr:rowOff>
    </xdr:from>
    <xdr:to>
      <xdr:col>3</xdr:col>
      <xdr:colOff>4300092</xdr:colOff>
      <xdr:row>27</xdr:row>
      <xdr:rowOff>2185988</xdr:rowOff>
    </xdr:to>
    <xdr:pic>
      <xdr:nvPicPr>
        <xdr:cNvPr id="28" name="Picture 27" descr="Insight Picture 27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507" y="48315563"/>
          <a:ext cx="1808860" cy="2124075"/>
        </a:xfrm>
        <a:prstGeom prst="rect">
          <a:avLst/>
        </a:prstGeom>
      </xdr:spPr>
    </xdr:pic>
    <xdr:clientData/>
  </xdr:twoCellAnchor>
  <xdr:twoCellAnchor editAs="oneCell">
    <xdr:from>
      <xdr:col>3</xdr:col>
      <xdr:colOff>2405550</xdr:colOff>
      <xdr:row>28</xdr:row>
      <xdr:rowOff>61913</xdr:rowOff>
    </xdr:from>
    <xdr:to>
      <xdr:col>3</xdr:col>
      <xdr:colOff>4385775</xdr:colOff>
      <xdr:row>28</xdr:row>
      <xdr:rowOff>2043113</xdr:rowOff>
    </xdr:to>
    <xdr:pic>
      <xdr:nvPicPr>
        <xdr:cNvPr id="29" name="Picture 28" descr="Insight Picture 28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825" y="50563463"/>
          <a:ext cx="1980225" cy="198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2543594</xdr:colOff>
      <xdr:row>29</xdr:row>
      <xdr:rowOff>61913</xdr:rowOff>
    </xdr:from>
    <xdr:to>
      <xdr:col>3</xdr:col>
      <xdr:colOff>4247731</xdr:colOff>
      <xdr:row>29</xdr:row>
      <xdr:rowOff>1652588</xdr:rowOff>
    </xdr:to>
    <xdr:pic>
      <xdr:nvPicPr>
        <xdr:cNvPr id="30" name="Picture 29" descr="Insight Picture 2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869" y="52668488"/>
          <a:ext cx="1704137" cy="1590675"/>
        </a:xfrm>
        <a:prstGeom prst="rect">
          <a:avLst/>
        </a:prstGeom>
      </xdr:spPr>
    </xdr:pic>
    <xdr:clientData/>
  </xdr:twoCellAnchor>
  <xdr:twoCellAnchor editAs="oneCell">
    <xdr:from>
      <xdr:col>3</xdr:col>
      <xdr:colOff>2415070</xdr:colOff>
      <xdr:row>30</xdr:row>
      <xdr:rowOff>61913</xdr:rowOff>
    </xdr:from>
    <xdr:to>
      <xdr:col>3</xdr:col>
      <xdr:colOff>4376255</xdr:colOff>
      <xdr:row>30</xdr:row>
      <xdr:rowOff>1985963</xdr:rowOff>
    </xdr:to>
    <xdr:pic>
      <xdr:nvPicPr>
        <xdr:cNvPr id="31" name="Picture 30" descr="Insight Picture 30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8345" y="54382988"/>
          <a:ext cx="1961185" cy="19240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2853005</xdr:colOff>
      <xdr:row>31</xdr:row>
      <xdr:rowOff>61913</xdr:rowOff>
    </xdr:from>
    <xdr:to>
      <xdr:col>3</xdr:col>
      <xdr:colOff>3938321</xdr:colOff>
      <xdr:row>31</xdr:row>
      <xdr:rowOff>2881313</xdr:rowOff>
    </xdr:to>
    <xdr:pic>
      <xdr:nvPicPr>
        <xdr:cNvPr id="32" name="Picture 31" descr="Insight Picture 31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6280" y="56430863"/>
          <a:ext cx="1085316" cy="2819400"/>
        </a:xfrm>
        <a:prstGeom prst="rect">
          <a:avLst/>
        </a:prstGeom>
      </xdr:spPr>
    </xdr:pic>
    <xdr:clientData/>
  </xdr:twoCellAnchor>
  <xdr:twoCellAnchor editAs="oneCell">
    <xdr:from>
      <xdr:col>3</xdr:col>
      <xdr:colOff>2610236</xdr:colOff>
      <xdr:row>32</xdr:row>
      <xdr:rowOff>61913</xdr:rowOff>
    </xdr:from>
    <xdr:to>
      <xdr:col>3</xdr:col>
      <xdr:colOff>4181088</xdr:colOff>
      <xdr:row>32</xdr:row>
      <xdr:rowOff>2433638</xdr:rowOff>
    </xdr:to>
    <xdr:pic>
      <xdr:nvPicPr>
        <xdr:cNvPr id="33" name="Picture 32" descr="Insight Picture 32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511" y="59374088"/>
          <a:ext cx="1570852" cy="2371725"/>
        </a:xfrm>
        <a:prstGeom prst="rect">
          <a:avLst/>
        </a:prstGeom>
      </xdr:spPr>
    </xdr:pic>
    <xdr:clientData/>
  </xdr:twoCellAnchor>
  <xdr:twoCellAnchor editAs="oneCell">
    <xdr:from>
      <xdr:col>3</xdr:col>
      <xdr:colOff>2300827</xdr:colOff>
      <xdr:row>33</xdr:row>
      <xdr:rowOff>61913</xdr:rowOff>
    </xdr:from>
    <xdr:to>
      <xdr:col>3</xdr:col>
      <xdr:colOff>4490499</xdr:colOff>
      <xdr:row>33</xdr:row>
      <xdr:rowOff>1928813</xdr:rowOff>
    </xdr:to>
    <xdr:pic>
      <xdr:nvPicPr>
        <xdr:cNvPr id="34" name="Picture 33" descr="Insight Picture 33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102" y="61869638"/>
          <a:ext cx="2189672" cy="1866900"/>
        </a:xfrm>
        <a:prstGeom prst="rect">
          <a:avLst/>
        </a:prstGeom>
      </xdr:spPr>
    </xdr:pic>
    <xdr:clientData/>
  </xdr:twoCellAnchor>
  <xdr:twoCellAnchor editAs="oneCell">
    <xdr:from>
      <xdr:col>3</xdr:col>
      <xdr:colOff>2300827</xdr:colOff>
      <xdr:row>34</xdr:row>
      <xdr:rowOff>61913</xdr:rowOff>
    </xdr:from>
    <xdr:to>
      <xdr:col>3</xdr:col>
      <xdr:colOff>4490499</xdr:colOff>
      <xdr:row>34</xdr:row>
      <xdr:rowOff>1862138</xdr:rowOff>
    </xdr:to>
    <xdr:pic>
      <xdr:nvPicPr>
        <xdr:cNvPr id="35" name="Picture 34" descr="Insight Picture 3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102" y="63860363"/>
          <a:ext cx="2189672" cy="1800225"/>
        </a:xfrm>
        <a:prstGeom prst="rect">
          <a:avLst/>
        </a:prstGeom>
      </xdr:spPr>
    </xdr:pic>
    <xdr:clientData/>
  </xdr:twoCellAnchor>
  <xdr:twoCellAnchor editAs="oneCell">
    <xdr:from>
      <xdr:col>3</xdr:col>
      <xdr:colOff>2476952</xdr:colOff>
      <xdr:row>35</xdr:row>
      <xdr:rowOff>61913</xdr:rowOff>
    </xdr:from>
    <xdr:to>
      <xdr:col>3</xdr:col>
      <xdr:colOff>4314373</xdr:colOff>
      <xdr:row>35</xdr:row>
      <xdr:rowOff>1985963</xdr:rowOff>
    </xdr:to>
    <xdr:pic>
      <xdr:nvPicPr>
        <xdr:cNvPr id="36" name="Picture 35" descr="Insight Picture 35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0227" y="65784413"/>
          <a:ext cx="1837421" cy="1924050"/>
        </a:xfrm>
        <a:prstGeom prst="rect">
          <a:avLst/>
        </a:prstGeom>
      </xdr:spPr>
    </xdr:pic>
    <xdr:clientData/>
  </xdr:twoCellAnchor>
  <xdr:twoCellAnchor editAs="oneCell">
    <xdr:from>
      <xdr:col>3</xdr:col>
      <xdr:colOff>2162782</xdr:colOff>
      <xdr:row>36</xdr:row>
      <xdr:rowOff>61913</xdr:rowOff>
    </xdr:from>
    <xdr:to>
      <xdr:col>3</xdr:col>
      <xdr:colOff>4628544</xdr:colOff>
      <xdr:row>36</xdr:row>
      <xdr:rowOff>1652588</xdr:rowOff>
    </xdr:to>
    <xdr:pic>
      <xdr:nvPicPr>
        <xdr:cNvPr id="37" name="Picture 36" descr="Insight Picture 36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6057" y="67832288"/>
          <a:ext cx="2465762" cy="1590675"/>
        </a:xfrm>
        <a:prstGeom prst="rect">
          <a:avLst/>
        </a:prstGeom>
      </xdr:spPr>
    </xdr:pic>
    <xdr:clientData/>
  </xdr:twoCellAnchor>
  <xdr:twoCellAnchor editAs="oneCell">
    <xdr:from>
      <xdr:col>3</xdr:col>
      <xdr:colOff>2400790</xdr:colOff>
      <xdr:row>37</xdr:row>
      <xdr:rowOff>61913</xdr:rowOff>
    </xdr:from>
    <xdr:to>
      <xdr:col>3</xdr:col>
      <xdr:colOff>4390536</xdr:colOff>
      <xdr:row>37</xdr:row>
      <xdr:rowOff>2290763</xdr:rowOff>
    </xdr:to>
    <xdr:pic>
      <xdr:nvPicPr>
        <xdr:cNvPr id="38" name="Picture 37" descr="Insight Picture 37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4065" y="69546788"/>
          <a:ext cx="1989746" cy="2228850"/>
        </a:xfrm>
        <a:prstGeom prst="rect">
          <a:avLst/>
        </a:prstGeom>
      </xdr:spPr>
    </xdr:pic>
    <xdr:clientData/>
  </xdr:twoCellAnchor>
  <xdr:twoCellAnchor editAs="oneCell">
    <xdr:from>
      <xdr:col>3</xdr:col>
      <xdr:colOff>2200863</xdr:colOff>
      <xdr:row>38</xdr:row>
      <xdr:rowOff>61913</xdr:rowOff>
    </xdr:from>
    <xdr:to>
      <xdr:col>3</xdr:col>
      <xdr:colOff>4590462</xdr:colOff>
      <xdr:row>38</xdr:row>
      <xdr:rowOff>1566863</xdr:rowOff>
    </xdr:to>
    <xdr:pic>
      <xdr:nvPicPr>
        <xdr:cNvPr id="39" name="Picture 38" descr="Insight Picture 38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4138" y="71899463"/>
          <a:ext cx="2389599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2357948</xdr:colOff>
      <xdr:row>39</xdr:row>
      <xdr:rowOff>61913</xdr:rowOff>
    </xdr:from>
    <xdr:to>
      <xdr:col>3</xdr:col>
      <xdr:colOff>4433377</xdr:colOff>
      <xdr:row>39</xdr:row>
      <xdr:rowOff>2043113</xdr:rowOff>
    </xdr:to>
    <xdr:pic>
      <xdr:nvPicPr>
        <xdr:cNvPr id="40" name="Picture 39" descr="Insight Picture 39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1223" y="73528238"/>
          <a:ext cx="2075429" cy="198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2415070</xdr:colOff>
      <xdr:row>40</xdr:row>
      <xdr:rowOff>61913</xdr:rowOff>
    </xdr:from>
    <xdr:to>
      <xdr:col>3</xdr:col>
      <xdr:colOff>4376255</xdr:colOff>
      <xdr:row>40</xdr:row>
      <xdr:rowOff>2157413</xdr:rowOff>
    </xdr:to>
    <xdr:pic>
      <xdr:nvPicPr>
        <xdr:cNvPr id="41" name="Picture 40" descr="Insight Picture 40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8345" y="75633263"/>
          <a:ext cx="1961185" cy="2095500"/>
        </a:xfrm>
        <a:prstGeom prst="rect">
          <a:avLst/>
        </a:prstGeom>
      </xdr:spPr>
    </xdr:pic>
    <xdr:clientData/>
  </xdr:twoCellAnchor>
  <xdr:twoCellAnchor editAs="oneCell">
    <xdr:from>
      <xdr:col>3</xdr:col>
      <xdr:colOff>2662598</xdr:colOff>
      <xdr:row>41</xdr:row>
      <xdr:rowOff>61913</xdr:rowOff>
    </xdr:from>
    <xdr:to>
      <xdr:col>3</xdr:col>
      <xdr:colOff>4128727</xdr:colOff>
      <xdr:row>41</xdr:row>
      <xdr:rowOff>2643188</xdr:rowOff>
    </xdr:to>
    <xdr:pic>
      <xdr:nvPicPr>
        <xdr:cNvPr id="42" name="Picture 41" descr="Insight Picture 41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5873" y="77852588"/>
          <a:ext cx="1466129" cy="25812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2662598</xdr:colOff>
      <xdr:row>42</xdr:row>
      <xdr:rowOff>61913</xdr:rowOff>
    </xdr:from>
    <xdr:to>
      <xdr:col>3</xdr:col>
      <xdr:colOff>4128727</xdr:colOff>
      <xdr:row>42</xdr:row>
      <xdr:rowOff>2586038</xdr:rowOff>
    </xdr:to>
    <xdr:pic>
      <xdr:nvPicPr>
        <xdr:cNvPr id="43" name="Picture 42" descr="Insight Picture 4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5873" y="80557688"/>
          <a:ext cx="1466129" cy="2524125"/>
        </a:xfrm>
        <a:prstGeom prst="rect">
          <a:avLst/>
        </a:prstGeom>
      </xdr:spPr>
    </xdr:pic>
    <xdr:clientData/>
  </xdr:twoCellAnchor>
  <xdr:twoCellAnchor editAs="oneCell">
    <xdr:from>
      <xdr:col>3</xdr:col>
      <xdr:colOff>2029497</xdr:colOff>
      <xdr:row>43</xdr:row>
      <xdr:rowOff>61913</xdr:rowOff>
    </xdr:from>
    <xdr:to>
      <xdr:col>3</xdr:col>
      <xdr:colOff>4761827</xdr:colOff>
      <xdr:row>43</xdr:row>
      <xdr:rowOff>1947863</xdr:rowOff>
    </xdr:to>
    <xdr:pic>
      <xdr:nvPicPr>
        <xdr:cNvPr id="44" name="Picture 43" descr="Insight Picture 43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772" y="83205638"/>
          <a:ext cx="2732330" cy="1885950"/>
        </a:xfrm>
        <a:prstGeom prst="rect">
          <a:avLst/>
        </a:prstGeom>
      </xdr:spPr>
    </xdr:pic>
    <xdr:clientData/>
  </xdr:twoCellAnchor>
  <xdr:twoCellAnchor editAs="oneCell">
    <xdr:from>
      <xdr:col>3</xdr:col>
      <xdr:colOff>2238944</xdr:colOff>
      <xdr:row>44</xdr:row>
      <xdr:rowOff>61913</xdr:rowOff>
    </xdr:from>
    <xdr:to>
      <xdr:col>3</xdr:col>
      <xdr:colOff>4552381</xdr:colOff>
      <xdr:row>44</xdr:row>
      <xdr:rowOff>2519363</xdr:rowOff>
    </xdr:to>
    <xdr:pic>
      <xdr:nvPicPr>
        <xdr:cNvPr id="45" name="Picture 44" descr="Insight Picture 44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2219" y="85215413"/>
          <a:ext cx="2313437" cy="2457450"/>
        </a:xfrm>
        <a:prstGeom prst="rect">
          <a:avLst/>
        </a:prstGeom>
      </xdr:spPr>
    </xdr:pic>
    <xdr:clientData/>
  </xdr:twoCellAnchor>
  <xdr:twoCellAnchor editAs="oneCell">
    <xdr:from>
      <xdr:col>3</xdr:col>
      <xdr:colOff>2238944</xdr:colOff>
      <xdr:row>45</xdr:row>
      <xdr:rowOff>61913</xdr:rowOff>
    </xdr:from>
    <xdr:to>
      <xdr:col>3</xdr:col>
      <xdr:colOff>4552381</xdr:colOff>
      <xdr:row>45</xdr:row>
      <xdr:rowOff>2519363</xdr:rowOff>
    </xdr:to>
    <xdr:pic>
      <xdr:nvPicPr>
        <xdr:cNvPr id="46" name="Picture 45" descr="Insight Picture 45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2219" y="87796688"/>
          <a:ext cx="2313437" cy="2457450"/>
        </a:xfrm>
        <a:prstGeom prst="rect">
          <a:avLst/>
        </a:prstGeom>
      </xdr:spPr>
    </xdr:pic>
    <xdr:clientData/>
  </xdr:twoCellAnchor>
  <xdr:twoCellAnchor editAs="oneCell">
    <xdr:from>
      <xdr:col>3</xdr:col>
      <xdr:colOff>2277025</xdr:colOff>
      <xdr:row>46</xdr:row>
      <xdr:rowOff>61913</xdr:rowOff>
    </xdr:from>
    <xdr:to>
      <xdr:col>3</xdr:col>
      <xdr:colOff>4514299</xdr:colOff>
      <xdr:row>46</xdr:row>
      <xdr:rowOff>2281238</xdr:rowOff>
    </xdr:to>
    <xdr:pic>
      <xdr:nvPicPr>
        <xdr:cNvPr id="47" name="Picture 46" descr="Insight Picture 46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0300" y="90377963"/>
          <a:ext cx="2237274" cy="2219325"/>
        </a:xfrm>
        <a:prstGeom prst="rect">
          <a:avLst/>
        </a:prstGeom>
      </xdr:spPr>
    </xdr:pic>
    <xdr:clientData/>
  </xdr:twoCellAnchor>
  <xdr:twoCellAnchor editAs="oneCell">
    <xdr:from>
      <xdr:col>3</xdr:col>
      <xdr:colOff>2277025</xdr:colOff>
      <xdr:row>47</xdr:row>
      <xdr:rowOff>61913</xdr:rowOff>
    </xdr:from>
    <xdr:to>
      <xdr:col>3</xdr:col>
      <xdr:colOff>4514299</xdr:colOff>
      <xdr:row>47</xdr:row>
      <xdr:rowOff>2166938</xdr:rowOff>
    </xdr:to>
    <xdr:pic>
      <xdr:nvPicPr>
        <xdr:cNvPr id="48" name="Picture 47" descr="Insight Picture 47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0300" y="92721113"/>
          <a:ext cx="2237274" cy="2105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2291306</xdr:colOff>
      <xdr:row>48</xdr:row>
      <xdr:rowOff>61913</xdr:rowOff>
    </xdr:from>
    <xdr:to>
      <xdr:col>3</xdr:col>
      <xdr:colOff>4500019</xdr:colOff>
      <xdr:row>48</xdr:row>
      <xdr:rowOff>2176463</xdr:rowOff>
    </xdr:to>
    <xdr:pic>
      <xdr:nvPicPr>
        <xdr:cNvPr id="49" name="Picture 48" descr="Insight Picture 48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4581" y="94949963"/>
          <a:ext cx="2208713" cy="2114550"/>
        </a:xfrm>
        <a:prstGeom prst="rect">
          <a:avLst/>
        </a:prstGeom>
      </xdr:spPr>
    </xdr:pic>
    <xdr:clientData/>
  </xdr:twoCellAnchor>
  <xdr:twoCellAnchor editAs="oneCell">
    <xdr:from>
      <xdr:col>3</xdr:col>
      <xdr:colOff>2181823</xdr:colOff>
      <xdr:row>49</xdr:row>
      <xdr:rowOff>61913</xdr:rowOff>
    </xdr:from>
    <xdr:to>
      <xdr:col>3</xdr:col>
      <xdr:colOff>4609503</xdr:colOff>
      <xdr:row>49</xdr:row>
      <xdr:rowOff>1862138</xdr:rowOff>
    </xdr:to>
    <xdr:pic>
      <xdr:nvPicPr>
        <xdr:cNvPr id="50" name="Picture 49" descr="Insight Picture 49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098" y="97188338"/>
          <a:ext cx="2427680" cy="1800225"/>
        </a:xfrm>
        <a:prstGeom prst="rect">
          <a:avLst/>
        </a:prstGeom>
      </xdr:spPr>
    </xdr:pic>
    <xdr:clientData/>
  </xdr:twoCellAnchor>
  <xdr:twoCellAnchor editAs="oneCell">
    <xdr:from>
      <xdr:col>3</xdr:col>
      <xdr:colOff>2396030</xdr:colOff>
      <xdr:row>50</xdr:row>
      <xdr:rowOff>61913</xdr:rowOff>
    </xdr:from>
    <xdr:to>
      <xdr:col>3</xdr:col>
      <xdr:colOff>4395296</xdr:colOff>
      <xdr:row>50</xdr:row>
      <xdr:rowOff>1938338</xdr:rowOff>
    </xdr:to>
    <xdr:pic>
      <xdr:nvPicPr>
        <xdr:cNvPr id="51" name="Picture 50" descr="Insight Picture 50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9305" y="99112388"/>
          <a:ext cx="1999266" cy="1876425"/>
        </a:xfrm>
        <a:prstGeom prst="rect">
          <a:avLst/>
        </a:prstGeom>
      </xdr:spPr>
    </xdr:pic>
    <xdr:clientData/>
  </xdr:twoCellAnchor>
  <xdr:twoCellAnchor editAs="oneCell">
    <xdr:from>
      <xdr:col>3</xdr:col>
      <xdr:colOff>2396030</xdr:colOff>
      <xdr:row>51</xdr:row>
      <xdr:rowOff>61913</xdr:rowOff>
    </xdr:from>
    <xdr:to>
      <xdr:col>3</xdr:col>
      <xdr:colOff>4395296</xdr:colOff>
      <xdr:row>51</xdr:row>
      <xdr:rowOff>1938338</xdr:rowOff>
    </xdr:to>
    <xdr:pic>
      <xdr:nvPicPr>
        <xdr:cNvPr id="52" name="Picture 51" descr="Insight Picture 51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9305" y="101112638"/>
          <a:ext cx="1999266" cy="1876425"/>
        </a:xfrm>
        <a:prstGeom prst="rect">
          <a:avLst/>
        </a:prstGeom>
      </xdr:spPr>
    </xdr:pic>
    <xdr:clientData/>
  </xdr:twoCellAnchor>
  <xdr:twoCellAnchor editAs="oneCell">
    <xdr:from>
      <xdr:col>3</xdr:col>
      <xdr:colOff>2148501</xdr:colOff>
      <xdr:row>52</xdr:row>
      <xdr:rowOff>61913</xdr:rowOff>
    </xdr:from>
    <xdr:to>
      <xdr:col>3</xdr:col>
      <xdr:colOff>4642823</xdr:colOff>
      <xdr:row>52</xdr:row>
      <xdr:rowOff>1452563</xdr:rowOff>
    </xdr:to>
    <xdr:pic>
      <xdr:nvPicPr>
        <xdr:cNvPr id="53" name="Picture 52" descr="Insight Picture 52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776" y="103112888"/>
          <a:ext cx="2494322" cy="1390650"/>
        </a:xfrm>
        <a:prstGeom prst="rect">
          <a:avLst/>
        </a:prstGeom>
      </xdr:spPr>
    </xdr:pic>
    <xdr:clientData/>
  </xdr:twoCellAnchor>
  <xdr:twoCellAnchor editAs="oneCell">
    <xdr:from>
      <xdr:col>3</xdr:col>
      <xdr:colOff>2148501</xdr:colOff>
      <xdr:row>53</xdr:row>
      <xdr:rowOff>61913</xdr:rowOff>
    </xdr:from>
    <xdr:to>
      <xdr:col>3</xdr:col>
      <xdr:colOff>4642823</xdr:colOff>
      <xdr:row>53</xdr:row>
      <xdr:rowOff>1500188</xdr:rowOff>
    </xdr:to>
    <xdr:pic>
      <xdr:nvPicPr>
        <xdr:cNvPr id="54" name="Picture 53" descr="Insight Picture 53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776" y="104627363"/>
          <a:ext cx="2494322" cy="1438275"/>
        </a:xfrm>
        <a:prstGeom prst="rect">
          <a:avLst/>
        </a:prstGeom>
      </xdr:spPr>
    </xdr:pic>
    <xdr:clientData/>
  </xdr:twoCellAnchor>
  <xdr:twoCellAnchor editAs="oneCell">
    <xdr:from>
      <xdr:col>3</xdr:col>
      <xdr:colOff>2557875</xdr:colOff>
      <xdr:row>54</xdr:row>
      <xdr:rowOff>61913</xdr:rowOff>
    </xdr:from>
    <xdr:to>
      <xdr:col>3</xdr:col>
      <xdr:colOff>4233450</xdr:colOff>
      <xdr:row>54</xdr:row>
      <xdr:rowOff>2262188</xdr:rowOff>
    </xdr:to>
    <xdr:pic>
      <xdr:nvPicPr>
        <xdr:cNvPr id="55" name="Picture 54" descr="Insight Picture 54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1150" y="106189463"/>
          <a:ext cx="1675575" cy="2200275"/>
        </a:xfrm>
        <a:prstGeom prst="rect">
          <a:avLst/>
        </a:prstGeom>
      </xdr:spPr>
    </xdr:pic>
    <xdr:clientData/>
  </xdr:twoCellAnchor>
  <xdr:twoCellAnchor editAs="oneCell">
    <xdr:from>
      <xdr:col>3</xdr:col>
      <xdr:colOff>2148501</xdr:colOff>
      <xdr:row>55</xdr:row>
      <xdr:rowOff>61913</xdr:rowOff>
    </xdr:from>
    <xdr:to>
      <xdr:col>3</xdr:col>
      <xdr:colOff>4642823</xdr:colOff>
      <xdr:row>55</xdr:row>
      <xdr:rowOff>1566863</xdr:rowOff>
    </xdr:to>
    <xdr:pic>
      <xdr:nvPicPr>
        <xdr:cNvPr id="56" name="Picture 55" descr="Insight Picture 55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776" y="108513563"/>
          <a:ext cx="2494322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2629277</xdr:colOff>
      <xdr:row>56</xdr:row>
      <xdr:rowOff>61913</xdr:rowOff>
    </xdr:from>
    <xdr:to>
      <xdr:col>3</xdr:col>
      <xdr:colOff>4162048</xdr:colOff>
      <xdr:row>56</xdr:row>
      <xdr:rowOff>2747963</xdr:rowOff>
    </xdr:to>
    <xdr:pic>
      <xdr:nvPicPr>
        <xdr:cNvPr id="57" name="Picture 56" descr="Insight Picture 56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552" y="110142338"/>
          <a:ext cx="1532771" cy="2686050"/>
        </a:xfrm>
        <a:prstGeom prst="rect">
          <a:avLst/>
        </a:prstGeom>
      </xdr:spPr>
    </xdr:pic>
    <xdr:clientData/>
  </xdr:twoCellAnchor>
  <xdr:twoCellAnchor editAs="oneCell">
    <xdr:from>
      <xdr:col>3</xdr:col>
      <xdr:colOff>2629277</xdr:colOff>
      <xdr:row>57</xdr:row>
      <xdr:rowOff>61913</xdr:rowOff>
    </xdr:from>
    <xdr:to>
      <xdr:col>3</xdr:col>
      <xdr:colOff>4162048</xdr:colOff>
      <xdr:row>57</xdr:row>
      <xdr:rowOff>2747963</xdr:rowOff>
    </xdr:to>
    <xdr:pic>
      <xdr:nvPicPr>
        <xdr:cNvPr id="58" name="Picture 57" descr="Insight Picture 57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2552" y="112952213"/>
          <a:ext cx="1532771" cy="2686050"/>
        </a:xfrm>
        <a:prstGeom prst="rect">
          <a:avLst/>
        </a:prstGeom>
      </xdr:spPr>
    </xdr:pic>
    <xdr:clientData/>
  </xdr:twoCellAnchor>
  <xdr:twoCellAnchor editAs="oneCell">
    <xdr:from>
      <xdr:col>3</xdr:col>
      <xdr:colOff>2391269</xdr:colOff>
      <xdr:row>58</xdr:row>
      <xdr:rowOff>61913</xdr:rowOff>
    </xdr:from>
    <xdr:to>
      <xdr:col>3</xdr:col>
      <xdr:colOff>4400056</xdr:colOff>
      <xdr:row>58</xdr:row>
      <xdr:rowOff>2319338</xdr:rowOff>
    </xdr:to>
    <xdr:pic>
      <xdr:nvPicPr>
        <xdr:cNvPr id="59" name="Picture 58" descr="Insight Picture 58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544" y="115762088"/>
          <a:ext cx="2008787" cy="2257425"/>
        </a:xfrm>
        <a:prstGeom prst="rect">
          <a:avLst/>
        </a:prstGeom>
      </xdr:spPr>
    </xdr:pic>
    <xdr:clientData/>
  </xdr:twoCellAnchor>
  <xdr:twoCellAnchor editAs="oneCell">
    <xdr:from>
      <xdr:col>3</xdr:col>
      <xdr:colOff>1910493</xdr:colOff>
      <xdr:row>59</xdr:row>
      <xdr:rowOff>61913</xdr:rowOff>
    </xdr:from>
    <xdr:to>
      <xdr:col>3</xdr:col>
      <xdr:colOff>4880831</xdr:colOff>
      <xdr:row>59</xdr:row>
      <xdr:rowOff>2062163</xdr:rowOff>
    </xdr:to>
    <xdr:pic>
      <xdr:nvPicPr>
        <xdr:cNvPr id="60" name="Picture 59" descr="Insight Picture 5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3768" y="118143338"/>
          <a:ext cx="2970338" cy="2000250"/>
        </a:xfrm>
        <a:prstGeom prst="rect">
          <a:avLst/>
        </a:prstGeom>
      </xdr:spPr>
    </xdr:pic>
    <xdr:clientData/>
  </xdr:twoCellAnchor>
  <xdr:twoCellAnchor editAs="oneCell">
    <xdr:from>
      <xdr:col>3</xdr:col>
      <xdr:colOff>2096139</xdr:colOff>
      <xdr:row>60</xdr:row>
      <xdr:rowOff>61913</xdr:rowOff>
    </xdr:from>
    <xdr:to>
      <xdr:col>3</xdr:col>
      <xdr:colOff>4695185</xdr:colOff>
      <xdr:row>60</xdr:row>
      <xdr:rowOff>2395538</xdr:rowOff>
    </xdr:to>
    <xdr:pic>
      <xdr:nvPicPr>
        <xdr:cNvPr id="61" name="Picture 60" descr="Insight Picture 60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9414" y="120267413"/>
          <a:ext cx="2599046" cy="2333625"/>
        </a:xfrm>
        <a:prstGeom prst="rect">
          <a:avLst/>
        </a:prstGeom>
      </xdr:spPr>
    </xdr:pic>
    <xdr:clientData/>
  </xdr:twoCellAnchor>
  <xdr:twoCellAnchor editAs="oneCell">
    <xdr:from>
      <xdr:col>3</xdr:col>
      <xdr:colOff>1910493</xdr:colOff>
      <xdr:row>61</xdr:row>
      <xdr:rowOff>61913</xdr:rowOff>
    </xdr:from>
    <xdr:to>
      <xdr:col>3</xdr:col>
      <xdr:colOff>4880831</xdr:colOff>
      <xdr:row>61</xdr:row>
      <xdr:rowOff>1547813</xdr:rowOff>
    </xdr:to>
    <xdr:pic>
      <xdr:nvPicPr>
        <xdr:cNvPr id="62" name="Picture 61" descr="Insight Picture 61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3768" y="122724863"/>
          <a:ext cx="2970338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2405550</xdr:colOff>
      <xdr:row>62</xdr:row>
      <xdr:rowOff>61913</xdr:rowOff>
    </xdr:from>
    <xdr:to>
      <xdr:col>3</xdr:col>
      <xdr:colOff>4385775</xdr:colOff>
      <xdr:row>62</xdr:row>
      <xdr:rowOff>2281238</xdr:rowOff>
    </xdr:to>
    <xdr:pic>
      <xdr:nvPicPr>
        <xdr:cNvPr id="63" name="Picture 62" descr="Insight Picture 62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825" y="124334588"/>
          <a:ext cx="1980225" cy="2219325"/>
        </a:xfrm>
        <a:prstGeom prst="rect">
          <a:avLst/>
        </a:prstGeom>
      </xdr:spPr>
    </xdr:pic>
    <xdr:clientData/>
  </xdr:twoCellAnchor>
  <xdr:twoCellAnchor editAs="oneCell">
    <xdr:from>
      <xdr:col>3</xdr:col>
      <xdr:colOff>2096139</xdr:colOff>
      <xdr:row>63</xdr:row>
      <xdr:rowOff>61913</xdr:rowOff>
    </xdr:from>
    <xdr:to>
      <xdr:col>3</xdr:col>
      <xdr:colOff>4695185</xdr:colOff>
      <xdr:row>63</xdr:row>
      <xdr:rowOff>2224088</xdr:rowOff>
    </xdr:to>
    <xdr:pic>
      <xdr:nvPicPr>
        <xdr:cNvPr id="64" name="Picture 63" descr="Insight Picture 63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9414" y="126677738"/>
          <a:ext cx="2599046" cy="2162175"/>
        </a:xfrm>
        <a:prstGeom prst="rect">
          <a:avLst/>
        </a:prstGeom>
      </xdr:spPr>
    </xdr:pic>
    <xdr:clientData/>
  </xdr:twoCellAnchor>
  <xdr:twoCellAnchor editAs="oneCell">
    <xdr:from>
      <xdr:col>3</xdr:col>
      <xdr:colOff>2838724</xdr:colOff>
      <xdr:row>64</xdr:row>
      <xdr:rowOff>61913</xdr:rowOff>
    </xdr:from>
    <xdr:to>
      <xdr:col>3</xdr:col>
      <xdr:colOff>3952601</xdr:colOff>
      <xdr:row>64</xdr:row>
      <xdr:rowOff>3290888</xdr:rowOff>
    </xdr:to>
    <xdr:pic>
      <xdr:nvPicPr>
        <xdr:cNvPr id="65" name="Picture 64" descr="Insight Picture 64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999" y="128963738"/>
          <a:ext cx="1113877" cy="3228975"/>
        </a:xfrm>
        <a:prstGeom prst="rect">
          <a:avLst/>
        </a:prstGeom>
      </xdr:spPr>
    </xdr:pic>
    <xdr:clientData/>
  </xdr:twoCellAnchor>
  <xdr:twoCellAnchor editAs="oneCell">
    <xdr:from>
      <xdr:col>3</xdr:col>
      <xdr:colOff>2134221</xdr:colOff>
      <xdr:row>65</xdr:row>
      <xdr:rowOff>61913</xdr:rowOff>
    </xdr:from>
    <xdr:to>
      <xdr:col>3</xdr:col>
      <xdr:colOff>4657104</xdr:colOff>
      <xdr:row>65</xdr:row>
      <xdr:rowOff>2662238</xdr:rowOff>
    </xdr:to>
    <xdr:pic>
      <xdr:nvPicPr>
        <xdr:cNvPr id="66" name="Picture 65" descr="Insight Picture 65"/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7496" y="132316538"/>
          <a:ext cx="2522883" cy="2600325"/>
        </a:xfrm>
        <a:prstGeom prst="rect">
          <a:avLst/>
        </a:prstGeom>
      </xdr:spPr>
    </xdr:pic>
    <xdr:clientData/>
  </xdr:twoCellAnchor>
  <xdr:twoCellAnchor editAs="oneCell">
    <xdr:from>
      <xdr:col>3</xdr:col>
      <xdr:colOff>2196102</xdr:colOff>
      <xdr:row>66</xdr:row>
      <xdr:rowOff>61913</xdr:rowOff>
    </xdr:from>
    <xdr:to>
      <xdr:col>3</xdr:col>
      <xdr:colOff>4595222</xdr:colOff>
      <xdr:row>66</xdr:row>
      <xdr:rowOff>2547938</xdr:rowOff>
    </xdr:to>
    <xdr:pic>
      <xdr:nvPicPr>
        <xdr:cNvPr id="67" name="Picture 66" descr="Insight Picture 66"/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9377" y="135040688"/>
          <a:ext cx="2399120" cy="2486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2205623</xdr:colOff>
      <xdr:row>67</xdr:row>
      <xdr:rowOff>61913</xdr:rowOff>
    </xdr:from>
    <xdr:to>
      <xdr:col>3</xdr:col>
      <xdr:colOff>4585702</xdr:colOff>
      <xdr:row>67</xdr:row>
      <xdr:rowOff>2157413</xdr:rowOff>
    </xdr:to>
    <xdr:pic>
      <xdr:nvPicPr>
        <xdr:cNvPr id="68" name="Picture 67" descr="Insight Picture 67"/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8898" y="137650538"/>
          <a:ext cx="2380079" cy="2095500"/>
        </a:xfrm>
        <a:prstGeom prst="rect">
          <a:avLst/>
        </a:prstGeom>
      </xdr:spPr>
    </xdr:pic>
    <xdr:clientData/>
  </xdr:twoCellAnchor>
  <xdr:twoCellAnchor editAs="oneCell">
    <xdr:from>
      <xdr:col>3</xdr:col>
      <xdr:colOff>2686399</xdr:colOff>
      <xdr:row>68</xdr:row>
      <xdr:rowOff>61913</xdr:rowOff>
    </xdr:from>
    <xdr:to>
      <xdr:col>3</xdr:col>
      <xdr:colOff>4104926</xdr:colOff>
      <xdr:row>68</xdr:row>
      <xdr:rowOff>3309938</xdr:rowOff>
    </xdr:to>
    <xdr:pic>
      <xdr:nvPicPr>
        <xdr:cNvPr id="69" name="Picture 68" descr="Insight Picture 68"/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674" y="139869863"/>
          <a:ext cx="141852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2077099</xdr:colOff>
      <xdr:row>69</xdr:row>
      <xdr:rowOff>61913</xdr:rowOff>
    </xdr:from>
    <xdr:to>
      <xdr:col>3</xdr:col>
      <xdr:colOff>4714226</xdr:colOff>
      <xdr:row>69</xdr:row>
      <xdr:rowOff>2300288</xdr:rowOff>
    </xdr:to>
    <xdr:pic>
      <xdr:nvPicPr>
        <xdr:cNvPr id="70" name="Picture 69" descr="Insight Picture 69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0374" y="143241713"/>
          <a:ext cx="2637127" cy="2238375"/>
        </a:xfrm>
        <a:prstGeom prst="rect">
          <a:avLst/>
        </a:prstGeom>
      </xdr:spPr>
    </xdr:pic>
    <xdr:clientData/>
  </xdr:twoCellAnchor>
  <xdr:twoCellAnchor editAs="oneCell">
    <xdr:from>
      <xdr:col>3</xdr:col>
      <xdr:colOff>1796249</xdr:colOff>
      <xdr:row>70</xdr:row>
      <xdr:rowOff>61913</xdr:rowOff>
    </xdr:from>
    <xdr:to>
      <xdr:col>3</xdr:col>
      <xdr:colOff>4995075</xdr:colOff>
      <xdr:row>70</xdr:row>
      <xdr:rowOff>2833688</xdr:rowOff>
    </xdr:to>
    <xdr:pic>
      <xdr:nvPicPr>
        <xdr:cNvPr id="71" name="Picture 70" descr="Insight Picture 70"/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9524" y="145603913"/>
          <a:ext cx="3198826" cy="2771775"/>
        </a:xfrm>
        <a:prstGeom prst="rect">
          <a:avLst/>
        </a:prstGeom>
      </xdr:spPr>
    </xdr:pic>
    <xdr:clientData/>
  </xdr:twoCellAnchor>
  <xdr:twoCellAnchor editAs="oneCell">
    <xdr:from>
      <xdr:col>3</xdr:col>
      <xdr:colOff>2138981</xdr:colOff>
      <xdr:row>71</xdr:row>
      <xdr:rowOff>61913</xdr:rowOff>
    </xdr:from>
    <xdr:to>
      <xdr:col>3</xdr:col>
      <xdr:colOff>4652344</xdr:colOff>
      <xdr:row>71</xdr:row>
      <xdr:rowOff>2424113</xdr:rowOff>
    </xdr:to>
    <xdr:pic>
      <xdr:nvPicPr>
        <xdr:cNvPr id="72" name="Picture 71" descr="Insight Picture 71"/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2256" y="148499513"/>
          <a:ext cx="2513363" cy="2362200"/>
        </a:xfrm>
        <a:prstGeom prst="rect">
          <a:avLst/>
        </a:prstGeom>
      </xdr:spPr>
    </xdr:pic>
    <xdr:clientData/>
  </xdr:twoCellAnchor>
  <xdr:twoCellAnchor editAs="oneCell">
    <xdr:from>
      <xdr:col>3</xdr:col>
      <xdr:colOff>1915254</xdr:colOff>
      <xdr:row>72</xdr:row>
      <xdr:rowOff>61913</xdr:rowOff>
    </xdr:from>
    <xdr:to>
      <xdr:col>3</xdr:col>
      <xdr:colOff>4876072</xdr:colOff>
      <xdr:row>72</xdr:row>
      <xdr:rowOff>2195513</xdr:rowOff>
    </xdr:to>
    <xdr:pic>
      <xdr:nvPicPr>
        <xdr:cNvPr id="73" name="Picture 72" descr="Insight Picture 72"/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529" y="150985538"/>
          <a:ext cx="2960818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2905366</xdr:colOff>
      <xdr:row>73</xdr:row>
      <xdr:rowOff>61913</xdr:rowOff>
    </xdr:from>
    <xdr:to>
      <xdr:col>3</xdr:col>
      <xdr:colOff>3885958</xdr:colOff>
      <xdr:row>73</xdr:row>
      <xdr:rowOff>3309938</xdr:rowOff>
    </xdr:to>
    <xdr:pic>
      <xdr:nvPicPr>
        <xdr:cNvPr id="74" name="Picture 73" descr="Insight Picture 73"/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641" y="153242963"/>
          <a:ext cx="980592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2072339</xdr:colOff>
      <xdr:row>74</xdr:row>
      <xdr:rowOff>61913</xdr:rowOff>
    </xdr:from>
    <xdr:to>
      <xdr:col>3</xdr:col>
      <xdr:colOff>4718986</xdr:colOff>
      <xdr:row>74</xdr:row>
      <xdr:rowOff>1976438</xdr:rowOff>
    </xdr:to>
    <xdr:pic>
      <xdr:nvPicPr>
        <xdr:cNvPr id="75" name="Picture 74" descr="Insight Picture 74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5614" y="156614813"/>
          <a:ext cx="2646647" cy="1914525"/>
        </a:xfrm>
        <a:prstGeom prst="rect">
          <a:avLst/>
        </a:prstGeom>
      </xdr:spPr>
    </xdr:pic>
    <xdr:clientData/>
  </xdr:twoCellAnchor>
  <xdr:twoCellAnchor editAs="oneCell">
    <xdr:from>
      <xdr:col>3</xdr:col>
      <xdr:colOff>2586436</xdr:colOff>
      <xdr:row>75</xdr:row>
      <xdr:rowOff>61913</xdr:rowOff>
    </xdr:from>
    <xdr:to>
      <xdr:col>3</xdr:col>
      <xdr:colOff>4204890</xdr:colOff>
      <xdr:row>75</xdr:row>
      <xdr:rowOff>3309938</xdr:rowOff>
    </xdr:to>
    <xdr:pic>
      <xdr:nvPicPr>
        <xdr:cNvPr id="76" name="Picture 75" descr="Insight Picture 75"/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9711" y="158653163"/>
          <a:ext cx="1618454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1939055</xdr:colOff>
      <xdr:row>76</xdr:row>
      <xdr:rowOff>61913</xdr:rowOff>
    </xdr:from>
    <xdr:to>
      <xdr:col>3</xdr:col>
      <xdr:colOff>4852271</xdr:colOff>
      <xdr:row>76</xdr:row>
      <xdr:rowOff>2062163</xdr:rowOff>
    </xdr:to>
    <xdr:pic>
      <xdr:nvPicPr>
        <xdr:cNvPr id="77" name="Picture 76" descr="Insight Picture 76"/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2330" y="162025013"/>
          <a:ext cx="2913216" cy="2000250"/>
        </a:xfrm>
        <a:prstGeom prst="rect">
          <a:avLst/>
        </a:prstGeom>
      </xdr:spPr>
    </xdr:pic>
    <xdr:clientData/>
  </xdr:twoCellAnchor>
  <xdr:twoCellAnchor editAs="oneCell">
    <xdr:from>
      <xdr:col>3</xdr:col>
      <xdr:colOff>1972376</xdr:colOff>
      <xdr:row>77</xdr:row>
      <xdr:rowOff>61913</xdr:rowOff>
    </xdr:from>
    <xdr:to>
      <xdr:col>3</xdr:col>
      <xdr:colOff>4818950</xdr:colOff>
      <xdr:row>77</xdr:row>
      <xdr:rowOff>2119313</xdr:rowOff>
    </xdr:to>
    <xdr:pic>
      <xdr:nvPicPr>
        <xdr:cNvPr id="78" name="Picture 77" descr="Insight Picture 77"/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5651" y="164149088"/>
          <a:ext cx="2846574" cy="2057400"/>
        </a:xfrm>
        <a:prstGeom prst="rect">
          <a:avLst/>
        </a:prstGeom>
      </xdr:spPr>
    </xdr:pic>
    <xdr:clientData/>
  </xdr:twoCellAnchor>
  <xdr:twoCellAnchor editAs="oneCell">
    <xdr:from>
      <xdr:col>3</xdr:col>
      <xdr:colOff>2253224</xdr:colOff>
      <xdr:row>78</xdr:row>
      <xdr:rowOff>61913</xdr:rowOff>
    </xdr:from>
    <xdr:to>
      <xdr:col>3</xdr:col>
      <xdr:colOff>4538100</xdr:colOff>
      <xdr:row>78</xdr:row>
      <xdr:rowOff>2928938</xdr:rowOff>
    </xdr:to>
    <xdr:pic>
      <xdr:nvPicPr>
        <xdr:cNvPr id="79" name="Picture 78" descr="Insight Picture 78"/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6499" y="166330313"/>
          <a:ext cx="2284876" cy="2867025"/>
        </a:xfrm>
        <a:prstGeom prst="rect">
          <a:avLst/>
        </a:prstGeom>
      </xdr:spPr>
    </xdr:pic>
    <xdr:clientData/>
  </xdr:twoCellAnchor>
  <xdr:twoCellAnchor editAs="oneCell">
    <xdr:from>
      <xdr:col>3</xdr:col>
      <xdr:colOff>1967615</xdr:colOff>
      <xdr:row>79</xdr:row>
      <xdr:rowOff>61913</xdr:rowOff>
    </xdr:from>
    <xdr:to>
      <xdr:col>3</xdr:col>
      <xdr:colOff>4823710</xdr:colOff>
      <xdr:row>79</xdr:row>
      <xdr:rowOff>2014538</xdr:rowOff>
    </xdr:to>
    <xdr:pic>
      <xdr:nvPicPr>
        <xdr:cNvPr id="80" name="Picture 79" descr="Insight Picture 79"/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0890" y="169321163"/>
          <a:ext cx="2856095" cy="1952625"/>
        </a:xfrm>
        <a:prstGeom prst="rect">
          <a:avLst/>
        </a:prstGeom>
      </xdr:spPr>
    </xdr:pic>
    <xdr:clientData/>
  </xdr:twoCellAnchor>
  <xdr:twoCellAnchor editAs="oneCell">
    <xdr:from>
      <xdr:col>3</xdr:col>
      <xdr:colOff>2010456</xdr:colOff>
      <xdr:row>80</xdr:row>
      <xdr:rowOff>61913</xdr:rowOff>
    </xdr:from>
    <xdr:to>
      <xdr:col>3</xdr:col>
      <xdr:colOff>4780868</xdr:colOff>
      <xdr:row>80</xdr:row>
      <xdr:rowOff>2671763</xdr:rowOff>
    </xdr:to>
    <xdr:pic>
      <xdr:nvPicPr>
        <xdr:cNvPr id="81" name="Picture 80" descr="Insight Picture 80"/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731" y="171397613"/>
          <a:ext cx="2770412" cy="2609850"/>
        </a:xfrm>
        <a:prstGeom prst="rect">
          <a:avLst/>
        </a:prstGeom>
      </xdr:spPr>
    </xdr:pic>
    <xdr:clientData/>
  </xdr:twoCellAnchor>
  <xdr:twoCellAnchor editAs="oneCell">
    <xdr:from>
      <xdr:col>3</xdr:col>
      <xdr:colOff>1848612</xdr:colOff>
      <xdr:row>81</xdr:row>
      <xdr:rowOff>61913</xdr:rowOff>
    </xdr:from>
    <xdr:to>
      <xdr:col>3</xdr:col>
      <xdr:colOff>4942714</xdr:colOff>
      <xdr:row>81</xdr:row>
      <xdr:rowOff>3195638</xdr:rowOff>
    </xdr:to>
    <xdr:pic>
      <xdr:nvPicPr>
        <xdr:cNvPr id="82" name="Picture 81" descr="Insight Picture 81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887" y="174131288"/>
          <a:ext cx="3094102" cy="3133725"/>
        </a:xfrm>
        <a:prstGeom prst="rect">
          <a:avLst/>
        </a:prstGeom>
      </xdr:spPr>
    </xdr:pic>
    <xdr:clientData/>
  </xdr:twoCellAnchor>
  <xdr:twoCellAnchor editAs="oneCell">
    <xdr:from>
      <xdr:col>3</xdr:col>
      <xdr:colOff>2029497</xdr:colOff>
      <xdr:row>82</xdr:row>
      <xdr:rowOff>61913</xdr:rowOff>
    </xdr:from>
    <xdr:to>
      <xdr:col>3</xdr:col>
      <xdr:colOff>4761827</xdr:colOff>
      <xdr:row>82</xdr:row>
      <xdr:rowOff>3309938</xdr:rowOff>
    </xdr:to>
    <xdr:pic>
      <xdr:nvPicPr>
        <xdr:cNvPr id="83" name="Picture 82" descr="Insight Picture 82"/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772" y="177388838"/>
          <a:ext cx="2732330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2162782</xdr:colOff>
      <xdr:row>83</xdr:row>
      <xdr:rowOff>61913</xdr:rowOff>
    </xdr:from>
    <xdr:to>
      <xdr:col>3</xdr:col>
      <xdr:colOff>4628544</xdr:colOff>
      <xdr:row>83</xdr:row>
      <xdr:rowOff>3167063</xdr:rowOff>
    </xdr:to>
    <xdr:pic>
      <xdr:nvPicPr>
        <xdr:cNvPr id="84" name="Picture 83" descr="Insight Picture 83"/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6057" y="180760688"/>
          <a:ext cx="2465762" cy="3105150"/>
        </a:xfrm>
        <a:prstGeom prst="rect">
          <a:avLst/>
        </a:prstGeom>
      </xdr:spPr>
    </xdr:pic>
    <xdr:clientData/>
  </xdr:twoCellAnchor>
  <xdr:twoCellAnchor editAs="oneCell">
    <xdr:from>
      <xdr:col>3</xdr:col>
      <xdr:colOff>1615364</xdr:colOff>
      <xdr:row>84</xdr:row>
      <xdr:rowOff>61913</xdr:rowOff>
    </xdr:from>
    <xdr:to>
      <xdr:col>3</xdr:col>
      <xdr:colOff>5175961</xdr:colOff>
      <xdr:row>84</xdr:row>
      <xdr:rowOff>2109788</xdr:rowOff>
    </xdr:to>
    <xdr:pic>
      <xdr:nvPicPr>
        <xdr:cNvPr id="85" name="Picture 84" descr="Insight Picture 84"/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8639" y="183989663"/>
          <a:ext cx="3560597" cy="2047875"/>
        </a:xfrm>
        <a:prstGeom prst="rect">
          <a:avLst/>
        </a:prstGeom>
      </xdr:spPr>
    </xdr:pic>
    <xdr:clientData/>
  </xdr:twoCellAnchor>
  <xdr:twoCellAnchor editAs="oneCell">
    <xdr:from>
      <xdr:col>3</xdr:col>
      <xdr:colOff>2062818</xdr:colOff>
      <xdr:row>85</xdr:row>
      <xdr:rowOff>61913</xdr:rowOff>
    </xdr:from>
    <xdr:to>
      <xdr:col>3</xdr:col>
      <xdr:colOff>4728506</xdr:colOff>
      <xdr:row>85</xdr:row>
      <xdr:rowOff>3309938</xdr:rowOff>
    </xdr:to>
    <xdr:pic>
      <xdr:nvPicPr>
        <xdr:cNvPr id="86" name="Picture 85" descr="Insight Picture 85"/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6093" y="186161363"/>
          <a:ext cx="2665688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2810163</xdr:colOff>
      <xdr:row>86</xdr:row>
      <xdr:rowOff>61913</xdr:rowOff>
    </xdr:from>
    <xdr:to>
      <xdr:col>3</xdr:col>
      <xdr:colOff>3981162</xdr:colOff>
      <xdr:row>86</xdr:row>
      <xdr:rowOff>3309938</xdr:rowOff>
    </xdr:to>
    <xdr:pic>
      <xdr:nvPicPr>
        <xdr:cNvPr id="87" name="Picture 86" descr="Insight Picture 86"/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3438" y="189533213"/>
          <a:ext cx="1170999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1443998</xdr:colOff>
      <xdr:row>87</xdr:row>
      <xdr:rowOff>61913</xdr:rowOff>
    </xdr:from>
    <xdr:to>
      <xdr:col>3</xdr:col>
      <xdr:colOff>5347327</xdr:colOff>
      <xdr:row>87</xdr:row>
      <xdr:rowOff>2709863</xdr:rowOff>
    </xdr:to>
    <xdr:pic>
      <xdr:nvPicPr>
        <xdr:cNvPr id="88" name="Picture 87" descr="Insight Picture 87"/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7273" y="192905063"/>
          <a:ext cx="3903329" cy="2647950"/>
        </a:xfrm>
        <a:prstGeom prst="rect">
          <a:avLst/>
        </a:prstGeom>
      </xdr:spPr>
    </xdr:pic>
    <xdr:clientData/>
  </xdr:twoCellAnchor>
  <xdr:twoCellAnchor editAs="oneCell">
    <xdr:from>
      <xdr:col>3</xdr:col>
      <xdr:colOff>1915254</xdr:colOff>
      <xdr:row>88</xdr:row>
      <xdr:rowOff>61913</xdr:rowOff>
    </xdr:from>
    <xdr:to>
      <xdr:col>3</xdr:col>
      <xdr:colOff>4876072</xdr:colOff>
      <xdr:row>88</xdr:row>
      <xdr:rowOff>3309938</xdr:rowOff>
    </xdr:to>
    <xdr:pic>
      <xdr:nvPicPr>
        <xdr:cNvPr id="89" name="Picture 88" descr="Insight Picture 88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529" y="195676838"/>
          <a:ext cx="2960818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1420197</xdr:colOff>
      <xdr:row>89</xdr:row>
      <xdr:rowOff>61913</xdr:rowOff>
    </xdr:from>
    <xdr:to>
      <xdr:col>3</xdr:col>
      <xdr:colOff>5371127</xdr:colOff>
      <xdr:row>89</xdr:row>
      <xdr:rowOff>3128963</xdr:rowOff>
    </xdr:to>
    <xdr:pic>
      <xdr:nvPicPr>
        <xdr:cNvPr id="90" name="Picture 89" descr="Insight Picture 89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3472" y="199048688"/>
          <a:ext cx="3950930" cy="3067050"/>
        </a:xfrm>
        <a:prstGeom prst="rect">
          <a:avLst/>
        </a:prstGeom>
      </xdr:spPr>
    </xdr:pic>
    <xdr:clientData/>
  </xdr:twoCellAnchor>
  <xdr:twoCellAnchor editAs="oneCell">
    <xdr:from>
      <xdr:col>3</xdr:col>
      <xdr:colOff>1244071</xdr:colOff>
      <xdr:row>90</xdr:row>
      <xdr:rowOff>61913</xdr:rowOff>
    </xdr:from>
    <xdr:to>
      <xdr:col>3</xdr:col>
      <xdr:colOff>5547253</xdr:colOff>
      <xdr:row>90</xdr:row>
      <xdr:rowOff>2557463</xdr:rowOff>
    </xdr:to>
    <xdr:pic>
      <xdr:nvPicPr>
        <xdr:cNvPr id="91" name="Picture 90" descr="Insight Picture 90"/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7346" y="202239563"/>
          <a:ext cx="4303182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1382116</xdr:colOff>
      <xdr:row>91</xdr:row>
      <xdr:rowOff>61913</xdr:rowOff>
    </xdr:from>
    <xdr:to>
      <xdr:col>3</xdr:col>
      <xdr:colOff>5409209</xdr:colOff>
      <xdr:row>91</xdr:row>
      <xdr:rowOff>3300413</xdr:rowOff>
    </xdr:to>
    <xdr:pic>
      <xdr:nvPicPr>
        <xdr:cNvPr id="92" name="Picture 91" descr="Insight Picture 91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5391" y="204858938"/>
          <a:ext cx="4027093" cy="3238500"/>
        </a:xfrm>
        <a:prstGeom prst="rect">
          <a:avLst/>
        </a:prstGeom>
      </xdr:spPr>
    </xdr:pic>
    <xdr:clientData/>
  </xdr:twoCellAnchor>
  <xdr:twoCellAnchor editAs="oneCell">
    <xdr:from>
      <xdr:col>3</xdr:col>
      <xdr:colOff>1834331</xdr:colOff>
      <xdr:row>92</xdr:row>
      <xdr:rowOff>61913</xdr:rowOff>
    </xdr:from>
    <xdr:to>
      <xdr:col>3</xdr:col>
      <xdr:colOff>4956994</xdr:colOff>
      <xdr:row>92</xdr:row>
      <xdr:rowOff>3309938</xdr:rowOff>
    </xdr:to>
    <xdr:pic>
      <xdr:nvPicPr>
        <xdr:cNvPr id="93" name="Picture 92" descr="Insight Picture 92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7606" y="208221263"/>
          <a:ext cx="3122663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777576</xdr:colOff>
      <xdr:row>93</xdr:row>
      <xdr:rowOff>61913</xdr:rowOff>
    </xdr:from>
    <xdr:to>
      <xdr:col>3</xdr:col>
      <xdr:colOff>6013749</xdr:colOff>
      <xdr:row>93</xdr:row>
      <xdr:rowOff>2995613</xdr:rowOff>
    </xdr:to>
    <xdr:pic>
      <xdr:nvPicPr>
        <xdr:cNvPr id="94" name="Picture 93" descr="Insight Picture 93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0851" y="211593113"/>
          <a:ext cx="5236173" cy="2933700"/>
        </a:xfrm>
        <a:prstGeom prst="rect">
          <a:avLst/>
        </a:prstGeom>
      </xdr:spPr>
    </xdr:pic>
    <xdr:clientData/>
  </xdr:twoCellAnchor>
  <xdr:twoCellAnchor editAs="oneCell">
    <xdr:from>
      <xdr:col>3</xdr:col>
      <xdr:colOff>1743888</xdr:colOff>
      <xdr:row>94</xdr:row>
      <xdr:rowOff>61913</xdr:rowOff>
    </xdr:from>
    <xdr:to>
      <xdr:col>3</xdr:col>
      <xdr:colOff>5047437</xdr:colOff>
      <xdr:row>94</xdr:row>
      <xdr:rowOff>3309938</xdr:rowOff>
    </xdr:to>
    <xdr:pic>
      <xdr:nvPicPr>
        <xdr:cNvPr id="95" name="Picture 94" descr="Insight Picture 94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7163" y="214650638"/>
          <a:ext cx="3303549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1339274</xdr:colOff>
      <xdr:row>95</xdr:row>
      <xdr:rowOff>61913</xdr:rowOff>
    </xdr:from>
    <xdr:to>
      <xdr:col>3</xdr:col>
      <xdr:colOff>5452050</xdr:colOff>
      <xdr:row>95</xdr:row>
      <xdr:rowOff>2814638</xdr:rowOff>
    </xdr:to>
    <xdr:pic>
      <xdr:nvPicPr>
        <xdr:cNvPr id="96" name="Picture 95" descr="Insight Picture 95"/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2549" y="218022488"/>
          <a:ext cx="4112776" cy="2752725"/>
        </a:xfrm>
        <a:prstGeom prst="rect">
          <a:avLst/>
        </a:prstGeom>
      </xdr:spPr>
    </xdr:pic>
    <xdr:clientData/>
  </xdr:twoCellAnchor>
  <xdr:twoCellAnchor editAs="oneCell">
    <xdr:from>
      <xdr:col>3</xdr:col>
      <xdr:colOff>2376989</xdr:colOff>
      <xdr:row>96</xdr:row>
      <xdr:rowOff>61913</xdr:rowOff>
    </xdr:from>
    <xdr:to>
      <xdr:col>3</xdr:col>
      <xdr:colOff>4414336</xdr:colOff>
      <xdr:row>96</xdr:row>
      <xdr:rowOff>3309938</xdr:rowOff>
    </xdr:to>
    <xdr:pic>
      <xdr:nvPicPr>
        <xdr:cNvPr id="97" name="Picture 96" descr="Insight Picture 96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0264" y="220899038"/>
          <a:ext cx="203734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1981896</xdr:colOff>
      <xdr:row>97</xdr:row>
      <xdr:rowOff>61913</xdr:rowOff>
    </xdr:from>
    <xdr:to>
      <xdr:col>3</xdr:col>
      <xdr:colOff>4809429</xdr:colOff>
      <xdr:row>97</xdr:row>
      <xdr:rowOff>3309938</xdr:rowOff>
    </xdr:to>
    <xdr:pic>
      <xdr:nvPicPr>
        <xdr:cNvPr id="98" name="Picture 97" descr="Insight Picture 97"/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5171" y="224270888"/>
          <a:ext cx="2827533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1805770</xdr:colOff>
      <xdr:row>98</xdr:row>
      <xdr:rowOff>61913</xdr:rowOff>
    </xdr:from>
    <xdr:to>
      <xdr:col>3</xdr:col>
      <xdr:colOff>4985555</xdr:colOff>
      <xdr:row>98</xdr:row>
      <xdr:rowOff>3309938</xdr:rowOff>
    </xdr:to>
    <xdr:pic>
      <xdr:nvPicPr>
        <xdr:cNvPr id="99" name="Picture 98" descr="Insight Picture 98"/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045" y="227642738"/>
          <a:ext cx="3179785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1205990</xdr:colOff>
      <xdr:row>99</xdr:row>
      <xdr:rowOff>61913</xdr:rowOff>
    </xdr:from>
    <xdr:to>
      <xdr:col>3</xdr:col>
      <xdr:colOff>5585335</xdr:colOff>
      <xdr:row>99</xdr:row>
      <xdr:rowOff>3167063</xdr:rowOff>
    </xdr:to>
    <xdr:pic>
      <xdr:nvPicPr>
        <xdr:cNvPr id="100" name="Picture 99" descr="Insight Picture 99"/>
        <xdr:cNvPicPr>
          <a:picLocks noChangeAspect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265" y="231014588"/>
          <a:ext cx="4379345" cy="3105150"/>
        </a:xfrm>
        <a:prstGeom prst="rect">
          <a:avLst/>
        </a:prstGeom>
      </xdr:spPr>
    </xdr:pic>
    <xdr:clientData/>
  </xdr:twoCellAnchor>
  <xdr:twoCellAnchor editAs="oneCell">
    <xdr:from>
      <xdr:col>3</xdr:col>
      <xdr:colOff>1448758</xdr:colOff>
      <xdr:row>100</xdr:row>
      <xdr:rowOff>61913</xdr:rowOff>
    </xdr:from>
    <xdr:to>
      <xdr:col>3</xdr:col>
      <xdr:colOff>5342567</xdr:colOff>
      <xdr:row>100</xdr:row>
      <xdr:rowOff>3224213</xdr:rowOff>
    </xdr:to>
    <xdr:pic>
      <xdr:nvPicPr>
        <xdr:cNvPr id="101" name="Picture 100" descr="Insight Picture 100"/>
        <xdr:cNvPicPr>
          <a:picLocks noChangeAspect="1"/>
        </xdr:cNvPicPr>
      </xdr:nvPicPr>
      <xdr:blipFill>
        <a:blip xmlns:r="http://schemas.openxmlformats.org/officeDocument/2006/relationships" r:embed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2033" y="234243563"/>
          <a:ext cx="3893809" cy="3162300"/>
        </a:xfrm>
        <a:prstGeom prst="rect">
          <a:avLst/>
        </a:prstGeom>
      </xdr:spPr>
    </xdr:pic>
    <xdr:clientData/>
  </xdr:twoCellAnchor>
  <xdr:twoCellAnchor editAs="oneCell">
    <xdr:from>
      <xdr:col>3</xdr:col>
      <xdr:colOff>1801010</xdr:colOff>
      <xdr:row>101</xdr:row>
      <xdr:rowOff>61913</xdr:rowOff>
    </xdr:from>
    <xdr:to>
      <xdr:col>3</xdr:col>
      <xdr:colOff>4990315</xdr:colOff>
      <xdr:row>101</xdr:row>
      <xdr:rowOff>3309938</xdr:rowOff>
    </xdr:to>
    <xdr:pic>
      <xdr:nvPicPr>
        <xdr:cNvPr id="102" name="Picture 101" descr="Insight Picture 101"/>
        <xdr:cNvPicPr>
          <a:picLocks noChangeAspect="1"/>
        </xdr:cNvPicPr>
      </xdr:nvPicPr>
      <xdr:blipFill>
        <a:blip xmlns:r="http://schemas.openxmlformats.org/officeDocument/2006/relationships" r:embed="rId10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4285" y="237529688"/>
          <a:ext cx="3189305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2200863</xdr:colOff>
      <xdr:row>102</xdr:row>
      <xdr:rowOff>61913</xdr:rowOff>
    </xdr:from>
    <xdr:to>
      <xdr:col>3</xdr:col>
      <xdr:colOff>4590462</xdr:colOff>
      <xdr:row>102</xdr:row>
      <xdr:rowOff>1462088</xdr:rowOff>
    </xdr:to>
    <xdr:pic>
      <xdr:nvPicPr>
        <xdr:cNvPr id="103" name="Picture 102" descr="Insight Picture 102"/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4138" y="240901538"/>
          <a:ext cx="2389599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2200863</xdr:colOff>
      <xdr:row>103</xdr:row>
      <xdr:rowOff>61913</xdr:rowOff>
    </xdr:from>
    <xdr:to>
      <xdr:col>3</xdr:col>
      <xdr:colOff>4590462</xdr:colOff>
      <xdr:row>103</xdr:row>
      <xdr:rowOff>1462088</xdr:rowOff>
    </xdr:to>
    <xdr:pic>
      <xdr:nvPicPr>
        <xdr:cNvPr id="104" name="Picture 103" descr="Insight Picture 103"/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4138" y="242425538"/>
          <a:ext cx="2389599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2200863</xdr:colOff>
      <xdr:row>104</xdr:row>
      <xdr:rowOff>61913</xdr:rowOff>
    </xdr:from>
    <xdr:to>
      <xdr:col>3</xdr:col>
      <xdr:colOff>4590462</xdr:colOff>
      <xdr:row>104</xdr:row>
      <xdr:rowOff>1452563</xdr:rowOff>
    </xdr:to>
    <xdr:pic>
      <xdr:nvPicPr>
        <xdr:cNvPr id="105" name="Picture 104" descr="Insight Picture 104"/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4138" y="243949538"/>
          <a:ext cx="2389599" cy="1390650"/>
        </a:xfrm>
        <a:prstGeom prst="rect">
          <a:avLst/>
        </a:prstGeom>
      </xdr:spPr>
    </xdr:pic>
    <xdr:clientData/>
  </xdr:twoCellAnchor>
  <xdr:twoCellAnchor editAs="oneCell">
    <xdr:from>
      <xdr:col>3</xdr:col>
      <xdr:colOff>2505513</xdr:colOff>
      <xdr:row>105</xdr:row>
      <xdr:rowOff>61913</xdr:rowOff>
    </xdr:from>
    <xdr:to>
      <xdr:col>3</xdr:col>
      <xdr:colOff>4285812</xdr:colOff>
      <xdr:row>105</xdr:row>
      <xdr:rowOff>1957388</xdr:rowOff>
    </xdr:to>
    <xdr:pic>
      <xdr:nvPicPr>
        <xdr:cNvPr id="106" name="Picture 105" descr="Insight Picture 105"/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788" y="245464013"/>
          <a:ext cx="1780299" cy="1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2505513</xdr:colOff>
      <xdr:row>106</xdr:row>
      <xdr:rowOff>61913</xdr:rowOff>
    </xdr:from>
    <xdr:to>
      <xdr:col>3</xdr:col>
      <xdr:colOff>4285812</xdr:colOff>
      <xdr:row>106</xdr:row>
      <xdr:rowOff>1938338</xdr:rowOff>
    </xdr:to>
    <xdr:pic>
      <xdr:nvPicPr>
        <xdr:cNvPr id="107" name="Picture 106" descr="Insight Picture 106"/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788" y="247483313"/>
          <a:ext cx="1780299" cy="1876425"/>
        </a:xfrm>
        <a:prstGeom prst="rect">
          <a:avLst/>
        </a:prstGeom>
      </xdr:spPr>
    </xdr:pic>
    <xdr:clientData/>
  </xdr:twoCellAnchor>
  <xdr:twoCellAnchor editAs="oneCell">
    <xdr:from>
      <xdr:col>3</xdr:col>
      <xdr:colOff>2200863</xdr:colOff>
      <xdr:row>107</xdr:row>
      <xdr:rowOff>61913</xdr:rowOff>
    </xdr:from>
    <xdr:to>
      <xdr:col>3</xdr:col>
      <xdr:colOff>4590462</xdr:colOff>
      <xdr:row>107</xdr:row>
      <xdr:rowOff>1452563</xdr:rowOff>
    </xdr:to>
    <xdr:pic>
      <xdr:nvPicPr>
        <xdr:cNvPr id="108" name="Picture 107" descr="Insight Picture 107"/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4138" y="249483563"/>
          <a:ext cx="2389599" cy="1390650"/>
        </a:xfrm>
        <a:prstGeom prst="rect">
          <a:avLst/>
        </a:prstGeom>
      </xdr:spPr>
    </xdr:pic>
    <xdr:clientData/>
  </xdr:twoCellAnchor>
  <xdr:twoCellAnchor editAs="oneCell">
    <xdr:from>
      <xdr:col>3</xdr:col>
      <xdr:colOff>2200863</xdr:colOff>
      <xdr:row>108</xdr:row>
      <xdr:rowOff>61913</xdr:rowOff>
    </xdr:from>
    <xdr:to>
      <xdr:col>3</xdr:col>
      <xdr:colOff>4590462</xdr:colOff>
      <xdr:row>108</xdr:row>
      <xdr:rowOff>1462088</xdr:rowOff>
    </xdr:to>
    <xdr:pic>
      <xdr:nvPicPr>
        <xdr:cNvPr id="109" name="Picture 108" descr="Insight Picture 108"/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4138" y="250998038"/>
          <a:ext cx="2389599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2619756</xdr:colOff>
      <xdr:row>109</xdr:row>
      <xdr:rowOff>61913</xdr:rowOff>
    </xdr:from>
    <xdr:to>
      <xdr:col>3</xdr:col>
      <xdr:colOff>4171568</xdr:colOff>
      <xdr:row>109</xdr:row>
      <xdr:rowOff>2043113</xdr:rowOff>
    </xdr:to>
    <xdr:pic>
      <xdr:nvPicPr>
        <xdr:cNvPr id="110" name="Picture 109" descr="Insight Picture 109"/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3031" y="252522038"/>
          <a:ext cx="1551812" cy="1981200"/>
        </a:xfrm>
        <a:prstGeom prst="rect">
          <a:avLst/>
        </a:prstGeom>
      </xdr:spPr>
    </xdr:pic>
    <xdr:clientData/>
  </xdr:twoCellAnchor>
  <xdr:twoCellAnchor editAs="oneCell">
    <xdr:from>
      <xdr:col>3</xdr:col>
      <xdr:colOff>2138981</xdr:colOff>
      <xdr:row>110</xdr:row>
      <xdr:rowOff>61913</xdr:rowOff>
    </xdr:from>
    <xdr:to>
      <xdr:col>3</xdr:col>
      <xdr:colOff>4652344</xdr:colOff>
      <xdr:row>110</xdr:row>
      <xdr:rowOff>1462088</xdr:rowOff>
    </xdr:to>
    <xdr:pic>
      <xdr:nvPicPr>
        <xdr:cNvPr id="111" name="Picture 110" descr="Insight Picture 110"/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2256" y="254627063"/>
          <a:ext cx="2513363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2448391</xdr:colOff>
      <xdr:row>111</xdr:row>
      <xdr:rowOff>61913</xdr:rowOff>
    </xdr:from>
    <xdr:to>
      <xdr:col>3</xdr:col>
      <xdr:colOff>4342934</xdr:colOff>
      <xdr:row>111</xdr:row>
      <xdr:rowOff>1957388</xdr:rowOff>
    </xdr:to>
    <xdr:pic>
      <xdr:nvPicPr>
        <xdr:cNvPr id="112" name="Picture 111" descr="Insight Picture 111"/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666" y="256151063"/>
          <a:ext cx="1894543" cy="1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2138981</xdr:colOff>
      <xdr:row>112</xdr:row>
      <xdr:rowOff>61913</xdr:rowOff>
    </xdr:from>
    <xdr:to>
      <xdr:col>3</xdr:col>
      <xdr:colOff>4652344</xdr:colOff>
      <xdr:row>112</xdr:row>
      <xdr:rowOff>1452563</xdr:rowOff>
    </xdr:to>
    <xdr:pic>
      <xdr:nvPicPr>
        <xdr:cNvPr id="113" name="Picture 112" descr="Insight Picture 112"/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2256" y="258170363"/>
          <a:ext cx="2513363" cy="1390650"/>
        </a:xfrm>
        <a:prstGeom prst="rect">
          <a:avLst/>
        </a:prstGeom>
      </xdr:spPr>
    </xdr:pic>
    <xdr:clientData/>
  </xdr:twoCellAnchor>
  <xdr:twoCellAnchor editAs="oneCell">
    <xdr:from>
      <xdr:col>3</xdr:col>
      <xdr:colOff>2200863</xdr:colOff>
      <xdr:row>113</xdr:row>
      <xdr:rowOff>61913</xdr:rowOff>
    </xdr:from>
    <xdr:to>
      <xdr:col>3</xdr:col>
      <xdr:colOff>4590462</xdr:colOff>
      <xdr:row>113</xdr:row>
      <xdr:rowOff>1462088</xdr:rowOff>
    </xdr:to>
    <xdr:pic>
      <xdr:nvPicPr>
        <xdr:cNvPr id="114" name="Picture 113" descr="Insight Picture 113"/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4138" y="259684838"/>
          <a:ext cx="2389599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2200863</xdr:colOff>
      <xdr:row>114</xdr:row>
      <xdr:rowOff>61913</xdr:rowOff>
    </xdr:from>
    <xdr:to>
      <xdr:col>3</xdr:col>
      <xdr:colOff>4590462</xdr:colOff>
      <xdr:row>114</xdr:row>
      <xdr:rowOff>1462088</xdr:rowOff>
    </xdr:to>
    <xdr:pic>
      <xdr:nvPicPr>
        <xdr:cNvPr id="115" name="Picture 114" descr="Insight Picture 114"/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4138" y="261208838"/>
          <a:ext cx="2389599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2138981</xdr:colOff>
      <xdr:row>115</xdr:row>
      <xdr:rowOff>61913</xdr:rowOff>
    </xdr:from>
    <xdr:to>
      <xdr:col>3</xdr:col>
      <xdr:colOff>4652344</xdr:colOff>
      <xdr:row>115</xdr:row>
      <xdr:rowOff>1462088</xdr:rowOff>
    </xdr:to>
    <xdr:pic>
      <xdr:nvPicPr>
        <xdr:cNvPr id="116" name="Picture 115" descr="Insight Picture 115"/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2256" y="262732838"/>
          <a:ext cx="2513363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2138981</xdr:colOff>
      <xdr:row>116</xdr:row>
      <xdr:rowOff>61913</xdr:rowOff>
    </xdr:from>
    <xdr:to>
      <xdr:col>3</xdr:col>
      <xdr:colOff>4652344</xdr:colOff>
      <xdr:row>116</xdr:row>
      <xdr:rowOff>1462088</xdr:rowOff>
    </xdr:to>
    <xdr:pic>
      <xdr:nvPicPr>
        <xdr:cNvPr id="117" name="Picture 116" descr="Insight Picture 116"/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2256" y="264256838"/>
          <a:ext cx="2513363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2200863</xdr:colOff>
      <xdr:row>117</xdr:row>
      <xdr:rowOff>61913</xdr:rowOff>
    </xdr:from>
    <xdr:to>
      <xdr:col>3</xdr:col>
      <xdr:colOff>4590462</xdr:colOff>
      <xdr:row>117</xdr:row>
      <xdr:rowOff>1462088</xdr:rowOff>
    </xdr:to>
    <xdr:pic>
      <xdr:nvPicPr>
        <xdr:cNvPr id="118" name="Picture 117" descr="Insight Picture 117"/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4138" y="265780838"/>
          <a:ext cx="2389599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2381749</xdr:colOff>
      <xdr:row>118</xdr:row>
      <xdr:rowOff>61913</xdr:rowOff>
    </xdr:from>
    <xdr:to>
      <xdr:col>3</xdr:col>
      <xdr:colOff>4409576</xdr:colOff>
      <xdr:row>118</xdr:row>
      <xdr:rowOff>2376488</xdr:rowOff>
    </xdr:to>
    <xdr:pic>
      <xdr:nvPicPr>
        <xdr:cNvPr id="119" name="Picture 118" descr="Insight Picture 118"/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5024" y="267304838"/>
          <a:ext cx="2027827" cy="2314575"/>
        </a:xfrm>
        <a:prstGeom prst="rect">
          <a:avLst/>
        </a:prstGeom>
      </xdr:spPr>
    </xdr:pic>
    <xdr:clientData/>
  </xdr:twoCellAnchor>
  <xdr:twoCellAnchor editAs="oneCell">
    <xdr:from>
      <xdr:col>3</xdr:col>
      <xdr:colOff>2453151</xdr:colOff>
      <xdr:row>119</xdr:row>
      <xdr:rowOff>61913</xdr:rowOff>
    </xdr:from>
    <xdr:to>
      <xdr:col>3</xdr:col>
      <xdr:colOff>4338173</xdr:colOff>
      <xdr:row>119</xdr:row>
      <xdr:rowOff>1938338</xdr:rowOff>
    </xdr:to>
    <xdr:pic>
      <xdr:nvPicPr>
        <xdr:cNvPr id="120" name="Picture 119" descr="Insight Picture 119"/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426" y="269743238"/>
          <a:ext cx="1885022" cy="1876425"/>
        </a:xfrm>
        <a:prstGeom prst="rect">
          <a:avLst/>
        </a:prstGeom>
      </xdr:spPr>
    </xdr:pic>
    <xdr:clientData/>
  </xdr:twoCellAnchor>
  <xdr:twoCellAnchor editAs="oneCell">
    <xdr:from>
      <xdr:col>3</xdr:col>
      <xdr:colOff>2396030</xdr:colOff>
      <xdr:row>120</xdr:row>
      <xdr:rowOff>61913</xdr:rowOff>
    </xdr:from>
    <xdr:to>
      <xdr:col>3</xdr:col>
      <xdr:colOff>4395296</xdr:colOff>
      <xdr:row>120</xdr:row>
      <xdr:rowOff>1938338</xdr:rowOff>
    </xdr:to>
    <xdr:pic>
      <xdr:nvPicPr>
        <xdr:cNvPr id="121" name="Picture 120" descr="Insight Picture 120"/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9305" y="271743488"/>
          <a:ext cx="1999266" cy="1876425"/>
        </a:xfrm>
        <a:prstGeom prst="rect">
          <a:avLst/>
        </a:prstGeom>
      </xdr:spPr>
    </xdr:pic>
    <xdr:clientData/>
  </xdr:twoCellAnchor>
  <xdr:twoCellAnchor editAs="oneCell">
    <xdr:from>
      <xdr:col>3</xdr:col>
      <xdr:colOff>2453151</xdr:colOff>
      <xdr:row>121</xdr:row>
      <xdr:rowOff>61913</xdr:rowOff>
    </xdr:from>
    <xdr:to>
      <xdr:col>3</xdr:col>
      <xdr:colOff>4338173</xdr:colOff>
      <xdr:row>121</xdr:row>
      <xdr:rowOff>2052638</xdr:rowOff>
    </xdr:to>
    <xdr:pic>
      <xdr:nvPicPr>
        <xdr:cNvPr id="122" name="Picture 121" descr="Insight Picture 121"/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426" y="273743738"/>
          <a:ext cx="1885022" cy="1990725"/>
        </a:xfrm>
        <a:prstGeom prst="rect">
          <a:avLst/>
        </a:prstGeom>
      </xdr:spPr>
    </xdr:pic>
    <xdr:clientData/>
  </xdr:twoCellAnchor>
  <xdr:twoCellAnchor editAs="oneCell">
    <xdr:from>
      <xdr:col>3</xdr:col>
      <xdr:colOff>2324627</xdr:colOff>
      <xdr:row>122</xdr:row>
      <xdr:rowOff>61913</xdr:rowOff>
    </xdr:from>
    <xdr:to>
      <xdr:col>3</xdr:col>
      <xdr:colOff>4466698</xdr:colOff>
      <xdr:row>122</xdr:row>
      <xdr:rowOff>2262188</xdr:rowOff>
    </xdr:to>
    <xdr:pic>
      <xdr:nvPicPr>
        <xdr:cNvPr id="123" name="Picture 122" descr="Insight Picture 122"/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7902" y="275858288"/>
          <a:ext cx="2142071" cy="2200275"/>
        </a:xfrm>
        <a:prstGeom prst="rect">
          <a:avLst/>
        </a:prstGeom>
      </xdr:spPr>
    </xdr:pic>
    <xdr:clientData/>
  </xdr:twoCellAnchor>
  <xdr:twoCellAnchor editAs="oneCell">
    <xdr:from>
      <xdr:col>3</xdr:col>
      <xdr:colOff>2148501</xdr:colOff>
      <xdr:row>123</xdr:row>
      <xdr:rowOff>61913</xdr:rowOff>
    </xdr:from>
    <xdr:to>
      <xdr:col>3</xdr:col>
      <xdr:colOff>4642823</xdr:colOff>
      <xdr:row>123</xdr:row>
      <xdr:rowOff>1566863</xdr:rowOff>
    </xdr:to>
    <xdr:pic>
      <xdr:nvPicPr>
        <xdr:cNvPr id="124" name="Picture 123" descr="Insight Picture 123"/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776" y="278182388"/>
          <a:ext cx="2494322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2381749</xdr:colOff>
      <xdr:row>124</xdr:row>
      <xdr:rowOff>61913</xdr:rowOff>
    </xdr:from>
    <xdr:to>
      <xdr:col>3</xdr:col>
      <xdr:colOff>4409576</xdr:colOff>
      <xdr:row>124</xdr:row>
      <xdr:rowOff>2319338</xdr:rowOff>
    </xdr:to>
    <xdr:pic>
      <xdr:nvPicPr>
        <xdr:cNvPr id="125" name="Picture 124" descr="Insight Picture 124"/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5024" y="279811163"/>
          <a:ext cx="2027827" cy="2257425"/>
        </a:xfrm>
        <a:prstGeom prst="rect">
          <a:avLst/>
        </a:prstGeom>
      </xdr:spPr>
    </xdr:pic>
    <xdr:clientData/>
  </xdr:twoCellAnchor>
  <xdr:twoCellAnchor editAs="oneCell">
    <xdr:from>
      <xdr:col>3</xdr:col>
      <xdr:colOff>2148501</xdr:colOff>
      <xdr:row>125</xdr:row>
      <xdr:rowOff>61913</xdr:rowOff>
    </xdr:from>
    <xdr:to>
      <xdr:col>3</xdr:col>
      <xdr:colOff>4642823</xdr:colOff>
      <xdr:row>125</xdr:row>
      <xdr:rowOff>1624013</xdr:rowOff>
    </xdr:to>
    <xdr:pic>
      <xdr:nvPicPr>
        <xdr:cNvPr id="126" name="Picture 125" descr="Insight Picture 125"/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1776" y="282192413"/>
          <a:ext cx="2494322" cy="1562100"/>
        </a:xfrm>
        <a:prstGeom prst="rect">
          <a:avLst/>
        </a:prstGeom>
      </xdr:spPr>
    </xdr:pic>
    <xdr:clientData/>
  </xdr:twoCellAnchor>
  <xdr:twoCellAnchor editAs="oneCell">
    <xdr:from>
      <xdr:col>3</xdr:col>
      <xdr:colOff>2181823</xdr:colOff>
      <xdr:row>126</xdr:row>
      <xdr:rowOff>61913</xdr:rowOff>
    </xdr:from>
    <xdr:to>
      <xdr:col>3</xdr:col>
      <xdr:colOff>4609503</xdr:colOff>
      <xdr:row>126</xdr:row>
      <xdr:rowOff>1785938</xdr:rowOff>
    </xdr:to>
    <xdr:pic>
      <xdr:nvPicPr>
        <xdr:cNvPr id="127" name="Picture 126" descr="Insight Picture 126"/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5098" y="283878338"/>
          <a:ext cx="2427680" cy="1724025"/>
        </a:xfrm>
        <a:prstGeom prst="rect">
          <a:avLst/>
        </a:prstGeom>
      </xdr:spPr>
    </xdr:pic>
    <xdr:clientData/>
  </xdr:twoCellAnchor>
  <xdr:twoCellAnchor editAs="oneCell">
    <xdr:from>
      <xdr:col>3</xdr:col>
      <xdr:colOff>1962855</xdr:colOff>
      <xdr:row>127</xdr:row>
      <xdr:rowOff>61913</xdr:rowOff>
    </xdr:from>
    <xdr:to>
      <xdr:col>3</xdr:col>
      <xdr:colOff>4828469</xdr:colOff>
      <xdr:row>127</xdr:row>
      <xdr:rowOff>1481138</xdr:rowOff>
    </xdr:to>
    <xdr:pic>
      <xdr:nvPicPr>
        <xdr:cNvPr id="128" name="Picture 127" descr="Insight Picture 127"/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130" y="285726188"/>
          <a:ext cx="2865614" cy="1419225"/>
        </a:xfrm>
        <a:prstGeom prst="rect">
          <a:avLst/>
        </a:prstGeom>
      </xdr:spPr>
    </xdr:pic>
    <xdr:clientData/>
  </xdr:twoCellAnchor>
  <xdr:twoCellAnchor editAs="oneCell">
    <xdr:from>
      <xdr:col>3</xdr:col>
      <xdr:colOff>2124701</xdr:colOff>
      <xdr:row>128</xdr:row>
      <xdr:rowOff>61913</xdr:rowOff>
    </xdr:from>
    <xdr:to>
      <xdr:col>3</xdr:col>
      <xdr:colOff>4666625</xdr:colOff>
      <xdr:row>128</xdr:row>
      <xdr:rowOff>1785938</xdr:rowOff>
    </xdr:to>
    <xdr:pic>
      <xdr:nvPicPr>
        <xdr:cNvPr id="129" name="Picture 128" descr="Insight Picture 128"/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976" y="287269238"/>
          <a:ext cx="2541924" cy="1724025"/>
        </a:xfrm>
        <a:prstGeom prst="rect">
          <a:avLst/>
        </a:prstGeom>
      </xdr:spPr>
    </xdr:pic>
    <xdr:clientData/>
  </xdr:twoCellAnchor>
  <xdr:twoCellAnchor editAs="oneCell">
    <xdr:from>
      <xdr:col>3</xdr:col>
      <xdr:colOff>2124701</xdr:colOff>
      <xdr:row>129</xdr:row>
      <xdr:rowOff>61913</xdr:rowOff>
    </xdr:from>
    <xdr:to>
      <xdr:col>3</xdr:col>
      <xdr:colOff>4666625</xdr:colOff>
      <xdr:row>129</xdr:row>
      <xdr:rowOff>1728788</xdr:rowOff>
    </xdr:to>
    <xdr:pic>
      <xdr:nvPicPr>
        <xdr:cNvPr id="130" name="Picture 129" descr="Insight Picture 129"/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976" y="289117088"/>
          <a:ext cx="2541924" cy="1666875"/>
        </a:xfrm>
        <a:prstGeom prst="rect">
          <a:avLst/>
        </a:prstGeom>
      </xdr:spPr>
    </xdr:pic>
    <xdr:clientData/>
  </xdr:twoCellAnchor>
  <xdr:twoCellAnchor editAs="oneCell">
    <xdr:from>
      <xdr:col>3</xdr:col>
      <xdr:colOff>2200863</xdr:colOff>
      <xdr:row>130</xdr:row>
      <xdr:rowOff>61913</xdr:rowOff>
    </xdr:from>
    <xdr:to>
      <xdr:col>3</xdr:col>
      <xdr:colOff>4590462</xdr:colOff>
      <xdr:row>130</xdr:row>
      <xdr:rowOff>1462088</xdr:rowOff>
    </xdr:to>
    <xdr:pic>
      <xdr:nvPicPr>
        <xdr:cNvPr id="131" name="Picture 130" descr="Insight Picture 130"/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4138" y="290907788"/>
          <a:ext cx="2389599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2124701</xdr:colOff>
      <xdr:row>131</xdr:row>
      <xdr:rowOff>61913</xdr:rowOff>
    </xdr:from>
    <xdr:to>
      <xdr:col>3</xdr:col>
      <xdr:colOff>4666625</xdr:colOff>
      <xdr:row>131</xdr:row>
      <xdr:rowOff>1900238</xdr:rowOff>
    </xdr:to>
    <xdr:pic>
      <xdr:nvPicPr>
        <xdr:cNvPr id="132" name="Picture 131" descr="Insight Picture 131"/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976" y="292431788"/>
          <a:ext cx="2541924" cy="183832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1905733</xdr:colOff>
      <xdr:row>132</xdr:row>
      <xdr:rowOff>61913</xdr:rowOff>
    </xdr:from>
    <xdr:to>
      <xdr:col>3</xdr:col>
      <xdr:colOff>4885591</xdr:colOff>
      <xdr:row>132</xdr:row>
      <xdr:rowOff>1481138</xdr:rowOff>
    </xdr:to>
    <xdr:pic>
      <xdr:nvPicPr>
        <xdr:cNvPr id="133" name="Picture 132" descr="Insight Picture 132"/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9008" y="294393938"/>
          <a:ext cx="2979858" cy="1419225"/>
        </a:xfrm>
        <a:prstGeom prst="rect">
          <a:avLst/>
        </a:prstGeom>
      </xdr:spPr>
    </xdr:pic>
    <xdr:clientData/>
  </xdr:twoCellAnchor>
  <xdr:twoCellAnchor editAs="oneCell">
    <xdr:from>
      <xdr:col>3</xdr:col>
      <xdr:colOff>2357948</xdr:colOff>
      <xdr:row>133</xdr:row>
      <xdr:rowOff>61913</xdr:rowOff>
    </xdr:from>
    <xdr:to>
      <xdr:col>3</xdr:col>
      <xdr:colOff>4433377</xdr:colOff>
      <xdr:row>133</xdr:row>
      <xdr:rowOff>2100263</xdr:rowOff>
    </xdr:to>
    <xdr:pic>
      <xdr:nvPicPr>
        <xdr:cNvPr id="134" name="Picture 133" descr="Insight Picture 133"/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1223" y="295936988"/>
          <a:ext cx="2075429" cy="2038350"/>
        </a:xfrm>
        <a:prstGeom prst="rect">
          <a:avLst/>
        </a:prstGeom>
      </xdr:spPr>
    </xdr:pic>
    <xdr:clientData/>
  </xdr:twoCellAnchor>
  <xdr:twoCellAnchor editAs="oneCell">
    <xdr:from>
      <xdr:col>3</xdr:col>
      <xdr:colOff>1839091</xdr:colOff>
      <xdr:row>134</xdr:row>
      <xdr:rowOff>61913</xdr:rowOff>
    </xdr:from>
    <xdr:to>
      <xdr:col>3</xdr:col>
      <xdr:colOff>4952234</xdr:colOff>
      <xdr:row>134</xdr:row>
      <xdr:rowOff>2100263</xdr:rowOff>
    </xdr:to>
    <xdr:pic>
      <xdr:nvPicPr>
        <xdr:cNvPr id="135" name="Picture 134" descr="Insight Picture 134"/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2366" y="298099163"/>
          <a:ext cx="3113143" cy="2038350"/>
        </a:xfrm>
        <a:prstGeom prst="rect">
          <a:avLst/>
        </a:prstGeom>
      </xdr:spPr>
    </xdr:pic>
    <xdr:clientData/>
  </xdr:twoCellAnchor>
  <xdr:twoCellAnchor editAs="oneCell">
    <xdr:from>
      <xdr:col>3</xdr:col>
      <xdr:colOff>2262745</xdr:colOff>
      <xdr:row>135</xdr:row>
      <xdr:rowOff>61913</xdr:rowOff>
    </xdr:from>
    <xdr:to>
      <xdr:col>3</xdr:col>
      <xdr:colOff>4528580</xdr:colOff>
      <xdr:row>135</xdr:row>
      <xdr:rowOff>2043113</xdr:rowOff>
    </xdr:to>
    <xdr:pic>
      <xdr:nvPicPr>
        <xdr:cNvPr id="136" name="Picture 135" descr="Insight Picture 135"/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6020" y="300261338"/>
          <a:ext cx="2265835" cy="1981200"/>
        </a:xfrm>
        <a:prstGeom prst="rect">
          <a:avLst/>
        </a:prstGeom>
      </xdr:spPr>
    </xdr:pic>
    <xdr:clientData/>
  </xdr:twoCellAnchor>
  <xdr:twoCellAnchor editAs="oneCell">
    <xdr:from>
      <xdr:col>3</xdr:col>
      <xdr:colOff>1958095</xdr:colOff>
      <xdr:row>136</xdr:row>
      <xdr:rowOff>61913</xdr:rowOff>
    </xdr:from>
    <xdr:to>
      <xdr:col>3</xdr:col>
      <xdr:colOff>4833230</xdr:colOff>
      <xdr:row>136</xdr:row>
      <xdr:rowOff>2214563</xdr:rowOff>
    </xdr:to>
    <xdr:pic>
      <xdr:nvPicPr>
        <xdr:cNvPr id="137" name="Picture 136" descr="Insight Picture 136"/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1370" y="302366363"/>
          <a:ext cx="2875135" cy="2152650"/>
        </a:xfrm>
        <a:prstGeom prst="rect">
          <a:avLst/>
        </a:prstGeom>
      </xdr:spPr>
    </xdr:pic>
    <xdr:clientData/>
  </xdr:twoCellAnchor>
  <xdr:twoCellAnchor editAs="oneCell">
    <xdr:from>
      <xdr:col>3</xdr:col>
      <xdr:colOff>1958095</xdr:colOff>
      <xdr:row>137</xdr:row>
      <xdr:rowOff>61913</xdr:rowOff>
    </xdr:from>
    <xdr:to>
      <xdr:col>3</xdr:col>
      <xdr:colOff>4833230</xdr:colOff>
      <xdr:row>137</xdr:row>
      <xdr:rowOff>2214563</xdr:rowOff>
    </xdr:to>
    <xdr:pic>
      <xdr:nvPicPr>
        <xdr:cNvPr id="138" name="Picture 137" descr="Insight Picture 137"/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1370" y="304642838"/>
          <a:ext cx="2875135" cy="2152650"/>
        </a:xfrm>
        <a:prstGeom prst="rect">
          <a:avLst/>
        </a:prstGeom>
      </xdr:spPr>
    </xdr:pic>
    <xdr:clientData/>
  </xdr:twoCellAnchor>
  <xdr:twoCellAnchor editAs="oneCell">
    <xdr:from>
      <xdr:col>3</xdr:col>
      <xdr:colOff>2429351</xdr:colOff>
      <xdr:row>138</xdr:row>
      <xdr:rowOff>61913</xdr:rowOff>
    </xdr:from>
    <xdr:to>
      <xdr:col>3</xdr:col>
      <xdr:colOff>4361975</xdr:colOff>
      <xdr:row>138</xdr:row>
      <xdr:rowOff>2347913</xdr:rowOff>
    </xdr:to>
    <xdr:pic>
      <xdr:nvPicPr>
        <xdr:cNvPr id="139" name="Picture 138" descr="Insight Picture 138"/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626" y="306919313"/>
          <a:ext cx="1932624" cy="2286000"/>
        </a:xfrm>
        <a:prstGeom prst="rect">
          <a:avLst/>
        </a:prstGeom>
      </xdr:spPr>
    </xdr:pic>
    <xdr:clientData/>
  </xdr:twoCellAnchor>
  <xdr:twoCellAnchor editAs="oneCell">
    <xdr:from>
      <xdr:col>3</xdr:col>
      <xdr:colOff>2624517</xdr:colOff>
      <xdr:row>139</xdr:row>
      <xdr:rowOff>61913</xdr:rowOff>
    </xdr:from>
    <xdr:to>
      <xdr:col>3</xdr:col>
      <xdr:colOff>4166808</xdr:colOff>
      <xdr:row>139</xdr:row>
      <xdr:rowOff>3309938</xdr:rowOff>
    </xdr:to>
    <xdr:pic>
      <xdr:nvPicPr>
        <xdr:cNvPr id="140" name="Picture 139" descr="Insight Picture 139"/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7792" y="309329138"/>
          <a:ext cx="1542291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1796249</xdr:colOff>
      <xdr:row>140</xdr:row>
      <xdr:rowOff>61913</xdr:rowOff>
    </xdr:from>
    <xdr:to>
      <xdr:col>3</xdr:col>
      <xdr:colOff>4995075</xdr:colOff>
      <xdr:row>140</xdr:row>
      <xdr:rowOff>2100263</xdr:rowOff>
    </xdr:to>
    <xdr:pic>
      <xdr:nvPicPr>
        <xdr:cNvPr id="141" name="Picture 140" descr="Insight Picture 140"/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39524" y="312700988"/>
          <a:ext cx="3198826" cy="2038350"/>
        </a:xfrm>
        <a:prstGeom prst="rect">
          <a:avLst/>
        </a:prstGeom>
      </xdr:spPr>
    </xdr:pic>
    <xdr:clientData/>
  </xdr:twoCellAnchor>
  <xdr:twoCellAnchor editAs="oneCell">
    <xdr:from>
      <xdr:col>3</xdr:col>
      <xdr:colOff>2172302</xdr:colOff>
      <xdr:row>141</xdr:row>
      <xdr:rowOff>61913</xdr:rowOff>
    </xdr:from>
    <xdr:to>
      <xdr:col>3</xdr:col>
      <xdr:colOff>4619023</xdr:colOff>
      <xdr:row>141</xdr:row>
      <xdr:rowOff>2376488</xdr:rowOff>
    </xdr:to>
    <xdr:pic>
      <xdr:nvPicPr>
        <xdr:cNvPr id="142" name="Picture 141" descr="Insight Picture 141"/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5577" y="314863163"/>
          <a:ext cx="2446721" cy="2314575"/>
        </a:xfrm>
        <a:prstGeom prst="rect">
          <a:avLst/>
        </a:prstGeom>
      </xdr:spPr>
    </xdr:pic>
    <xdr:clientData/>
  </xdr:twoCellAnchor>
  <xdr:twoCellAnchor editAs="oneCell">
    <xdr:from>
      <xdr:col>3</xdr:col>
      <xdr:colOff>1867652</xdr:colOff>
      <xdr:row>142</xdr:row>
      <xdr:rowOff>61913</xdr:rowOff>
    </xdr:from>
    <xdr:to>
      <xdr:col>3</xdr:col>
      <xdr:colOff>4923673</xdr:colOff>
      <xdr:row>142</xdr:row>
      <xdr:rowOff>2100263</xdr:rowOff>
    </xdr:to>
    <xdr:pic>
      <xdr:nvPicPr>
        <xdr:cNvPr id="143" name="Picture 142" descr="Insight Picture 142"/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927" y="317301563"/>
          <a:ext cx="3056021" cy="2038350"/>
        </a:xfrm>
        <a:prstGeom prst="rect">
          <a:avLst/>
        </a:prstGeom>
      </xdr:spPr>
    </xdr:pic>
    <xdr:clientData/>
  </xdr:twoCellAnchor>
  <xdr:twoCellAnchor editAs="oneCell">
    <xdr:from>
      <xdr:col>3</xdr:col>
      <xdr:colOff>1605843</xdr:colOff>
      <xdr:row>143</xdr:row>
      <xdr:rowOff>61913</xdr:rowOff>
    </xdr:from>
    <xdr:to>
      <xdr:col>3</xdr:col>
      <xdr:colOff>5185481</xdr:colOff>
      <xdr:row>143</xdr:row>
      <xdr:rowOff>2243138</xdr:rowOff>
    </xdr:to>
    <xdr:pic>
      <xdr:nvPicPr>
        <xdr:cNvPr id="144" name="Picture 143" descr="Insight Picture 143"/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9118" y="319463738"/>
          <a:ext cx="3579638" cy="2181225"/>
        </a:xfrm>
        <a:prstGeom prst="rect">
          <a:avLst/>
        </a:prstGeom>
      </xdr:spPr>
    </xdr:pic>
    <xdr:clientData/>
  </xdr:twoCellAnchor>
  <xdr:twoCellAnchor editAs="oneCell">
    <xdr:from>
      <xdr:col>3</xdr:col>
      <xdr:colOff>1881932</xdr:colOff>
      <xdr:row>144</xdr:row>
      <xdr:rowOff>61913</xdr:rowOff>
    </xdr:from>
    <xdr:to>
      <xdr:col>3</xdr:col>
      <xdr:colOff>4909392</xdr:colOff>
      <xdr:row>144</xdr:row>
      <xdr:rowOff>1633538</xdr:rowOff>
    </xdr:to>
    <xdr:pic>
      <xdr:nvPicPr>
        <xdr:cNvPr id="145" name="Picture 144" descr="Insight Picture 144"/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5207" y="321768788"/>
          <a:ext cx="3027460" cy="1571625"/>
        </a:xfrm>
        <a:prstGeom prst="rect">
          <a:avLst/>
        </a:prstGeom>
      </xdr:spPr>
    </xdr:pic>
    <xdr:clientData/>
  </xdr:twoCellAnchor>
  <xdr:twoCellAnchor editAs="oneCell">
    <xdr:from>
      <xdr:col>3</xdr:col>
      <xdr:colOff>2086619</xdr:colOff>
      <xdr:row>145</xdr:row>
      <xdr:rowOff>61913</xdr:rowOff>
    </xdr:from>
    <xdr:to>
      <xdr:col>3</xdr:col>
      <xdr:colOff>4704706</xdr:colOff>
      <xdr:row>145</xdr:row>
      <xdr:rowOff>2357438</xdr:rowOff>
    </xdr:to>
    <xdr:pic>
      <xdr:nvPicPr>
        <xdr:cNvPr id="146" name="Picture 145" descr="Insight Picture 145"/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894" y="323464238"/>
          <a:ext cx="2618087" cy="2295525"/>
        </a:xfrm>
        <a:prstGeom prst="rect">
          <a:avLst/>
        </a:prstGeom>
      </xdr:spPr>
    </xdr:pic>
    <xdr:clientData/>
  </xdr:twoCellAnchor>
  <xdr:twoCellAnchor editAs="oneCell">
    <xdr:from>
      <xdr:col>3</xdr:col>
      <xdr:colOff>2086619</xdr:colOff>
      <xdr:row>146</xdr:row>
      <xdr:rowOff>61913</xdr:rowOff>
    </xdr:from>
    <xdr:to>
      <xdr:col>3</xdr:col>
      <xdr:colOff>4704706</xdr:colOff>
      <xdr:row>146</xdr:row>
      <xdr:rowOff>2357438</xdr:rowOff>
    </xdr:to>
    <xdr:pic>
      <xdr:nvPicPr>
        <xdr:cNvPr id="147" name="Picture 146" descr="Insight Picture 146"/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894" y="325883588"/>
          <a:ext cx="2618087" cy="2295525"/>
        </a:xfrm>
        <a:prstGeom prst="rect">
          <a:avLst/>
        </a:prstGeom>
      </xdr:spPr>
    </xdr:pic>
    <xdr:clientData/>
  </xdr:twoCellAnchor>
  <xdr:twoCellAnchor editAs="oneCell">
    <xdr:from>
      <xdr:col>3</xdr:col>
      <xdr:colOff>1915254</xdr:colOff>
      <xdr:row>147</xdr:row>
      <xdr:rowOff>61913</xdr:rowOff>
    </xdr:from>
    <xdr:to>
      <xdr:col>3</xdr:col>
      <xdr:colOff>4876072</xdr:colOff>
      <xdr:row>147</xdr:row>
      <xdr:rowOff>2271713</xdr:rowOff>
    </xdr:to>
    <xdr:pic>
      <xdr:nvPicPr>
        <xdr:cNvPr id="148" name="Picture 147" descr="Insight Picture 147"/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529" y="328302938"/>
          <a:ext cx="2960818" cy="2209800"/>
        </a:xfrm>
        <a:prstGeom prst="rect">
          <a:avLst/>
        </a:prstGeom>
      </xdr:spPr>
    </xdr:pic>
    <xdr:clientData/>
  </xdr:twoCellAnchor>
  <xdr:twoCellAnchor editAs="oneCell">
    <xdr:from>
      <xdr:col>3</xdr:col>
      <xdr:colOff>2819684</xdr:colOff>
      <xdr:row>148</xdr:row>
      <xdr:rowOff>61913</xdr:rowOff>
    </xdr:from>
    <xdr:to>
      <xdr:col>3</xdr:col>
      <xdr:colOff>3971642</xdr:colOff>
      <xdr:row>148</xdr:row>
      <xdr:rowOff>3309938</xdr:rowOff>
    </xdr:to>
    <xdr:pic>
      <xdr:nvPicPr>
        <xdr:cNvPr id="149" name="Picture 148" descr="Insight Picture 148"/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2959" y="330636563"/>
          <a:ext cx="1151958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1805770</xdr:colOff>
      <xdr:row>149</xdr:row>
      <xdr:rowOff>61913</xdr:rowOff>
    </xdr:from>
    <xdr:to>
      <xdr:col>3</xdr:col>
      <xdr:colOff>4985555</xdr:colOff>
      <xdr:row>149</xdr:row>
      <xdr:rowOff>3309938</xdr:rowOff>
    </xdr:to>
    <xdr:pic>
      <xdr:nvPicPr>
        <xdr:cNvPr id="150" name="Picture 149" descr="Insight Picture 149"/>
        <xdr:cNvPicPr>
          <a:picLocks noChangeAspect="1"/>
        </xdr:cNvPicPr>
      </xdr:nvPicPr>
      <xdr:blipFill>
        <a:blip xmlns:r="http://schemas.openxmlformats.org/officeDocument/2006/relationships" r:embed="rId1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045" y="334008413"/>
          <a:ext cx="3179785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1482079</xdr:colOff>
      <xdr:row>150</xdr:row>
      <xdr:rowOff>61913</xdr:rowOff>
    </xdr:from>
    <xdr:to>
      <xdr:col>3</xdr:col>
      <xdr:colOff>5309245</xdr:colOff>
      <xdr:row>150</xdr:row>
      <xdr:rowOff>2290763</xdr:rowOff>
    </xdr:to>
    <xdr:pic>
      <xdr:nvPicPr>
        <xdr:cNvPr id="151" name="Picture 150" descr="Insight Picture 150"/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5354" y="337380263"/>
          <a:ext cx="3827166" cy="2228850"/>
        </a:xfrm>
        <a:prstGeom prst="rect">
          <a:avLst/>
        </a:prstGeom>
      </xdr:spPr>
    </xdr:pic>
    <xdr:clientData/>
  </xdr:twoCellAnchor>
  <xdr:twoCellAnchor editAs="oneCell">
    <xdr:from>
      <xdr:col>3</xdr:col>
      <xdr:colOff>1382116</xdr:colOff>
      <xdr:row>151</xdr:row>
      <xdr:rowOff>61913</xdr:rowOff>
    </xdr:from>
    <xdr:to>
      <xdr:col>3</xdr:col>
      <xdr:colOff>5409209</xdr:colOff>
      <xdr:row>151</xdr:row>
      <xdr:rowOff>2528888</xdr:rowOff>
    </xdr:to>
    <xdr:pic>
      <xdr:nvPicPr>
        <xdr:cNvPr id="152" name="Picture 151" descr="Insight Picture 151"/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5391" y="339732938"/>
          <a:ext cx="4027093" cy="2466975"/>
        </a:xfrm>
        <a:prstGeom prst="rect">
          <a:avLst/>
        </a:prstGeom>
      </xdr:spPr>
    </xdr:pic>
    <xdr:clientData/>
  </xdr:twoCellAnchor>
  <xdr:twoCellAnchor editAs="oneCell">
    <xdr:from>
      <xdr:col>3</xdr:col>
      <xdr:colOff>1324994</xdr:colOff>
      <xdr:row>152</xdr:row>
      <xdr:rowOff>61913</xdr:rowOff>
    </xdr:from>
    <xdr:to>
      <xdr:col>3</xdr:col>
      <xdr:colOff>5466331</xdr:colOff>
      <xdr:row>152</xdr:row>
      <xdr:rowOff>2757488</xdr:rowOff>
    </xdr:to>
    <xdr:pic>
      <xdr:nvPicPr>
        <xdr:cNvPr id="153" name="Picture 152" descr="Insight Picture 152"/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8269" y="342323738"/>
          <a:ext cx="4141337" cy="2695575"/>
        </a:xfrm>
        <a:prstGeom prst="rect">
          <a:avLst/>
        </a:prstGeom>
      </xdr:spPr>
    </xdr:pic>
    <xdr:clientData/>
  </xdr:twoCellAnchor>
  <xdr:twoCellAnchor editAs="oneCell">
    <xdr:from>
      <xdr:col>3</xdr:col>
      <xdr:colOff>1491600</xdr:colOff>
      <xdr:row>153</xdr:row>
      <xdr:rowOff>61913</xdr:rowOff>
    </xdr:from>
    <xdr:to>
      <xdr:col>3</xdr:col>
      <xdr:colOff>5299726</xdr:colOff>
      <xdr:row>153</xdr:row>
      <xdr:rowOff>3309938</xdr:rowOff>
    </xdr:to>
    <xdr:pic>
      <xdr:nvPicPr>
        <xdr:cNvPr id="154" name="Picture 153" descr="Insight Picture 153"/>
        <xdr:cNvPicPr>
          <a:picLocks noChangeAspect="1"/>
        </xdr:cNvPicPr>
      </xdr:nvPicPr>
      <xdr:blipFill>
        <a:blip xmlns:r="http://schemas.openxmlformats.org/officeDocument/2006/relationships" r:embed="rId1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4875" y="345143138"/>
          <a:ext cx="380812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2400790</xdr:colOff>
      <xdr:row>154</xdr:row>
      <xdr:rowOff>61913</xdr:rowOff>
    </xdr:from>
    <xdr:to>
      <xdr:col>3</xdr:col>
      <xdr:colOff>4390536</xdr:colOff>
      <xdr:row>154</xdr:row>
      <xdr:rowOff>3309938</xdr:rowOff>
    </xdr:to>
    <xdr:pic>
      <xdr:nvPicPr>
        <xdr:cNvPr id="155" name="Picture 154" descr="Insight Picture 154"/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4065" y="348514988"/>
          <a:ext cx="198974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2105660</xdr:colOff>
      <xdr:row>155</xdr:row>
      <xdr:rowOff>61913</xdr:rowOff>
    </xdr:from>
    <xdr:to>
      <xdr:col>3</xdr:col>
      <xdr:colOff>4685665</xdr:colOff>
      <xdr:row>155</xdr:row>
      <xdr:rowOff>3309938</xdr:rowOff>
    </xdr:to>
    <xdr:pic>
      <xdr:nvPicPr>
        <xdr:cNvPr id="156" name="Picture 155" descr="Insight Picture 155"/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935" y="351886838"/>
          <a:ext cx="2580005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2595956</xdr:colOff>
      <xdr:row>156</xdr:row>
      <xdr:rowOff>61913</xdr:rowOff>
    </xdr:from>
    <xdr:to>
      <xdr:col>3</xdr:col>
      <xdr:colOff>4195369</xdr:colOff>
      <xdr:row>156</xdr:row>
      <xdr:rowOff>3309938</xdr:rowOff>
    </xdr:to>
    <xdr:pic>
      <xdr:nvPicPr>
        <xdr:cNvPr id="157" name="Picture 156" descr="Insight Picture 156"/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9231" y="355258688"/>
          <a:ext cx="1599413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868019</xdr:colOff>
      <xdr:row>157</xdr:row>
      <xdr:rowOff>61913</xdr:rowOff>
    </xdr:from>
    <xdr:to>
      <xdr:col>3</xdr:col>
      <xdr:colOff>5923306</xdr:colOff>
      <xdr:row>157</xdr:row>
      <xdr:rowOff>3309938</xdr:rowOff>
    </xdr:to>
    <xdr:pic>
      <xdr:nvPicPr>
        <xdr:cNvPr id="158" name="Picture 157" descr="Insight Picture 157"/>
        <xdr:cNvPicPr>
          <a:picLocks noChangeAspect="1"/>
        </xdr:cNvPicPr>
      </xdr:nvPicPr>
      <xdr:blipFill>
        <a:blip xmlns:r="http://schemas.openxmlformats.org/officeDocument/2006/relationships" r:embed="rId1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1294" y="358630538"/>
          <a:ext cx="505528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1624884</xdr:colOff>
      <xdr:row>158</xdr:row>
      <xdr:rowOff>61913</xdr:rowOff>
    </xdr:from>
    <xdr:to>
      <xdr:col>3</xdr:col>
      <xdr:colOff>5166441</xdr:colOff>
      <xdr:row>158</xdr:row>
      <xdr:rowOff>3309938</xdr:rowOff>
    </xdr:to>
    <xdr:pic>
      <xdr:nvPicPr>
        <xdr:cNvPr id="159" name="Picture 158" descr="Insight Picture 158"/>
        <xdr:cNvPicPr>
          <a:picLocks noChangeAspect="1"/>
        </xdr:cNvPicPr>
      </xdr:nvPicPr>
      <xdr:blipFill>
        <a:blip xmlns:r="http://schemas.openxmlformats.org/officeDocument/2006/relationships" r:embed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159" y="362002388"/>
          <a:ext cx="354155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1334515</xdr:colOff>
      <xdr:row>159</xdr:row>
      <xdr:rowOff>61913</xdr:rowOff>
    </xdr:from>
    <xdr:to>
      <xdr:col>3</xdr:col>
      <xdr:colOff>5456811</xdr:colOff>
      <xdr:row>159</xdr:row>
      <xdr:rowOff>3309938</xdr:rowOff>
    </xdr:to>
    <xdr:pic>
      <xdr:nvPicPr>
        <xdr:cNvPr id="160" name="Picture 159" descr="Insight Picture 159"/>
        <xdr:cNvPicPr>
          <a:picLocks noChangeAspect="1"/>
        </xdr:cNvPicPr>
      </xdr:nvPicPr>
      <xdr:blipFill>
        <a:blip xmlns:r="http://schemas.openxmlformats.org/officeDocument/2006/relationships" r:embed="rId1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7790" y="365374238"/>
          <a:ext cx="412229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1505880</xdr:colOff>
      <xdr:row>160</xdr:row>
      <xdr:rowOff>61913</xdr:rowOff>
    </xdr:from>
    <xdr:to>
      <xdr:col>3</xdr:col>
      <xdr:colOff>5285445</xdr:colOff>
      <xdr:row>160</xdr:row>
      <xdr:rowOff>3309938</xdr:rowOff>
    </xdr:to>
    <xdr:pic>
      <xdr:nvPicPr>
        <xdr:cNvPr id="161" name="Picture 160" descr="Insight Picture 160"/>
        <xdr:cNvPicPr>
          <a:picLocks noChangeAspect="1"/>
        </xdr:cNvPicPr>
      </xdr:nvPicPr>
      <xdr:blipFill>
        <a:blip xmlns:r="http://schemas.openxmlformats.org/officeDocument/2006/relationships" r:embed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9155" y="368746088"/>
          <a:ext cx="3779565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2062818</xdr:colOff>
      <xdr:row>161</xdr:row>
      <xdr:rowOff>61913</xdr:rowOff>
    </xdr:from>
    <xdr:to>
      <xdr:col>3</xdr:col>
      <xdr:colOff>4728506</xdr:colOff>
      <xdr:row>161</xdr:row>
      <xdr:rowOff>3309938</xdr:rowOff>
    </xdr:to>
    <xdr:pic>
      <xdr:nvPicPr>
        <xdr:cNvPr id="162" name="Picture 161" descr="Insight Picture 161"/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6093" y="372117938"/>
          <a:ext cx="2665688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2019977</xdr:colOff>
      <xdr:row>162</xdr:row>
      <xdr:rowOff>61913</xdr:rowOff>
    </xdr:from>
    <xdr:to>
      <xdr:col>3</xdr:col>
      <xdr:colOff>4771348</xdr:colOff>
      <xdr:row>162</xdr:row>
      <xdr:rowOff>3014663</xdr:rowOff>
    </xdr:to>
    <xdr:pic>
      <xdr:nvPicPr>
        <xdr:cNvPr id="163" name="Picture 162" descr="Insight Picture 162"/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3252" y="375489788"/>
          <a:ext cx="2751371" cy="2952750"/>
        </a:xfrm>
        <a:prstGeom prst="rect">
          <a:avLst/>
        </a:prstGeom>
      </xdr:spPr>
    </xdr:pic>
    <xdr:clientData/>
  </xdr:twoCellAnchor>
  <xdr:twoCellAnchor editAs="oneCell">
    <xdr:from>
      <xdr:col>3</xdr:col>
      <xdr:colOff>1953335</xdr:colOff>
      <xdr:row>163</xdr:row>
      <xdr:rowOff>61913</xdr:rowOff>
    </xdr:from>
    <xdr:to>
      <xdr:col>3</xdr:col>
      <xdr:colOff>4837990</xdr:colOff>
      <xdr:row>163</xdr:row>
      <xdr:rowOff>3309938</xdr:rowOff>
    </xdr:to>
    <xdr:pic>
      <xdr:nvPicPr>
        <xdr:cNvPr id="164" name="Picture 163" descr="Insight Picture 163"/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6610" y="378566363"/>
          <a:ext cx="2884655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1510640</xdr:colOff>
      <xdr:row>164</xdr:row>
      <xdr:rowOff>61913</xdr:rowOff>
    </xdr:from>
    <xdr:to>
      <xdr:col>3</xdr:col>
      <xdr:colOff>5280685</xdr:colOff>
      <xdr:row>164</xdr:row>
      <xdr:rowOff>3300413</xdr:rowOff>
    </xdr:to>
    <xdr:pic>
      <xdr:nvPicPr>
        <xdr:cNvPr id="165" name="Picture 164" descr="Insight Picture 164"/>
        <xdr:cNvPicPr>
          <a:picLocks noChangeAspect="1"/>
        </xdr:cNvPicPr>
      </xdr:nvPicPr>
      <xdr:blipFill>
        <a:blip xmlns:r="http://schemas.openxmlformats.org/officeDocument/2006/relationships" r:embed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3915" y="381938213"/>
          <a:ext cx="3770045" cy="3238500"/>
        </a:xfrm>
        <a:prstGeom prst="rect">
          <a:avLst/>
        </a:prstGeom>
      </xdr:spPr>
    </xdr:pic>
    <xdr:clientData/>
  </xdr:twoCellAnchor>
  <xdr:twoCellAnchor editAs="oneCell">
    <xdr:from>
      <xdr:col>3</xdr:col>
      <xdr:colOff>1486839</xdr:colOff>
      <xdr:row>165</xdr:row>
      <xdr:rowOff>61913</xdr:rowOff>
    </xdr:from>
    <xdr:to>
      <xdr:col>3</xdr:col>
      <xdr:colOff>5304485</xdr:colOff>
      <xdr:row>165</xdr:row>
      <xdr:rowOff>3309938</xdr:rowOff>
    </xdr:to>
    <xdr:pic>
      <xdr:nvPicPr>
        <xdr:cNvPr id="166" name="Picture 165" descr="Insight Picture 165"/>
        <xdr:cNvPicPr>
          <a:picLocks noChangeAspect="1"/>
        </xdr:cNvPicPr>
      </xdr:nvPicPr>
      <xdr:blipFill>
        <a:blip xmlns:r="http://schemas.openxmlformats.org/officeDocument/2006/relationships" r:embed="rId1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114" y="385300538"/>
          <a:ext cx="381764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987023</xdr:colOff>
      <xdr:row>166</xdr:row>
      <xdr:rowOff>61913</xdr:rowOff>
    </xdr:from>
    <xdr:to>
      <xdr:col>3</xdr:col>
      <xdr:colOff>5804302</xdr:colOff>
      <xdr:row>166</xdr:row>
      <xdr:rowOff>3167063</xdr:rowOff>
    </xdr:to>
    <xdr:pic>
      <xdr:nvPicPr>
        <xdr:cNvPr id="167" name="Picture 166" descr="Insight Picture 166"/>
        <xdr:cNvPicPr>
          <a:picLocks noChangeAspect="1"/>
        </xdr:cNvPicPr>
      </xdr:nvPicPr>
      <xdr:blipFill>
        <a:blip xmlns:r="http://schemas.openxmlformats.org/officeDocument/2006/relationships" r:embed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0298" y="388672388"/>
          <a:ext cx="4817279" cy="3105150"/>
        </a:xfrm>
        <a:prstGeom prst="rect">
          <a:avLst/>
        </a:prstGeom>
      </xdr:spPr>
    </xdr:pic>
    <xdr:clientData/>
  </xdr:twoCellAnchor>
  <xdr:twoCellAnchor editAs="oneCell">
    <xdr:from>
      <xdr:col>3</xdr:col>
      <xdr:colOff>1915254</xdr:colOff>
      <xdr:row>167</xdr:row>
      <xdr:rowOff>61913</xdr:rowOff>
    </xdr:from>
    <xdr:to>
      <xdr:col>3</xdr:col>
      <xdr:colOff>4876072</xdr:colOff>
      <xdr:row>167</xdr:row>
      <xdr:rowOff>3309938</xdr:rowOff>
    </xdr:to>
    <xdr:pic>
      <xdr:nvPicPr>
        <xdr:cNvPr id="168" name="Picture 167" descr="Insight Picture 167"/>
        <xdr:cNvPicPr>
          <a:picLocks noChangeAspect="1"/>
        </xdr:cNvPicPr>
      </xdr:nvPicPr>
      <xdr:blipFill>
        <a:blip xmlns:r="http://schemas.openxmlformats.org/officeDocument/2006/relationships" r:embed="rId1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529" y="391901363"/>
          <a:ext cx="2960818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2229424</xdr:colOff>
      <xdr:row>168</xdr:row>
      <xdr:rowOff>61913</xdr:rowOff>
    </xdr:from>
    <xdr:to>
      <xdr:col>3</xdr:col>
      <xdr:colOff>4561901</xdr:colOff>
      <xdr:row>168</xdr:row>
      <xdr:rowOff>3309938</xdr:rowOff>
    </xdr:to>
    <xdr:pic>
      <xdr:nvPicPr>
        <xdr:cNvPr id="169" name="Picture 168" descr="Insight Picture 168"/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699" y="395273213"/>
          <a:ext cx="233247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2053298</xdr:colOff>
      <xdr:row>169</xdr:row>
      <xdr:rowOff>61913</xdr:rowOff>
    </xdr:from>
    <xdr:to>
      <xdr:col>3</xdr:col>
      <xdr:colOff>4738027</xdr:colOff>
      <xdr:row>169</xdr:row>
      <xdr:rowOff>3309938</xdr:rowOff>
    </xdr:to>
    <xdr:pic>
      <xdr:nvPicPr>
        <xdr:cNvPr id="170" name="Picture 169" descr="Insight Picture 169"/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6573" y="398645063"/>
          <a:ext cx="2684729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1915254</xdr:colOff>
      <xdr:row>170</xdr:row>
      <xdr:rowOff>61913</xdr:rowOff>
    </xdr:from>
    <xdr:to>
      <xdr:col>3</xdr:col>
      <xdr:colOff>4876072</xdr:colOff>
      <xdr:row>170</xdr:row>
      <xdr:rowOff>2309813</xdr:rowOff>
    </xdr:to>
    <xdr:pic>
      <xdr:nvPicPr>
        <xdr:cNvPr id="171" name="Picture 170" descr="Insight Picture 170"/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8529" y="402016913"/>
          <a:ext cx="2960818" cy="2247900"/>
        </a:xfrm>
        <a:prstGeom prst="rect">
          <a:avLst/>
        </a:prstGeom>
      </xdr:spPr>
    </xdr:pic>
    <xdr:clientData/>
  </xdr:twoCellAnchor>
  <xdr:twoCellAnchor editAs="oneCell">
    <xdr:from>
      <xdr:col>3</xdr:col>
      <xdr:colOff>2072339</xdr:colOff>
      <xdr:row>171</xdr:row>
      <xdr:rowOff>61913</xdr:rowOff>
    </xdr:from>
    <xdr:to>
      <xdr:col>3</xdr:col>
      <xdr:colOff>4718986</xdr:colOff>
      <xdr:row>171</xdr:row>
      <xdr:rowOff>3309938</xdr:rowOff>
    </xdr:to>
    <xdr:pic>
      <xdr:nvPicPr>
        <xdr:cNvPr id="172" name="Picture 171" descr="Insight Picture 171"/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5614" y="404388638"/>
          <a:ext cx="264664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2196102</xdr:colOff>
      <xdr:row>172</xdr:row>
      <xdr:rowOff>61913</xdr:rowOff>
    </xdr:from>
    <xdr:to>
      <xdr:col>3</xdr:col>
      <xdr:colOff>4595222</xdr:colOff>
      <xdr:row>172</xdr:row>
      <xdr:rowOff>3309938</xdr:rowOff>
    </xdr:to>
    <xdr:pic>
      <xdr:nvPicPr>
        <xdr:cNvPr id="173" name="Picture 172" descr="Insight Picture 172"/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9377" y="407760488"/>
          <a:ext cx="2399120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1482079</xdr:colOff>
      <xdr:row>173</xdr:row>
      <xdr:rowOff>61913</xdr:rowOff>
    </xdr:from>
    <xdr:to>
      <xdr:col>3</xdr:col>
      <xdr:colOff>5309245</xdr:colOff>
      <xdr:row>173</xdr:row>
      <xdr:rowOff>2366963</xdr:rowOff>
    </xdr:to>
    <xdr:pic>
      <xdr:nvPicPr>
        <xdr:cNvPr id="174" name="Picture 173" descr="Insight Picture 173"/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5354" y="411132338"/>
          <a:ext cx="3827166" cy="2305050"/>
        </a:xfrm>
        <a:prstGeom prst="rect">
          <a:avLst/>
        </a:prstGeom>
      </xdr:spPr>
    </xdr:pic>
    <xdr:clientData/>
  </xdr:twoCellAnchor>
  <xdr:twoCellAnchor editAs="oneCell">
    <xdr:from>
      <xdr:col>3</xdr:col>
      <xdr:colOff>63552</xdr:colOff>
      <xdr:row>174</xdr:row>
      <xdr:rowOff>61913</xdr:rowOff>
    </xdr:from>
    <xdr:to>
      <xdr:col>3</xdr:col>
      <xdr:colOff>6727772</xdr:colOff>
      <xdr:row>174</xdr:row>
      <xdr:rowOff>2805113</xdr:rowOff>
    </xdr:to>
    <xdr:pic>
      <xdr:nvPicPr>
        <xdr:cNvPr id="175" name="Picture 174" descr="Insight Picture 174"/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6827" y="413561213"/>
          <a:ext cx="6664220" cy="2743200"/>
        </a:xfrm>
        <a:prstGeom prst="rect">
          <a:avLst/>
        </a:prstGeom>
      </xdr:spPr>
    </xdr:pic>
    <xdr:clientData/>
  </xdr:twoCellAnchor>
  <xdr:twoCellAnchor editAs="oneCell">
    <xdr:from>
      <xdr:col>3</xdr:col>
      <xdr:colOff>882300</xdr:colOff>
      <xdr:row>175</xdr:row>
      <xdr:rowOff>61913</xdr:rowOff>
    </xdr:from>
    <xdr:to>
      <xdr:col>3</xdr:col>
      <xdr:colOff>5909026</xdr:colOff>
      <xdr:row>175</xdr:row>
      <xdr:rowOff>3300413</xdr:rowOff>
    </xdr:to>
    <xdr:pic>
      <xdr:nvPicPr>
        <xdr:cNvPr id="176" name="Picture 175" descr="Insight Picture 175"/>
        <xdr:cNvPicPr>
          <a:picLocks noChangeAspect="1"/>
        </xdr:cNvPicPr>
      </xdr:nvPicPr>
      <xdr:blipFill>
        <a:blip xmlns:r="http://schemas.openxmlformats.org/officeDocument/2006/relationships" r:embed="rId1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5575" y="416428238"/>
          <a:ext cx="5026726" cy="3238500"/>
        </a:xfrm>
        <a:prstGeom prst="rect">
          <a:avLst/>
        </a:prstGeom>
      </xdr:spPr>
    </xdr:pic>
    <xdr:clientData/>
  </xdr:twoCellAnchor>
  <xdr:twoCellAnchor editAs="oneCell">
    <xdr:from>
      <xdr:col>3</xdr:col>
      <xdr:colOff>1339274</xdr:colOff>
      <xdr:row>176</xdr:row>
      <xdr:rowOff>61913</xdr:rowOff>
    </xdr:from>
    <xdr:to>
      <xdr:col>3</xdr:col>
      <xdr:colOff>5452050</xdr:colOff>
      <xdr:row>176</xdr:row>
      <xdr:rowOff>3309938</xdr:rowOff>
    </xdr:to>
    <xdr:pic>
      <xdr:nvPicPr>
        <xdr:cNvPr id="177" name="Picture 176" descr="Insight Picture 176"/>
        <xdr:cNvPicPr>
          <a:picLocks noChangeAspect="1"/>
        </xdr:cNvPicPr>
      </xdr:nvPicPr>
      <xdr:blipFill>
        <a:blip xmlns:r="http://schemas.openxmlformats.org/officeDocument/2006/relationships" r:embed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2549" y="419790563"/>
          <a:ext cx="411277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2143741</xdr:colOff>
      <xdr:row>177</xdr:row>
      <xdr:rowOff>61913</xdr:rowOff>
    </xdr:from>
    <xdr:to>
      <xdr:col>3</xdr:col>
      <xdr:colOff>4647584</xdr:colOff>
      <xdr:row>177</xdr:row>
      <xdr:rowOff>3309938</xdr:rowOff>
    </xdr:to>
    <xdr:pic>
      <xdr:nvPicPr>
        <xdr:cNvPr id="178" name="Picture 177" descr="Insight Picture 177"/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016" y="423162413"/>
          <a:ext cx="2503843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682373</xdr:colOff>
      <xdr:row>178</xdr:row>
      <xdr:rowOff>61913</xdr:rowOff>
    </xdr:from>
    <xdr:to>
      <xdr:col>3</xdr:col>
      <xdr:colOff>6108952</xdr:colOff>
      <xdr:row>178</xdr:row>
      <xdr:rowOff>3309938</xdr:rowOff>
    </xdr:to>
    <xdr:pic>
      <xdr:nvPicPr>
        <xdr:cNvPr id="179" name="Picture 178" descr="Insight Picture 178"/>
        <xdr:cNvPicPr>
          <a:picLocks noChangeAspect="1"/>
        </xdr:cNvPicPr>
      </xdr:nvPicPr>
      <xdr:blipFill>
        <a:blip xmlns:r="http://schemas.openxmlformats.org/officeDocument/2006/relationships" r:embed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25648" y="426534263"/>
          <a:ext cx="5426579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1729608</xdr:colOff>
      <xdr:row>179</xdr:row>
      <xdr:rowOff>61913</xdr:rowOff>
    </xdr:from>
    <xdr:to>
      <xdr:col>3</xdr:col>
      <xdr:colOff>5061718</xdr:colOff>
      <xdr:row>179</xdr:row>
      <xdr:rowOff>3309938</xdr:rowOff>
    </xdr:to>
    <xdr:pic>
      <xdr:nvPicPr>
        <xdr:cNvPr id="180" name="Picture 179" descr="Insight Picture 179"/>
        <xdr:cNvPicPr>
          <a:picLocks noChangeAspect="1"/>
        </xdr:cNvPicPr>
      </xdr:nvPicPr>
      <xdr:blipFill>
        <a:blip xmlns:r="http://schemas.openxmlformats.org/officeDocument/2006/relationships" r:embed="rId1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2883" y="429906113"/>
          <a:ext cx="3332110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2100900</xdr:colOff>
      <xdr:row>180</xdr:row>
      <xdr:rowOff>61913</xdr:rowOff>
    </xdr:from>
    <xdr:to>
      <xdr:col>3</xdr:col>
      <xdr:colOff>4690426</xdr:colOff>
      <xdr:row>180</xdr:row>
      <xdr:rowOff>3309938</xdr:rowOff>
    </xdr:to>
    <xdr:pic>
      <xdr:nvPicPr>
        <xdr:cNvPr id="181" name="Picture 180" descr="Insight Picture 180"/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4175" y="433277963"/>
          <a:ext cx="258952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2605477</xdr:colOff>
      <xdr:row>181</xdr:row>
      <xdr:rowOff>61913</xdr:rowOff>
    </xdr:from>
    <xdr:to>
      <xdr:col>3</xdr:col>
      <xdr:colOff>4185849</xdr:colOff>
      <xdr:row>181</xdr:row>
      <xdr:rowOff>2986088</xdr:rowOff>
    </xdr:to>
    <xdr:pic>
      <xdr:nvPicPr>
        <xdr:cNvPr id="182" name="Picture 181" descr="Insight Picture 181"/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752" y="436649813"/>
          <a:ext cx="1580372" cy="2924175"/>
        </a:xfrm>
        <a:prstGeom prst="rect">
          <a:avLst/>
        </a:prstGeom>
      </xdr:spPr>
    </xdr:pic>
    <xdr:clientData/>
  </xdr:twoCellAnchor>
  <xdr:twoCellAnchor editAs="oneCell">
    <xdr:from>
      <xdr:col>3</xdr:col>
      <xdr:colOff>1548722</xdr:colOff>
      <xdr:row>182</xdr:row>
      <xdr:rowOff>61913</xdr:rowOff>
    </xdr:from>
    <xdr:to>
      <xdr:col>3</xdr:col>
      <xdr:colOff>5242604</xdr:colOff>
      <xdr:row>182</xdr:row>
      <xdr:rowOff>3309938</xdr:rowOff>
    </xdr:to>
    <xdr:pic>
      <xdr:nvPicPr>
        <xdr:cNvPr id="183" name="Picture 182" descr="Insight Picture 182"/>
        <xdr:cNvPicPr>
          <a:picLocks noChangeAspect="1"/>
        </xdr:cNvPicPr>
      </xdr:nvPicPr>
      <xdr:blipFill>
        <a:blip xmlns:r="http://schemas.openxmlformats.org/officeDocument/2006/relationships" r:embed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1997" y="439697813"/>
          <a:ext cx="3693882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1429717</xdr:colOff>
      <xdr:row>183</xdr:row>
      <xdr:rowOff>61913</xdr:rowOff>
    </xdr:from>
    <xdr:to>
      <xdr:col>3</xdr:col>
      <xdr:colOff>5361607</xdr:colOff>
      <xdr:row>183</xdr:row>
      <xdr:rowOff>3309938</xdr:rowOff>
    </xdr:to>
    <xdr:pic>
      <xdr:nvPicPr>
        <xdr:cNvPr id="184" name="Picture 183" descr="Insight Picture 183"/>
        <xdr:cNvPicPr>
          <a:picLocks noChangeAspect="1"/>
        </xdr:cNvPicPr>
      </xdr:nvPicPr>
      <xdr:blipFill>
        <a:blip xmlns:r="http://schemas.openxmlformats.org/officeDocument/2006/relationships" r:embed="rId1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2992" y="443069663"/>
          <a:ext cx="3931890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1086986</xdr:colOff>
      <xdr:row>184</xdr:row>
      <xdr:rowOff>61913</xdr:rowOff>
    </xdr:from>
    <xdr:to>
      <xdr:col>3</xdr:col>
      <xdr:colOff>5704339</xdr:colOff>
      <xdr:row>184</xdr:row>
      <xdr:rowOff>3309938</xdr:rowOff>
    </xdr:to>
    <xdr:pic>
      <xdr:nvPicPr>
        <xdr:cNvPr id="185" name="Picture 184" descr="Insight Picture 184"/>
        <xdr:cNvPicPr>
          <a:picLocks noChangeAspect="1"/>
        </xdr:cNvPicPr>
      </xdr:nvPicPr>
      <xdr:blipFill>
        <a:blip xmlns:r="http://schemas.openxmlformats.org/officeDocument/2006/relationships" r:embed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0261" y="446441513"/>
          <a:ext cx="4617353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1715327</xdr:colOff>
      <xdr:row>185</xdr:row>
      <xdr:rowOff>61913</xdr:rowOff>
    </xdr:from>
    <xdr:to>
      <xdr:col>3</xdr:col>
      <xdr:colOff>5075998</xdr:colOff>
      <xdr:row>185</xdr:row>
      <xdr:rowOff>3309938</xdr:rowOff>
    </xdr:to>
    <xdr:pic>
      <xdr:nvPicPr>
        <xdr:cNvPr id="186" name="Picture 185" descr="Insight Picture 185"/>
        <xdr:cNvPicPr>
          <a:picLocks noChangeAspect="1"/>
        </xdr:cNvPicPr>
      </xdr:nvPicPr>
      <xdr:blipFill>
        <a:blip xmlns:r="http://schemas.openxmlformats.org/officeDocument/2006/relationships" r:embed="rId1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8602" y="449813363"/>
          <a:ext cx="3360671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1929534</xdr:colOff>
      <xdr:row>186</xdr:row>
      <xdr:rowOff>61913</xdr:rowOff>
    </xdr:from>
    <xdr:to>
      <xdr:col>3</xdr:col>
      <xdr:colOff>4861791</xdr:colOff>
      <xdr:row>186</xdr:row>
      <xdr:rowOff>2043113</xdr:rowOff>
    </xdr:to>
    <xdr:pic>
      <xdr:nvPicPr>
        <xdr:cNvPr id="187" name="Picture 186" descr="Insight Picture 186"/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2809" y="453185213"/>
          <a:ext cx="2932257" cy="1981200"/>
        </a:xfrm>
        <a:prstGeom prst="rect">
          <a:avLst/>
        </a:prstGeom>
      </xdr:spPr>
    </xdr:pic>
    <xdr:clientData/>
  </xdr:twoCellAnchor>
  <xdr:twoCellAnchor editAs="oneCell">
    <xdr:from>
      <xdr:col>3</xdr:col>
      <xdr:colOff>1920014</xdr:colOff>
      <xdr:row>187</xdr:row>
      <xdr:rowOff>61913</xdr:rowOff>
    </xdr:from>
    <xdr:to>
      <xdr:col>3</xdr:col>
      <xdr:colOff>4871311</xdr:colOff>
      <xdr:row>187</xdr:row>
      <xdr:rowOff>3309938</xdr:rowOff>
    </xdr:to>
    <xdr:pic>
      <xdr:nvPicPr>
        <xdr:cNvPr id="188" name="Picture 187" descr="Insight Picture 187"/>
        <xdr:cNvPicPr>
          <a:picLocks noChangeAspect="1"/>
        </xdr:cNvPicPr>
      </xdr:nvPicPr>
      <xdr:blipFill>
        <a:blip xmlns:r="http://schemas.openxmlformats.org/officeDocument/2006/relationships" r:embed="rId1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3289" y="455290238"/>
          <a:ext cx="295129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1724847</xdr:colOff>
      <xdr:row>188</xdr:row>
      <xdr:rowOff>61913</xdr:rowOff>
    </xdr:from>
    <xdr:to>
      <xdr:col>3</xdr:col>
      <xdr:colOff>5066477</xdr:colOff>
      <xdr:row>188</xdr:row>
      <xdr:rowOff>3309938</xdr:rowOff>
    </xdr:to>
    <xdr:pic>
      <xdr:nvPicPr>
        <xdr:cNvPr id="189" name="Picture 188" descr="Insight Picture 188"/>
        <xdr:cNvPicPr>
          <a:picLocks noChangeAspect="1"/>
        </xdr:cNvPicPr>
      </xdr:nvPicPr>
      <xdr:blipFill>
        <a:blip xmlns:r="http://schemas.openxmlformats.org/officeDocument/2006/relationships" r:embed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8122" y="458662088"/>
          <a:ext cx="3341630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1344035</xdr:colOff>
      <xdr:row>189</xdr:row>
      <xdr:rowOff>61913</xdr:rowOff>
    </xdr:from>
    <xdr:to>
      <xdr:col>3</xdr:col>
      <xdr:colOff>5447290</xdr:colOff>
      <xdr:row>189</xdr:row>
      <xdr:rowOff>3309938</xdr:rowOff>
    </xdr:to>
    <xdr:pic>
      <xdr:nvPicPr>
        <xdr:cNvPr id="190" name="Picture 189" descr="Insight Picture 189"/>
        <xdr:cNvPicPr>
          <a:picLocks noChangeAspect="1"/>
        </xdr:cNvPicPr>
      </xdr:nvPicPr>
      <xdr:blipFill>
        <a:blip xmlns:r="http://schemas.openxmlformats.org/officeDocument/2006/relationships" r:embed="rId1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7310" y="462033938"/>
          <a:ext cx="4103255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2264784</xdr:colOff>
      <xdr:row>190</xdr:row>
      <xdr:rowOff>61913</xdr:rowOff>
    </xdr:from>
    <xdr:to>
      <xdr:col>3</xdr:col>
      <xdr:colOff>4526541</xdr:colOff>
      <xdr:row>190</xdr:row>
      <xdr:rowOff>3309938</xdr:rowOff>
    </xdr:to>
    <xdr:pic>
      <xdr:nvPicPr>
        <xdr:cNvPr id="191" name="Picture 190" descr="Insight Picture 190"/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59" y="465405788"/>
          <a:ext cx="226175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2077099</xdr:colOff>
      <xdr:row>191</xdr:row>
      <xdr:rowOff>61913</xdr:rowOff>
    </xdr:from>
    <xdr:to>
      <xdr:col>3</xdr:col>
      <xdr:colOff>4714226</xdr:colOff>
      <xdr:row>191</xdr:row>
      <xdr:rowOff>3309938</xdr:rowOff>
    </xdr:to>
    <xdr:pic>
      <xdr:nvPicPr>
        <xdr:cNvPr id="192" name="Picture 191" descr="Insight Picture 191"/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0374" y="468777638"/>
          <a:ext cx="263712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1410677</xdr:colOff>
      <xdr:row>192</xdr:row>
      <xdr:rowOff>61913</xdr:rowOff>
    </xdr:from>
    <xdr:to>
      <xdr:col>3</xdr:col>
      <xdr:colOff>5380648</xdr:colOff>
      <xdr:row>192</xdr:row>
      <xdr:rowOff>3309938</xdr:rowOff>
    </xdr:to>
    <xdr:pic>
      <xdr:nvPicPr>
        <xdr:cNvPr id="193" name="Picture 192" descr="Insight Picture 192"/>
        <xdr:cNvPicPr>
          <a:picLocks noChangeAspect="1"/>
        </xdr:cNvPicPr>
      </xdr:nvPicPr>
      <xdr:blipFill>
        <a:blip xmlns:r="http://schemas.openxmlformats.org/officeDocument/2006/relationships" r:embed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52" y="472149488"/>
          <a:ext cx="3969971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2086619</xdr:colOff>
      <xdr:row>193</xdr:row>
      <xdr:rowOff>61913</xdr:rowOff>
    </xdr:from>
    <xdr:to>
      <xdr:col>3</xdr:col>
      <xdr:colOff>4704706</xdr:colOff>
      <xdr:row>193</xdr:row>
      <xdr:rowOff>2014538</xdr:rowOff>
    </xdr:to>
    <xdr:pic>
      <xdr:nvPicPr>
        <xdr:cNvPr id="194" name="Picture 193" descr="Insight Picture 193"/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894" y="475521338"/>
          <a:ext cx="2618087" cy="1952625"/>
        </a:xfrm>
        <a:prstGeom prst="rect">
          <a:avLst/>
        </a:prstGeom>
      </xdr:spPr>
    </xdr:pic>
    <xdr:clientData/>
  </xdr:twoCellAnchor>
  <xdr:twoCellAnchor editAs="oneCell">
    <xdr:from>
      <xdr:col>3</xdr:col>
      <xdr:colOff>1739128</xdr:colOff>
      <xdr:row>194</xdr:row>
      <xdr:rowOff>61913</xdr:rowOff>
    </xdr:from>
    <xdr:to>
      <xdr:col>3</xdr:col>
      <xdr:colOff>5052198</xdr:colOff>
      <xdr:row>194</xdr:row>
      <xdr:rowOff>2652713</xdr:rowOff>
    </xdr:to>
    <xdr:pic>
      <xdr:nvPicPr>
        <xdr:cNvPr id="195" name="Picture 194" descr="Insight Picture 194"/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403" y="477597788"/>
          <a:ext cx="3313070" cy="2590800"/>
        </a:xfrm>
        <a:prstGeom prst="rect">
          <a:avLst/>
        </a:prstGeom>
      </xdr:spPr>
    </xdr:pic>
    <xdr:clientData/>
  </xdr:twoCellAnchor>
  <xdr:twoCellAnchor editAs="oneCell">
    <xdr:from>
      <xdr:col>3</xdr:col>
      <xdr:colOff>2562635</xdr:colOff>
      <xdr:row>195</xdr:row>
      <xdr:rowOff>61913</xdr:rowOff>
    </xdr:from>
    <xdr:to>
      <xdr:col>3</xdr:col>
      <xdr:colOff>4228690</xdr:colOff>
      <xdr:row>195</xdr:row>
      <xdr:rowOff>3062288</xdr:rowOff>
    </xdr:to>
    <xdr:pic>
      <xdr:nvPicPr>
        <xdr:cNvPr id="196" name="Picture 195" descr="Insight Picture 195"/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910" y="480312413"/>
          <a:ext cx="1666055" cy="3000375"/>
        </a:xfrm>
        <a:prstGeom prst="rect">
          <a:avLst/>
        </a:prstGeom>
      </xdr:spPr>
    </xdr:pic>
    <xdr:clientData/>
  </xdr:twoCellAnchor>
  <xdr:twoCellAnchor editAs="oneCell">
    <xdr:from>
      <xdr:col>3</xdr:col>
      <xdr:colOff>2143741</xdr:colOff>
      <xdr:row>196</xdr:row>
      <xdr:rowOff>61913</xdr:rowOff>
    </xdr:from>
    <xdr:to>
      <xdr:col>3</xdr:col>
      <xdr:colOff>4647584</xdr:colOff>
      <xdr:row>196</xdr:row>
      <xdr:rowOff>2433638</xdr:rowOff>
    </xdr:to>
    <xdr:pic>
      <xdr:nvPicPr>
        <xdr:cNvPr id="197" name="Picture 196" descr="Insight Picture 196"/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016" y="483436613"/>
          <a:ext cx="2503843" cy="2371725"/>
        </a:xfrm>
        <a:prstGeom prst="rect">
          <a:avLst/>
        </a:prstGeom>
      </xdr:spPr>
    </xdr:pic>
    <xdr:clientData/>
  </xdr:twoCellAnchor>
  <xdr:twoCellAnchor editAs="oneCell">
    <xdr:from>
      <xdr:col>3</xdr:col>
      <xdr:colOff>2757801</xdr:colOff>
      <xdr:row>197</xdr:row>
      <xdr:rowOff>61913</xdr:rowOff>
    </xdr:from>
    <xdr:to>
      <xdr:col>3</xdr:col>
      <xdr:colOff>4033523</xdr:colOff>
      <xdr:row>197</xdr:row>
      <xdr:rowOff>2967038</xdr:rowOff>
    </xdr:to>
    <xdr:pic>
      <xdr:nvPicPr>
        <xdr:cNvPr id="198" name="Picture 197" descr="Insight Picture 197"/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1076" y="485932163"/>
          <a:ext cx="1275722" cy="2905125"/>
        </a:xfrm>
        <a:prstGeom prst="rect">
          <a:avLst/>
        </a:prstGeom>
      </xdr:spPr>
    </xdr:pic>
    <xdr:clientData/>
  </xdr:twoCellAnchor>
  <xdr:twoCellAnchor editAs="oneCell">
    <xdr:from>
      <xdr:col>3</xdr:col>
      <xdr:colOff>2581675</xdr:colOff>
      <xdr:row>198</xdr:row>
      <xdr:rowOff>61913</xdr:rowOff>
    </xdr:from>
    <xdr:to>
      <xdr:col>3</xdr:col>
      <xdr:colOff>4209649</xdr:colOff>
      <xdr:row>198</xdr:row>
      <xdr:rowOff>3309938</xdr:rowOff>
    </xdr:to>
    <xdr:pic>
      <xdr:nvPicPr>
        <xdr:cNvPr id="199" name="Picture 198" descr="Insight Picture 198"/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950" y="488961113"/>
          <a:ext cx="1627974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2224664</xdr:colOff>
      <xdr:row>199</xdr:row>
      <xdr:rowOff>61913</xdr:rowOff>
    </xdr:from>
    <xdr:to>
      <xdr:col>3</xdr:col>
      <xdr:colOff>4566661</xdr:colOff>
      <xdr:row>199</xdr:row>
      <xdr:rowOff>2671763</xdr:rowOff>
    </xdr:to>
    <xdr:pic>
      <xdr:nvPicPr>
        <xdr:cNvPr id="200" name="Picture 199" descr="Insight Picture 199"/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7939" y="492332963"/>
          <a:ext cx="2341997" cy="2609850"/>
        </a:xfrm>
        <a:prstGeom prst="rect">
          <a:avLst/>
        </a:prstGeom>
      </xdr:spPr>
    </xdr:pic>
    <xdr:clientData/>
  </xdr:twoCellAnchor>
  <xdr:twoCellAnchor editAs="oneCell">
    <xdr:from>
      <xdr:col>3</xdr:col>
      <xdr:colOff>2238944</xdr:colOff>
      <xdr:row>200</xdr:row>
      <xdr:rowOff>61913</xdr:rowOff>
    </xdr:from>
    <xdr:to>
      <xdr:col>3</xdr:col>
      <xdr:colOff>4552381</xdr:colOff>
      <xdr:row>200</xdr:row>
      <xdr:rowOff>2157413</xdr:rowOff>
    </xdr:to>
    <xdr:pic>
      <xdr:nvPicPr>
        <xdr:cNvPr id="201" name="Picture 200" descr="Insight Picture 200"/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2219" y="495066638"/>
          <a:ext cx="2313437" cy="2095500"/>
        </a:xfrm>
        <a:prstGeom prst="rect">
          <a:avLst/>
        </a:prstGeom>
      </xdr:spPr>
    </xdr:pic>
    <xdr:clientData/>
  </xdr:twoCellAnchor>
  <xdr:twoCellAnchor editAs="oneCell">
    <xdr:from>
      <xdr:col>3</xdr:col>
      <xdr:colOff>2162782</xdr:colOff>
      <xdr:row>201</xdr:row>
      <xdr:rowOff>61913</xdr:rowOff>
    </xdr:from>
    <xdr:to>
      <xdr:col>3</xdr:col>
      <xdr:colOff>4628544</xdr:colOff>
      <xdr:row>201</xdr:row>
      <xdr:rowOff>2014538</xdr:rowOff>
    </xdr:to>
    <xdr:pic>
      <xdr:nvPicPr>
        <xdr:cNvPr id="202" name="Picture 201" descr="Insight Picture 201"/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6057" y="497285963"/>
          <a:ext cx="2465762" cy="1952625"/>
        </a:xfrm>
        <a:prstGeom prst="rect">
          <a:avLst/>
        </a:prstGeom>
      </xdr:spPr>
    </xdr:pic>
    <xdr:clientData/>
  </xdr:twoCellAnchor>
  <xdr:twoCellAnchor editAs="oneCell">
    <xdr:from>
      <xdr:col>3</xdr:col>
      <xdr:colOff>2381749</xdr:colOff>
      <xdr:row>202</xdr:row>
      <xdr:rowOff>61913</xdr:rowOff>
    </xdr:from>
    <xdr:to>
      <xdr:col>3</xdr:col>
      <xdr:colOff>4409576</xdr:colOff>
      <xdr:row>202</xdr:row>
      <xdr:rowOff>3033713</xdr:rowOff>
    </xdr:to>
    <xdr:pic>
      <xdr:nvPicPr>
        <xdr:cNvPr id="203" name="Picture 202" descr="Insight Picture 202"/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5024" y="499362413"/>
          <a:ext cx="2027827" cy="2971800"/>
        </a:xfrm>
        <a:prstGeom prst="rect">
          <a:avLst/>
        </a:prstGeom>
      </xdr:spPr>
    </xdr:pic>
    <xdr:clientData/>
  </xdr:twoCellAnchor>
  <xdr:twoCellAnchor editAs="oneCell">
    <xdr:from>
      <xdr:col>3</xdr:col>
      <xdr:colOff>2253224</xdr:colOff>
      <xdr:row>203</xdr:row>
      <xdr:rowOff>61913</xdr:rowOff>
    </xdr:from>
    <xdr:to>
      <xdr:col>3</xdr:col>
      <xdr:colOff>4538100</xdr:colOff>
      <xdr:row>203</xdr:row>
      <xdr:rowOff>1890713</xdr:rowOff>
    </xdr:to>
    <xdr:pic>
      <xdr:nvPicPr>
        <xdr:cNvPr id="204" name="Picture 203" descr="Insight Picture 203"/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6499" y="502458038"/>
          <a:ext cx="2284876" cy="1828800"/>
        </a:xfrm>
        <a:prstGeom prst="rect">
          <a:avLst/>
        </a:prstGeom>
      </xdr:spPr>
    </xdr:pic>
    <xdr:clientData/>
  </xdr:twoCellAnchor>
  <xdr:twoCellAnchor editAs="oneCell">
    <xdr:from>
      <xdr:col>3</xdr:col>
      <xdr:colOff>2238944</xdr:colOff>
      <xdr:row>204</xdr:row>
      <xdr:rowOff>61913</xdr:rowOff>
    </xdr:from>
    <xdr:to>
      <xdr:col>3</xdr:col>
      <xdr:colOff>4552381</xdr:colOff>
      <xdr:row>204</xdr:row>
      <xdr:rowOff>2147888</xdr:rowOff>
    </xdr:to>
    <xdr:pic>
      <xdr:nvPicPr>
        <xdr:cNvPr id="205" name="Picture 204" descr="Insight Picture 204"/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2219" y="504410663"/>
          <a:ext cx="2313437" cy="2085975"/>
        </a:xfrm>
        <a:prstGeom prst="rect">
          <a:avLst/>
        </a:prstGeom>
      </xdr:spPr>
    </xdr:pic>
    <xdr:clientData/>
  </xdr:twoCellAnchor>
  <xdr:twoCellAnchor editAs="oneCell">
    <xdr:from>
      <xdr:col>3</xdr:col>
      <xdr:colOff>1781969</xdr:colOff>
      <xdr:row>205</xdr:row>
      <xdr:rowOff>61913</xdr:rowOff>
    </xdr:from>
    <xdr:to>
      <xdr:col>3</xdr:col>
      <xdr:colOff>5009356</xdr:colOff>
      <xdr:row>205</xdr:row>
      <xdr:rowOff>2328863</xdr:rowOff>
    </xdr:to>
    <xdr:pic>
      <xdr:nvPicPr>
        <xdr:cNvPr id="206" name="Picture 205" descr="Insight Picture 205"/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25244" y="506620463"/>
          <a:ext cx="3227387" cy="2266950"/>
        </a:xfrm>
        <a:prstGeom prst="rect">
          <a:avLst/>
        </a:prstGeom>
      </xdr:spPr>
    </xdr:pic>
    <xdr:clientData/>
  </xdr:twoCellAnchor>
  <xdr:twoCellAnchor editAs="oneCell">
    <xdr:from>
      <xdr:col>3</xdr:col>
      <xdr:colOff>2224664</xdr:colOff>
      <xdr:row>206</xdr:row>
      <xdr:rowOff>61913</xdr:rowOff>
    </xdr:from>
    <xdr:to>
      <xdr:col>3</xdr:col>
      <xdr:colOff>4566661</xdr:colOff>
      <xdr:row>206</xdr:row>
      <xdr:rowOff>1890713</xdr:rowOff>
    </xdr:to>
    <xdr:pic>
      <xdr:nvPicPr>
        <xdr:cNvPr id="207" name="Picture 206" descr="Insight Picture 206"/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7939" y="509011238"/>
          <a:ext cx="2341997" cy="182880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2476952</xdr:colOff>
      <xdr:row>207</xdr:row>
      <xdr:rowOff>61913</xdr:rowOff>
    </xdr:from>
    <xdr:to>
      <xdr:col>3</xdr:col>
      <xdr:colOff>4314373</xdr:colOff>
      <xdr:row>207</xdr:row>
      <xdr:rowOff>2443163</xdr:rowOff>
    </xdr:to>
    <xdr:pic>
      <xdr:nvPicPr>
        <xdr:cNvPr id="208" name="Picture 207" descr="Insight Picture 207"/>
        <xdr:cNvPicPr>
          <a:picLocks noChangeAspect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0227" y="510963863"/>
          <a:ext cx="1837421" cy="2381250"/>
        </a:xfrm>
        <a:prstGeom prst="rect">
          <a:avLst/>
        </a:prstGeom>
      </xdr:spPr>
    </xdr:pic>
    <xdr:clientData/>
  </xdr:twoCellAnchor>
  <xdr:twoCellAnchor editAs="oneCell">
    <xdr:from>
      <xdr:col>3</xdr:col>
      <xdr:colOff>2405550</xdr:colOff>
      <xdr:row>208</xdr:row>
      <xdr:rowOff>61913</xdr:rowOff>
    </xdr:from>
    <xdr:to>
      <xdr:col>3</xdr:col>
      <xdr:colOff>4385775</xdr:colOff>
      <xdr:row>208</xdr:row>
      <xdr:rowOff>1395413</xdr:rowOff>
    </xdr:to>
    <xdr:pic>
      <xdr:nvPicPr>
        <xdr:cNvPr id="209" name="Picture 208" descr="Insight Picture 208"/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825" y="513468938"/>
          <a:ext cx="1980225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2353188</xdr:colOff>
      <xdr:row>209</xdr:row>
      <xdr:rowOff>61913</xdr:rowOff>
    </xdr:from>
    <xdr:to>
      <xdr:col>3</xdr:col>
      <xdr:colOff>4438137</xdr:colOff>
      <xdr:row>209</xdr:row>
      <xdr:rowOff>2967038</xdr:rowOff>
    </xdr:to>
    <xdr:pic>
      <xdr:nvPicPr>
        <xdr:cNvPr id="210" name="Picture 209" descr="Insight Picture 209"/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6463" y="514926263"/>
          <a:ext cx="2084949" cy="2905125"/>
        </a:xfrm>
        <a:prstGeom prst="rect">
          <a:avLst/>
        </a:prstGeom>
      </xdr:spPr>
    </xdr:pic>
    <xdr:clientData/>
  </xdr:twoCellAnchor>
  <xdr:twoCellAnchor editAs="oneCell">
    <xdr:from>
      <xdr:col>3</xdr:col>
      <xdr:colOff>1891452</xdr:colOff>
      <xdr:row>210</xdr:row>
      <xdr:rowOff>61913</xdr:rowOff>
    </xdr:from>
    <xdr:to>
      <xdr:col>3</xdr:col>
      <xdr:colOff>4899872</xdr:colOff>
      <xdr:row>210</xdr:row>
      <xdr:rowOff>2967038</xdr:rowOff>
    </xdr:to>
    <xdr:pic>
      <xdr:nvPicPr>
        <xdr:cNvPr id="211" name="Picture 210" descr="Insight Picture 210"/>
        <xdr:cNvPicPr>
          <a:picLocks noChangeAspect="1"/>
        </xdr:cNvPicPr>
      </xdr:nvPicPr>
      <xdr:blipFill>
        <a:blip xmlns:r="http://schemas.openxmlformats.org/officeDocument/2006/relationships" r:embed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4727" y="517955213"/>
          <a:ext cx="3008420" cy="2905125"/>
        </a:xfrm>
        <a:prstGeom prst="rect">
          <a:avLst/>
        </a:prstGeom>
      </xdr:spPr>
    </xdr:pic>
    <xdr:clientData/>
  </xdr:twoCellAnchor>
  <xdr:twoCellAnchor editAs="oneCell">
    <xdr:from>
      <xdr:col>3</xdr:col>
      <xdr:colOff>2786362</xdr:colOff>
      <xdr:row>211</xdr:row>
      <xdr:rowOff>61913</xdr:rowOff>
    </xdr:from>
    <xdr:to>
      <xdr:col>3</xdr:col>
      <xdr:colOff>4004962</xdr:colOff>
      <xdr:row>211</xdr:row>
      <xdr:rowOff>3309938</xdr:rowOff>
    </xdr:to>
    <xdr:pic>
      <xdr:nvPicPr>
        <xdr:cNvPr id="212" name="Picture 211" descr="Insight Picture 211"/>
        <xdr:cNvPicPr>
          <a:picLocks noChangeAspect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637" y="520984163"/>
          <a:ext cx="1218600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2814923</xdr:colOff>
      <xdr:row>212</xdr:row>
      <xdr:rowOff>61913</xdr:rowOff>
    </xdr:from>
    <xdr:to>
      <xdr:col>3</xdr:col>
      <xdr:colOff>3976402</xdr:colOff>
      <xdr:row>212</xdr:row>
      <xdr:rowOff>3224213</xdr:rowOff>
    </xdr:to>
    <xdr:pic>
      <xdr:nvPicPr>
        <xdr:cNvPr id="213" name="Picture 212" descr="Insight Picture 212"/>
        <xdr:cNvPicPr>
          <a:picLocks noChangeAspect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8198" y="524356013"/>
          <a:ext cx="1161479" cy="3162300"/>
        </a:xfrm>
        <a:prstGeom prst="rect">
          <a:avLst/>
        </a:prstGeom>
      </xdr:spPr>
    </xdr:pic>
    <xdr:clientData/>
  </xdr:twoCellAnchor>
  <xdr:twoCellAnchor editAs="oneCell">
    <xdr:from>
      <xdr:col>3</xdr:col>
      <xdr:colOff>2710200</xdr:colOff>
      <xdr:row>213</xdr:row>
      <xdr:rowOff>61913</xdr:rowOff>
    </xdr:from>
    <xdr:to>
      <xdr:col>3</xdr:col>
      <xdr:colOff>4081125</xdr:colOff>
      <xdr:row>213</xdr:row>
      <xdr:rowOff>1795463</xdr:rowOff>
    </xdr:to>
    <xdr:pic>
      <xdr:nvPicPr>
        <xdr:cNvPr id="214" name="Picture 213" descr="Insight Picture 213"/>
        <xdr:cNvPicPr>
          <a:picLocks noChangeAspect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3475" y="527642138"/>
          <a:ext cx="1370925" cy="1733550"/>
        </a:xfrm>
        <a:prstGeom prst="rect">
          <a:avLst/>
        </a:prstGeom>
      </xdr:spPr>
    </xdr:pic>
    <xdr:clientData/>
  </xdr:twoCellAnchor>
  <xdr:twoCellAnchor editAs="oneCell">
    <xdr:from>
      <xdr:col>3</xdr:col>
      <xdr:colOff>2048538</xdr:colOff>
      <xdr:row>214</xdr:row>
      <xdr:rowOff>61913</xdr:rowOff>
    </xdr:from>
    <xdr:to>
      <xdr:col>3</xdr:col>
      <xdr:colOff>4742787</xdr:colOff>
      <xdr:row>214</xdr:row>
      <xdr:rowOff>2814638</xdr:rowOff>
    </xdr:to>
    <xdr:pic>
      <xdr:nvPicPr>
        <xdr:cNvPr id="215" name="Picture 214" descr="Insight Picture 214"/>
        <xdr:cNvPicPr>
          <a:picLocks noChangeAspect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813" y="529499513"/>
          <a:ext cx="2694249" cy="2752725"/>
        </a:xfrm>
        <a:prstGeom prst="rect">
          <a:avLst/>
        </a:prstGeom>
      </xdr:spPr>
    </xdr:pic>
    <xdr:clientData/>
  </xdr:twoCellAnchor>
  <xdr:twoCellAnchor editAs="oneCell">
    <xdr:from>
      <xdr:col>3</xdr:col>
      <xdr:colOff>2034258</xdr:colOff>
      <xdr:row>215</xdr:row>
      <xdr:rowOff>61913</xdr:rowOff>
    </xdr:from>
    <xdr:to>
      <xdr:col>3</xdr:col>
      <xdr:colOff>4757068</xdr:colOff>
      <xdr:row>215</xdr:row>
      <xdr:rowOff>2195513</xdr:rowOff>
    </xdr:to>
    <xdr:pic>
      <xdr:nvPicPr>
        <xdr:cNvPr id="216" name="Picture 215" descr="Insight Picture 215"/>
        <xdr:cNvPicPr>
          <a:picLocks noChangeAspect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7533" y="532376063"/>
          <a:ext cx="2722810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2700679</xdr:colOff>
      <xdr:row>216</xdr:row>
      <xdr:rowOff>61913</xdr:rowOff>
    </xdr:from>
    <xdr:to>
      <xdr:col>3</xdr:col>
      <xdr:colOff>4090645</xdr:colOff>
      <xdr:row>216</xdr:row>
      <xdr:rowOff>2281238</xdr:rowOff>
    </xdr:to>
    <xdr:pic>
      <xdr:nvPicPr>
        <xdr:cNvPr id="217" name="Picture 216" descr="Insight Picture 216"/>
        <xdr:cNvPicPr>
          <a:picLocks noChangeAspect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3954" y="534633488"/>
          <a:ext cx="1389966" cy="2219325"/>
        </a:xfrm>
        <a:prstGeom prst="rect">
          <a:avLst/>
        </a:prstGeom>
      </xdr:spPr>
    </xdr:pic>
    <xdr:clientData/>
  </xdr:twoCellAnchor>
  <xdr:twoCellAnchor editAs="oneCell">
    <xdr:from>
      <xdr:col>3</xdr:col>
      <xdr:colOff>2053298</xdr:colOff>
      <xdr:row>217</xdr:row>
      <xdr:rowOff>61913</xdr:rowOff>
    </xdr:from>
    <xdr:to>
      <xdr:col>3</xdr:col>
      <xdr:colOff>4738027</xdr:colOff>
      <xdr:row>217</xdr:row>
      <xdr:rowOff>2833688</xdr:rowOff>
    </xdr:to>
    <xdr:pic>
      <xdr:nvPicPr>
        <xdr:cNvPr id="218" name="Picture 217" descr="Insight Picture 217"/>
        <xdr:cNvPicPr>
          <a:picLocks noChangeAspect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6573" y="536976638"/>
          <a:ext cx="2684729" cy="2771775"/>
        </a:xfrm>
        <a:prstGeom prst="rect">
          <a:avLst/>
        </a:prstGeom>
      </xdr:spPr>
    </xdr:pic>
    <xdr:clientData/>
  </xdr:twoCellAnchor>
  <xdr:twoCellAnchor editAs="oneCell">
    <xdr:from>
      <xdr:col>3</xdr:col>
      <xdr:colOff>1943815</xdr:colOff>
      <xdr:row>218</xdr:row>
      <xdr:rowOff>61913</xdr:rowOff>
    </xdr:from>
    <xdr:to>
      <xdr:col>3</xdr:col>
      <xdr:colOff>4847511</xdr:colOff>
      <xdr:row>218</xdr:row>
      <xdr:rowOff>3309938</xdr:rowOff>
    </xdr:to>
    <xdr:pic>
      <xdr:nvPicPr>
        <xdr:cNvPr id="219" name="Picture 218" descr="Insight Picture 218"/>
        <xdr:cNvPicPr>
          <a:picLocks noChangeAspect="1"/>
        </xdr:cNvPicPr>
      </xdr:nvPicPr>
      <xdr:blipFill>
        <a:blip xmlns:r="http://schemas.openxmlformats.org/officeDocument/2006/relationships" r:embed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7090" y="539872238"/>
          <a:ext cx="290369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163516</xdr:colOff>
      <xdr:row>219</xdr:row>
      <xdr:rowOff>61913</xdr:rowOff>
    </xdr:from>
    <xdr:to>
      <xdr:col>3</xdr:col>
      <xdr:colOff>6627810</xdr:colOff>
      <xdr:row>219</xdr:row>
      <xdr:rowOff>2443163</xdr:rowOff>
    </xdr:to>
    <xdr:pic>
      <xdr:nvPicPr>
        <xdr:cNvPr id="220" name="Picture 219" descr="Insight Picture 219"/>
        <xdr:cNvPicPr>
          <a:picLocks noChangeAspect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6791" y="543244088"/>
          <a:ext cx="6464294" cy="2381250"/>
        </a:xfrm>
        <a:prstGeom prst="rect">
          <a:avLst/>
        </a:prstGeom>
      </xdr:spPr>
    </xdr:pic>
    <xdr:clientData/>
  </xdr:twoCellAnchor>
  <xdr:twoCellAnchor editAs="oneCell">
    <xdr:from>
      <xdr:col>3</xdr:col>
      <xdr:colOff>1639164</xdr:colOff>
      <xdr:row>220</xdr:row>
      <xdr:rowOff>61913</xdr:rowOff>
    </xdr:from>
    <xdr:to>
      <xdr:col>3</xdr:col>
      <xdr:colOff>5152160</xdr:colOff>
      <xdr:row>220</xdr:row>
      <xdr:rowOff>2976563</xdr:rowOff>
    </xdr:to>
    <xdr:pic>
      <xdr:nvPicPr>
        <xdr:cNvPr id="221" name="Picture 220" descr="Insight Picture 220"/>
        <xdr:cNvPicPr>
          <a:picLocks noChangeAspect="1"/>
        </xdr:cNvPicPr>
      </xdr:nvPicPr>
      <xdr:blipFill>
        <a:blip xmlns:r="http://schemas.openxmlformats.org/officeDocument/2006/relationships" r:embed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2439" y="545749163"/>
          <a:ext cx="3512996" cy="2914650"/>
        </a:xfrm>
        <a:prstGeom prst="rect">
          <a:avLst/>
        </a:prstGeom>
      </xdr:spPr>
    </xdr:pic>
    <xdr:clientData/>
  </xdr:twoCellAnchor>
  <xdr:twoCellAnchor editAs="oneCell">
    <xdr:from>
      <xdr:col>3</xdr:col>
      <xdr:colOff>1848612</xdr:colOff>
      <xdr:row>221</xdr:row>
      <xdr:rowOff>61913</xdr:rowOff>
    </xdr:from>
    <xdr:to>
      <xdr:col>3</xdr:col>
      <xdr:colOff>4942714</xdr:colOff>
      <xdr:row>221</xdr:row>
      <xdr:rowOff>1976438</xdr:rowOff>
    </xdr:to>
    <xdr:pic>
      <xdr:nvPicPr>
        <xdr:cNvPr id="222" name="Picture 221" descr="Insight Picture 221"/>
        <xdr:cNvPicPr>
          <a:picLocks noChangeAspect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887" y="548787638"/>
          <a:ext cx="3094102" cy="1914525"/>
        </a:xfrm>
        <a:prstGeom prst="rect">
          <a:avLst/>
        </a:prstGeom>
      </xdr:spPr>
    </xdr:pic>
    <xdr:clientData/>
  </xdr:twoCellAnchor>
  <xdr:twoCellAnchor editAs="oneCell">
    <xdr:from>
      <xdr:col>3</xdr:col>
      <xdr:colOff>2781602</xdr:colOff>
      <xdr:row>222</xdr:row>
      <xdr:rowOff>61913</xdr:rowOff>
    </xdr:from>
    <xdr:to>
      <xdr:col>3</xdr:col>
      <xdr:colOff>4009723</xdr:colOff>
      <xdr:row>222</xdr:row>
      <xdr:rowOff>3309938</xdr:rowOff>
    </xdr:to>
    <xdr:pic>
      <xdr:nvPicPr>
        <xdr:cNvPr id="223" name="Picture 222" descr="Insight Picture 222"/>
        <xdr:cNvPicPr>
          <a:picLocks noChangeAspect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877" y="550825988"/>
          <a:ext cx="1228121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2224664</xdr:colOff>
      <xdr:row>223</xdr:row>
      <xdr:rowOff>61913</xdr:rowOff>
    </xdr:from>
    <xdr:to>
      <xdr:col>3</xdr:col>
      <xdr:colOff>4566661</xdr:colOff>
      <xdr:row>223</xdr:row>
      <xdr:rowOff>3309938</xdr:rowOff>
    </xdr:to>
    <xdr:pic>
      <xdr:nvPicPr>
        <xdr:cNvPr id="224" name="Picture 223" descr="Insight Picture 223"/>
        <xdr:cNvPicPr>
          <a:picLocks noChangeAspect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7939" y="554197838"/>
          <a:ext cx="234199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411044</xdr:colOff>
      <xdr:row>224</xdr:row>
      <xdr:rowOff>61913</xdr:rowOff>
    </xdr:from>
    <xdr:to>
      <xdr:col>3</xdr:col>
      <xdr:colOff>6380281</xdr:colOff>
      <xdr:row>224</xdr:row>
      <xdr:rowOff>2005013</xdr:rowOff>
    </xdr:to>
    <xdr:pic>
      <xdr:nvPicPr>
        <xdr:cNvPr id="225" name="Picture 224" descr="Insight Picture 224"/>
        <xdr:cNvPicPr>
          <a:picLocks noChangeAspect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4319" y="557569688"/>
          <a:ext cx="5969237" cy="19431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1101267</xdr:colOff>
      <xdr:row>225</xdr:row>
      <xdr:rowOff>61913</xdr:rowOff>
    </xdr:from>
    <xdr:to>
      <xdr:col>3</xdr:col>
      <xdr:colOff>5690059</xdr:colOff>
      <xdr:row>225</xdr:row>
      <xdr:rowOff>2605088</xdr:rowOff>
    </xdr:to>
    <xdr:pic>
      <xdr:nvPicPr>
        <xdr:cNvPr id="226" name="Picture 225" descr="Insight Picture 225"/>
        <xdr:cNvPicPr>
          <a:picLocks noChangeAspect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4542" y="559636613"/>
          <a:ext cx="4588792" cy="2543175"/>
        </a:xfrm>
        <a:prstGeom prst="rect">
          <a:avLst/>
        </a:prstGeom>
      </xdr:spPr>
    </xdr:pic>
    <xdr:clientData/>
  </xdr:twoCellAnchor>
  <xdr:twoCellAnchor editAs="oneCell">
    <xdr:from>
      <xdr:col>3</xdr:col>
      <xdr:colOff>2781602</xdr:colOff>
      <xdr:row>226</xdr:row>
      <xdr:rowOff>61913</xdr:rowOff>
    </xdr:from>
    <xdr:to>
      <xdr:col>3</xdr:col>
      <xdr:colOff>4009723</xdr:colOff>
      <xdr:row>226</xdr:row>
      <xdr:rowOff>3309938</xdr:rowOff>
    </xdr:to>
    <xdr:pic>
      <xdr:nvPicPr>
        <xdr:cNvPr id="227" name="Picture 226" descr="Insight Picture 226"/>
        <xdr:cNvPicPr>
          <a:picLocks noChangeAspect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877" y="562303613"/>
          <a:ext cx="1228121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1910493</xdr:colOff>
      <xdr:row>227</xdr:row>
      <xdr:rowOff>61913</xdr:rowOff>
    </xdr:from>
    <xdr:to>
      <xdr:col>3</xdr:col>
      <xdr:colOff>4880831</xdr:colOff>
      <xdr:row>227</xdr:row>
      <xdr:rowOff>1966913</xdr:rowOff>
    </xdr:to>
    <xdr:pic>
      <xdr:nvPicPr>
        <xdr:cNvPr id="228" name="Picture 227" descr="Insight Picture 227"/>
        <xdr:cNvPicPr>
          <a:picLocks noChangeAspect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3768" y="565675463"/>
          <a:ext cx="2970338" cy="1905000"/>
        </a:xfrm>
        <a:prstGeom prst="rect">
          <a:avLst/>
        </a:prstGeom>
      </xdr:spPr>
    </xdr:pic>
    <xdr:clientData/>
  </xdr:twoCellAnchor>
  <xdr:twoCellAnchor editAs="oneCell">
    <xdr:from>
      <xdr:col>3</xdr:col>
      <xdr:colOff>2119940</xdr:colOff>
      <xdr:row>228</xdr:row>
      <xdr:rowOff>61913</xdr:rowOff>
    </xdr:from>
    <xdr:to>
      <xdr:col>3</xdr:col>
      <xdr:colOff>4671385</xdr:colOff>
      <xdr:row>228</xdr:row>
      <xdr:rowOff>2671763</xdr:rowOff>
    </xdr:to>
    <xdr:pic>
      <xdr:nvPicPr>
        <xdr:cNvPr id="229" name="Picture 228" descr="Insight Picture 228"/>
        <xdr:cNvPicPr>
          <a:picLocks noChangeAspect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215" y="567704288"/>
          <a:ext cx="2551445" cy="2609850"/>
        </a:xfrm>
        <a:prstGeom prst="rect">
          <a:avLst/>
        </a:prstGeom>
      </xdr:spPr>
    </xdr:pic>
    <xdr:clientData/>
  </xdr:twoCellAnchor>
  <xdr:twoCellAnchor editAs="oneCell">
    <xdr:from>
      <xdr:col>3</xdr:col>
      <xdr:colOff>2229424</xdr:colOff>
      <xdr:row>229</xdr:row>
      <xdr:rowOff>61913</xdr:rowOff>
    </xdr:from>
    <xdr:to>
      <xdr:col>3</xdr:col>
      <xdr:colOff>4561901</xdr:colOff>
      <xdr:row>229</xdr:row>
      <xdr:rowOff>2805113</xdr:rowOff>
    </xdr:to>
    <xdr:pic>
      <xdr:nvPicPr>
        <xdr:cNvPr id="230" name="Picture 229" descr="Insight Picture 229"/>
        <xdr:cNvPicPr>
          <a:picLocks noChangeAspect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699" y="570437963"/>
          <a:ext cx="2332477" cy="2743200"/>
        </a:xfrm>
        <a:prstGeom prst="rect">
          <a:avLst/>
        </a:prstGeom>
      </xdr:spPr>
    </xdr:pic>
    <xdr:clientData/>
  </xdr:twoCellAnchor>
  <xdr:twoCellAnchor editAs="oneCell">
    <xdr:from>
      <xdr:col>3</xdr:col>
      <xdr:colOff>2110420</xdr:colOff>
      <xdr:row>230</xdr:row>
      <xdr:rowOff>61913</xdr:rowOff>
    </xdr:from>
    <xdr:to>
      <xdr:col>3</xdr:col>
      <xdr:colOff>4680905</xdr:colOff>
      <xdr:row>230</xdr:row>
      <xdr:rowOff>3290888</xdr:rowOff>
    </xdr:to>
    <xdr:pic>
      <xdr:nvPicPr>
        <xdr:cNvPr id="231" name="Picture 230" descr="Insight Picture 230"/>
        <xdr:cNvPicPr>
          <a:picLocks noChangeAspect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695" y="573304988"/>
          <a:ext cx="2570485" cy="3228975"/>
        </a:xfrm>
        <a:prstGeom prst="rect">
          <a:avLst/>
        </a:prstGeom>
      </xdr:spPr>
    </xdr:pic>
    <xdr:clientData/>
  </xdr:twoCellAnchor>
  <xdr:twoCellAnchor editAs="oneCell">
    <xdr:from>
      <xdr:col>3</xdr:col>
      <xdr:colOff>2434110</xdr:colOff>
      <xdr:row>231</xdr:row>
      <xdr:rowOff>61913</xdr:rowOff>
    </xdr:from>
    <xdr:to>
      <xdr:col>3</xdr:col>
      <xdr:colOff>4357214</xdr:colOff>
      <xdr:row>231</xdr:row>
      <xdr:rowOff>2776538</xdr:rowOff>
    </xdr:to>
    <xdr:pic>
      <xdr:nvPicPr>
        <xdr:cNvPr id="232" name="Picture 231" descr="Insight Picture 231"/>
        <xdr:cNvPicPr>
          <a:picLocks noChangeAspect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7385" y="576657788"/>
          <a:ext cx="1923104" cy="2714625"/>
        </a:xfrm>
        <a:prstGeom prst="rect">
          <a:avLst/>
        </a:prstGeom>
      </xdr:spPr>
    </xdr:pic>
    <xdr:clientData/>
  </xdr:twoCellAnchor>
  <xdr:twoCellAnchor editAs="oneCell">
    <xdr:from>
      <xdr:col>3</xdr:col>
      <xdr:colOff>2386509</xdr:colOff>
      <xdr:row>232</xdr:row>
      <xdr:rowOff>61913</xdr:rowOff>
    </xdr:from>
    <xdr:to>
      <xdr:col>3</xdr:col>
      <xdr:colOff>4404815</xdr:colOff>
      <xdr:row>232</xdr:row>
      <xdr:rowOff>2433638</xdr:rowOff>
    </xdr:to>
    <xdr:pic>
      <xdr:nvPicPr>
        <xdr:cNvPr id="233" name="Picture 232" descr="Insight Picture 232"/>
        <xdr:cNvPicPr>
          <a:picLocks noChangeAspect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9784" y="579496238"/>
          <a:ext cx="2018306" cy="2371725"/>
        </a:xfrm>
        <a:prstGeom prst="rect">
          <a:avLst/>
        </a:prstGeom>
      </xdr:spPr>
    </xdr:pic>
    <xdr:clientData/>
  </xdr:twoCellAnchor>
  <xdr:twoCellAnchor editAs="oneCell">
    <xdr:from>
      <xdr:col>3</xdr:col>
      <xdr:colOff>1981896</xdr:colOff>
      <xdr:row>233</xdr:row>
      <xdr:rowOff>61913</xdr:rowOff>
    </xdr:from>
    <xdr:to>
      <xdr:col>3</xdr:col>
      <xdr:colOff>4809429</xdr:colOff>
      <xdr:row>233</xdr:row>
      <xdr:rowOff>3119438</xdr:rowOff>
    </xdr:to>
    <xdr:pic>
      <xdr:nvPicPr>
        <xdr:cNvPr id="234" name="Picture 233" descr="Insight Picture 233"/>
        <xdr:cNvPicPr>
          <a:picLocks noChangeAspect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5171" y="581991788"/>
          <a:ext cx="2827533" cy="3057525"/>
        </a:xfrm>
        <a:prstGeom prst="rect">
          <a:avLst/>
        </a:prstGeom>
      </xdr:spPr>
    </xdr:pic>
    <xdr:clientData/>
  </xdr:twoCellAnchor>
  <xdr:twoCellAnchor editAs="oneCell">
    <xdr:from>
      <xdr:col>3</xdr:col>
      <xdr:colOff>2386509</xdr:colOff>
      <xdr:row>234</xdr:row>
      <xdr:rowOff>61913</xdr:rowOff>
    </xdr:from>
    <xdr:to>
      <xdr:col>3</xdr:col>
      <xdr:colOff>4404815</xdr:colOff>
      <xdr:row>234</xdr:row>
      <xdr:rowOff>2433638</xdr:rowOff>
    </xdr:to>
    <xdr:pic>
      <xdr:nvPicPr>
        <xdr:cNvPr id="235" name="Picture 234" descr="Insight Picture 234"/>
        <xdr:cNvPicPr>
          <a:picLocks noChangeAspect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9784" y="585173138"/>
          <a:ext cx="2018306" cy="2371725"/>
        </a:xfrm>
        <a:prstGeom prst="rect">
          <a:avLst/>
        </a:prstGeom>
      </xdr:spPr>
    </xdr:pic>
    <xdr:clientData/>
  </xdr:twoCellAnchor>
  <xdr:twoCellAnchor editAs="oneCell">
    <xdr:from>
      <xdr:col>3</xdr:col>
      <xdr:colOff>2367469</xdr:colOff>
      <xdr:row>235</xdr:row>
      <xdr:rowOff>61913</xdr:rowOff>
    </xdr:from>
    <xdr:to>
      <xdr:col>3</xdr:col>
      <xdr:colOff>4423857</xdr:colOff>
      <xdr:row>235</xdr:row>
      <xdr:rowOff>2528888</xdr:rowOff>
    </xdr:to>
    <xdr:pic>
      <xdr:nvPicPr>
        <xdr:cNvPr id="236" name="Picture 235" descr="Insight Picture 235"/>
        <xdr:cNvPicPr>
          <a:picLocks noChangeAspect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0744" y="587668688"/>
          <a:ext cx="2056388" cy="2466975"/>
        </a:xfrm>
        <a:prstGeom prst="rect">
          <a:avLst/>
        </a:prstGeom>
      </xdr:spPr>
    </xdr:pic>
    <xdr:clientData/>
  </xdr:twoCellAnchor>
  <xdr:twoCellAnchor editAs="oneCell">
    <xdr:from>
      <xdr:col>3</xdr:col>
      <xdr:colOff>1810531</xdr:colOff>
      <xdr:row>236</xdr:row>
      <xdr:rowOff>61913</xdr:rowOff>
    </xdr:from>
    <xdr:to>
      <xdr:col>3</xdr:col>
      <xdr:colOff>4980795</xdr:colOff>
      <xdr:row>236</xdr:row>
      <xdr:rowOff>1538288</xdr:rowOff>
    </xdr:to>
    <xdr:pic>
      <xdr:nvPicPr>
        <xdr:cNvPr id="237" name="Picture 236" descr="Insight Picture 236"/>
        <xdr:cNvPicPr>
          <a:picLocks noChangeAspect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806" y="590259488"/>
          <a:ext cx="3170264" cy="1476375"/>
        </a:xfrm>
        <a:prstGeom prst="rect">
          <a:avLst/>
        </a:prstGeom>
      </xdr:spPr>
    </xdr:pic>
    <xdr:clientData/>
  </xdr:twoCellAnchor>
  <xdr:twoCellAnchor editAs="oneCell">
    <xdr:from>
      <xdr:col>3</xdr:col>
      <xdr:colOff>1820051</xdr:colOff>
      <xdr:row>237</xdr:row>
      <xdr:rowOff>61913</xdr:rowOff>
    </xdr:from>
    <xdr:to>
      <xdr:col>3</xdr:col>
      <xdr:colOff>4971275</xdr:colOff>
      <xdr:row>237</xdr:row>
      <xdr:rowOff>2738438</xdr:rowOff>
    </xdr:to>
    <xdr:pic>
      <xdr:nvPicPr>
        <xdr:cNvPr id="238" name="Picture 237" descr="Insight Picture 237"/>
        <xdr:cNvPicPr>
          <a:picLocks noChangeAspect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3326" y="591859688"/>
          <a:ext cx="3151224" cy="2676525"/>
        </a:xfrm>
        <a:prstGeom prst="rect">
          <a:avLst/>
        </a:prstGeom>
      </xdr:spPr>
    </xdr:pic>
    <xdr:clientData/>
  </xdr:twoCellAnchor>
  <xdr:twoCellAnchor editAs="oneCell">
    <xdr:from>
      <xdr:col>3</xdr:col>
      <xdr:colOff>1572523</xdr:colOff>
      <xdr:row>238</xdr:row>
      <xdr:rowOff>61913</xdr:rowOff>
    </xdr:from>
    <xdr:to>
      <xdr:col>3</xdr:col>
      <xdr:colOff>5218803</xdr:colOff>
      <xdr:row>238</xdr:row>
      <xdr:rowOff>1985963</xdr:rowOff>
    </xdr:to>
    <xdr:pic>
      <xdr:nvPicPr>
        <xdr:cNvPr id="239" name="Picture 238" descr="Insight Picture 238"/>
        <xdr:cNvPicPr>
          <a:picLocks noChangeAspect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5798" y="594660038"/>
          <a:ext cx="3646280" cy="1924050"/>
        </a:xfrm>
        <a:prstGeom prst="rect">
          <a:avLst/>
        </a:prstGeom>
      </xdr:spPr>
    </xdr:pic>
    <xdr:clientData/>
  </xdr:twoCellAnchor>
  <xdr:twoCellAnchor editAs="oneCell">
    <xdr:from>
      <xdr:col>3</xdr:col>
      <xdr:colOff>1396397</xdr:colOff>
      <xdr:row>239</xdr:row>
      <xdr:rowOff>61913</xdr:rowOff>
    </xdr:from>
    <xdr:to>
      <xdr:col>3</xdr:col>
      <xdr:colOff>5394929</xdr:colOff>
      <xdr:row>239</xdr:row>
      <xdr:rowOff>2147888</xdr:rowOff>
    </xdr:to>
    <xdr:pic>
      <xdr:nvPicPr>
        <xdr:cNvPr id="240" name="Picture 239" descr="Insight Picture 239"/>
        <xdr:cNvPicPr>
          <a:picLocks noChangeAspect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9672" y="596707913"/>
          <a:ext cx="3998532" cy="2085975"/>
        </a:xfrm>
        <a:prstGeom prst="rect">
          <a:avLst/>
        </a:prstGeom>
      </xdr:spPr>
    </xdr:pic>
    <xdr:clientData/>
  </xdr:twoCellAnchor>
  <xdr:twoCellAnchor editAs="oneCell">
    <xdr:from>
      <xdr:col>3</xdr:col>
      <xdr:colOff>2334147</xdr:colOff>
      <xdr:row>240</xdr:row>
      <xdr:rowOff>61913</xdr:rowOff>
    </xdr:from>
    <xdr:to>
      <xdr:col>3</xdr:col>
      <xdr:colOff>4457177</xdr:colOff>
      <xdr:row>240</xdr:row>
      <xdr:rowOff>3262313</xdr:rowOff>
    </xdr:to>
    <xdr:pic>
      <xdr:nvPicPr>
        <xdr:cNvPr id="241" name="Picture 240" descr="Insight Picture 240"/>
        <xdr:cNvPicPr>
          <a:picLocks noChangeAspect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7422" y="598917713"/>
          <a:ext cx="2123030" cy="3200400"/>
        </a:xfrm>
        <a:prstGeom prst="rect">
          <a:avLst/>
        </a:prstGeom>
      </xdr:spPr>
    </xdr:pic>
    <xdr:clientData/>
  </xdr:twoCellAnchor>
  <xdr:twoCellAnchor editAs="oneCell">
    <xdr:from>
      <xdr:col>3</xdr:col>
      <xdr:colOff>715694</xdr:colOff>
      <xdr:row>241</xdr:row>
      <xdr:rowOff>61913</xdr:rowOff>
    </xdr:from>
    <xdr:to>
      <xdr:col>3</xdr:col>
      <xdr:colOff>6075631</xdr:colOff>
      <xdr:row>241</xdr:row>
      <xdr:rowOff>3309938</xdr:rowOff>
    </xdr:to>
    <xdr:pic>
      <xdr:nvPicPr>
        <xdr:cNvPr id="242" name="Picture 241" descr="Insight Picture 241"/>
        <xdr:cNvPicPr>
          <a:picLocks noChangeAspect="1"/>
        </xdr:cNvPicPr>
      </xdr:nvPicPr>
      <xdr:blipFill>
        <a:blip xmlns:r="http://schemas.openxmlformats.org/officeDocument/2006/relationships" r:embed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8969" y="602241938"/>
          <a:ext cx="535993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1867652</xdr:colOff>
      <xdr:row>242</xdr:row>
      <xdr:rowOff>61913</xdr:rowOff>
    </xdr:from>
    <xdr:to>
      <xdr:col>3</xdr:col>
      <xdr:colOff>4923673</xdr:colOff>
      <xdr:row>242</xdr:row>
      <xdr:rowOff>3309938</xdr:rowOff>
    </xdr:to>
    <xdr:pic>
      <xdr:nvPicPr>
        <xdr:cNvPr id="243" name="Picture 242" descr="Insight Picture 242"/>
        <xdr:cNvPicPr>
          <a:picLocks noChangeAspect="1"/>
        </xdr:cNvPicPr>
      </xdr:nvPicPr>
      <xdr:blipFill>
        <a:blip xmlns:r="http://schemas.openxmlformats.org/officeDocument/2006/relationships" r:embed="rId2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927" y="605613788"/>
          <a:ext cx="3056021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2234184</xdr:colOff>
      <xdr:row>243</xdr:row>
      <xdr:rowOff>61913</xdr:rowOff>
    </xdr:from>
    <xdr:to>
      <xdr:col>3</xdr:col>
      <xdr:colOff>4557141</xdr:colOff>
      <xdr:row>243</xdr:row>
      <xdr:rowOff>2090738</xdr:rowOff>
    </xdr:to>
    <xdr:pic>
      <xdr:nvPicPr>
        <xdr:cNvPr id="244" name="Picture 243" descr="Insight Picture 243"/>
        <xdr:cNvPicPr>
          <a:picLocks noChangeAspect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7459" y="608985638"/>
          <a:ext cx="2322957" cy="2028825"/>
        </a:xfrm>
        <a:prstGeom prst="rect">
          <a:avLst/>
        </a:prstGeom>
      </xdr:spPr>
    </xdr:pic>
    <xdr:clientData/>
  </xdr:twoCellAnchor>
  <xdr:twoCellAnchor editAs="oneCell">
    <xdr:from>
      <xdr:col>3</xdr:col>
      <xdr:colOff>1924774</xdr:colOff>
      <xdr:row>244</xdr:row>
      <xdr:rowOff>61913</xdr:rowOff>
    </xdr:from>
    <xdr:to>
      <xdr:col>3</xdr:col>
      <xdr:colOff>4866551</xdr:colOff>
      <xdr:row>244</xdr:row>
      <xdr:rowOff>2947988</xdr:rowOff>
    </xdr:to>
    <xdr:pic>
      <xdr:nvPicPr>
        <xdr:cNvPr id="245" name="Picture 244" descr="Insight Picture 244"/>
        <xdr:cNvPicPr>
          <a:picLocks noChangeAspect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8049" y="611138288"/>
          <a:ext cx="2941777" cy="2886075"/>
        </a:xfrm>
        <a:prstGeom prst="rect">
          <a:avLst/>
        </a:prstGeom>
      </xdr:spPr>
    </xdr:pic>
    <xdr:clientData/>
  </xdr:twoCellAnchor>
  <xdr:twoCellAnchor editAs="oneCell">
    <xdr:from>
      <xdr:col>3</xdr:col>
      <xdr:colOff>1691527</xdr:colOff>
      <xdr:row>245</xdr:row>
      <xdr:rowOff>61913</xdr:rowOff>
    </xdr:from>
    <xdr:to>
      <xdr:col>3</xdr:col>
      <xdr:colOff>5099799</xdr:colOff>
      <xdr:row>245</xdr:row>
      <xdr:rowOff>3309938</xdr:rowOff>
    </xdr:to>
    <xdr:pic>
      <xdr:nvPicPr>
        <xdr:cNvPr id="246" name="Picture 245" descr="Insight Picture 245"/>
        <xdr:cNvPicPr>
          <a:picLocks noChangeAspect="1"/>
        </xdr:cNvPicPr>
      </xdr:nvPicPr>
      <xdr:blipFill>
        <a:blip xmlns:r="http://schemas.openxmlformats.org/officeDocument/2006/relationships" r:embed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802" y="614148188"/>
          <a:ext cx="3408272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2334147</xdr:colOff>
      <xdr:row>246</xdr:row>
      <xdr:rowOff>61913</xdr:rowOff>
    </xdr:from>
    <xdr:to>
      <xdr:col>3</xdr:col>
      <xdr:colOff>4457177</xdr:colOff>
      <xdr:row>246</xdr:row>
      <xdr:rowOff>2719388</xdr:rowOff>
    </xdr:to>
    <xdr:pic>
      <xdr:nvPicPr>
        <xdr:cNvPr id="247" name="Picture 246" descr="Insight Picture 246"/>
        <xdr:cNvPicPr>
          <a:picLocks noChangeAspect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7422" y="617520038"/>
          <a:ext cx="2123030" cy="2657475"/>
        </a:xfrm>
        <a:prstGeom prst="rect">
          <a:avLst/>
        </a:prstGeom>
      </xdr:spPr>
    </xdr:pic>
    <xdr:clientData/>
  </xdr:twoCellAnchor>
  <xdr:twoCellAnchor editAs="oneCell">
    <xdr:from>
      <xdr:col>3</xdr:col>
      <xdr:colOff>1962855</xdr:colOff>
      <xdr:row>247</xdr:row>
      <xdr:rowOff>61913</xdr:rowOff>
    </xdr:from>
    <xdr:to>
      <xdr:col>3</xdr:col>
      <xdr:colOff>4828469</xdr:colOff>
      <xdr:row>247</xdr:row>
      <xdr:rowOff>2995613</xdr:rowOff>
    </xdr:to>
    <xdr:pic>
      <xdr:nvPicPr>
        <xdr:cNvPr id="248" name="Picture 247" descr="Insight Picture 247"/>
        <xdr:cNvPicPr>
          <a:picLocks noChangeAspect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130" y="620301338"/>
          <a:ext cx="2865614" cy="2933700"/>
        </a:xfrm>
        <a:prstGeom prst="rect">
          <a:avLst/>
        </a:prstGeom>
      </xdr:spPr>
    </xdr:pic>
    <xdr:clientData/>
  </xdr:twoCellAnchor>
  <xdr:twoCellAnchor editAs="oneCell">
    <xdr:from>
      <xdr:col>3</xdr:col>
      <xdr:colOff>2005697</xdr:colOff>
      <xdr:row>248</xdr:row>
      <xdr:rowOff>61913</xdr:rowOff>
    </xdr:from>
    <xdr:to>
      <xdr:col>3</xdr:col>
      <xdr:colOff>4785629</xdr:colOff>
      <xdr:row>248</xdr:row>
      <xdr:rowOff>3309938</xdr:rowOff>
    </xdr:to>
    <xdr:pic>
      <xdr:nvPicPr>
        <xdr:cNvPr id="249" name="Picture 248" descr="Insight Picture 248"/>
        <xdr:cNvPicPr>
          <a:picLocks noChangeAspect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8972" y="623358863"/>
          <a:ext cx="2779932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1962855</xdr:colOff>
      <xdr:row>249</xdr:row>
      <xdr:rowOff>61913</xdr:rowOff>
    </xdr:from>
    <xdr:to>
      <xdr:col>3</xdr:col>
      <xdr:colOff>4828469</xdr:colOff>
      <xdr:row>249</xdr:row>
      <xdr:rowOff>2995613</xdr:rowOff>
    </xdr:to>
    <xdr:pic>
      <xdr:nvPicPr>
        <xdr:cNvPr id="250" name="Picture 249" descr="Insight Picture 249"/>
        <xdr:cNvPicPr>
          <a:picLocks noChangeAspect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130" y="626730713"/>
          <a:ext cx="2865614" cy="2933700"/>
        </a:xfrm>
        <a:prstGeom prst="rect">
          <a:avLst/>
        </a:prstGeom>
      </xdr:spPr>
    </xdr:pic>
    <xdr:clientData/>
  </xdr:twoCellAnchor>
  <xdr:twoCellAnchor editAs="oneCell">
    <xdr:from>
      <xdr:col>3</xdr:col>
      <xdr:colOff>1962855</xdr:colOff>
      <xdr:row>250</xdr:row>
      <xdr:rowOff>61913</xdr:rowOff>
    </xdr:from>
    <xdr:to>
      <xdr:col>3</xdr:col>
      <xdr:colOff>4828469</xdr:colOff>
      <xdr:row>250</xdr:row>
      <xdr:rowOff>2995613</xdr:rowOff>
    </xdr:to>
    <xdr:pic>
      <xdr:nvPicPr>
        <xdr:cNvPr id="251" name="Picture 250" descr="Insight Picture 250"/>
        <xdr:cNvPicPr>
          <a:picLocks noChangeAspect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6130" y="629788238"/>
          <a:ext cx="2865614" cy="2933700"/>
        </a:xfrm>
        <a:prstGeom prst="rect">
          <a:avLst/>
        </a:prstGeom>
      </xdr:spPr>
    </xdr:pic>
    <xdr:clientData/>
  </xdr:twoCellAnchor>
  <xdr:twoCellAnchor editAs="oneCell">
    <xdr:from>
      <xdr:col>3</xdr:col>
      <xdr:colOff>2215143</xdr:colOff>
      <xdr:row>251</xdr:row>
      <xdr:rowOff>61913</xdr:rowOff>
    </xdr:from>
    <xdr:to>
      <xdr:col>3</xdr:col>
      <xdr:colOff>4576181</xdr:colOff>
      <xdr:row>251</xdr:row>
      <xdr:rowOff>3309938</xdr:rowOff>
    </xdr:to>
    <xdr:pic>
      <xdr:nvPicPr>
        <xdr:cNvPr id="252" name="Picture 251" descr="Insight Picture 251"/>
        <xdr:cNvPicPr>
          <a:picLocks noChangeAspect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8418" y="632845763"/>
          <a:ext cx="2361038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2786362</xdr:colOff>
      <xdr:row>252</xdr:row>
      <xdr:rowOff>61913</xdr:rowOff>
    </xdr:from>
    <xdr:to>
      <xdr:col>3</xdr:col>
      <xdr:colOff>4004962</xdr:colOff>
      <xdr:row>252</xdr:row>
      <xdr:rowOff>3309938</xdr:rowOff>
    </xdr:to>
    <xdr:pic>
      <xdr:nvPicPr>
        <xdr:cNvPr id="253" name="Picture 252" descr="Insight Picture 252"/>
        <xdr:cNvPicPr>
          <a:picLocks noChangeAspect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637" y="636217613"/>
          <a:ext cx="1218600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2205623</xdr:colOff>
      <xdr:row>253</xdr:row>
      <xdr:rowOff>61913</xdr:rowOff>
    </xdr:from>
    <xdr:to>
      <xdr:col>3</xdr:col>
      <xdr:colOff>4585702</xdr:colOff>
      <xdr:row>253</xdr:row>
      <xdr:rowOff>3309938</xdr:rowOff>
    </xdr:to>
    <xdr:pic>
      <xdr:nvPicPr>
        <xdr:cNvPr id="254" name="Picture 253" descr="Insight Picture 253"/>
        <xdr:cNvPicPr>
          <a:picLocks noChangeAspect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8898" y="639589463"/>
          <a:ext cx="2380079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1820051</xdr:colOff>
      <xdr:row>254</xdr:row>
      <xdr:rowOff>61913</xdr:rowOff>
    </xdr:from>
    <xdr:to>
      <xdr:col>3</xdr:col>
      <xdr:colOff>4971275</xdr:colOff>
      <xdr:row>254</xdr:row>
      <xdr:rowOff>2995613</xdr:rowOff>
    </xdr:to>
    <xdr:pic>
      <xdr:nvPicPr>
        <xdr:cNvPr id="255" name="Picture 254" descr="Insight Picture 254"/>
        <xdr:cNvPicPr>
          <a:picLocks noChangeAspect="1"/>
        </xdr:cNvPicPr>
      </xdr:nvPicPr>
      <xdr:blipFill>
        <a:blip xmlns:r="http://schemas.openxmlformats.org/officeDocument/2006/relationships" r:embed="rId2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3326" y="642961313"/>
          <a:ext cx="3151224" cy="2933700"/>
        </a:xfrm>
        <a:prstGeom prst="rect">
          <a:avLst/>
        </a:prstGeom>
      </xdr:spPr>
    </xdr:pic>
    <xdr:clientData/>
  </xdr:twoCellAnchor>
  <xdr:twoCellAnchor editAs="oneCell">
    <xdr:from>
      <xdr:col>3</xdr:col>
      <xdr:colOff>2158021</xdr:colOff>
      <xdr:row>255</xdr:row>
      <xdr:rowOff>61913</xdr:rowOff>
    </xdr:from>
    <xdr:to>
      <xdr:col>3</xdr:col>
      <xdr:colOff>4633303</xdr:colOff>
      <xdr:row>255</xdr:row>
      <xdr:rowOff>1824038</xdr:rowOff>
    </xdr:to>
    <xdr:pic>
      <xdr:nvPicPr>
        <xdr:cNvPr id="256" name="Picture 255" descr="Insight Picture 255"/>
        <xdr:cNvPicPr>
          <a:picLocks noChangeAspect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1296" y="646018838"/>
          <a:ext cx="2475282" cy="1762125"/>
        </a:xfrm>
        <a:prstGeom prst="rect">
          <a:avLst/>
        </a:prstGeom>
      </xdr:spPr>
    </xdr:pic>
    <xdr:clientData/>
  </xdr:twoCellAnchor>
  <xdr:twoCellAnchor editAs="oneCell">
    <xdr:from>
      <xdr:col>3</xdr:col>
      <xdr:colOff>2719720</xdr:colOff>
      <xdr:row>256</xdr:row>
      <xdr:rowOff>61913</xdr:rowOff>
    </xdr:from>
    <xdr:to>
      <xdr:col>3</xdr:col>
      <xdr:colOff>4071605</xdr:colOff>
      <xdr:row>256</xdr:row>
      <xdr:rowOff>2357438</xdr:rowOff>
    </xdr:to>
    <xdr:pic>
      <xdr:nvPicPr>
        <xdr:cNvPr id="257" name="Picture 256" descr="Insight Picture 256"/>
        <xdr:cNvPicPr>
          <a:picLocks noChangeAspect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2995" y="647904788"/>
          <a:ext cx="1351885" cy="2295525"/>
        </a:xfrm>
        <a:prstGeom prst="rect">
          <a:avLst/>
        </a:prstGeom>
      </xdr:spPr>
    </xdr:pic>
    <xdr:clientData/>
  </xdr:twoCellAnchor>
  <xdr:twoCellAnchor editAs="oneCell">
    <xdr:from>
      <xdr:col>3</xdr:col>
      <xdr:colOff>1710567</xdr:colOff>
      <xdr:row>257</xdr:row>
      <xdr:rowOff>61913</xdr:rowOff>
    </xdr:from>
    <xdr:to>
      <xdr:col>3</xdr:col>
      <xdr:colOff>5080758</xdr:colOff>
      <xdr:row>257</xdr:row>
      <xdr:rowOff>2681288</xdr:rowOff>
    </xdr:to>
    <xdr:pic>
      <xdr:nvPicPr>
        <xdr:cNvPr id="258" name="Picture 257" descr="Insight Picture 257"/>
        <xdr:cNvPicPr>
          <a:picLocks noChangeAspect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3842" y="650324138"/>
          <a:ext cx="3370191" cy="2619375"/>
        </a:xfrm>
        <a:prstGeom prst="rect">
          <a:avLst/>
        </a:prstGeom>
      </xdr:spPr>
    </xdr:pic>
    <xdr:clientData/>
  </xdr:twoCellAnchor>
  <xdr:twoCellAnchor editAs="oneCell">
    <xdr:from>
      <xdr:col>3</xdr:col>
      <xdr:colOff>1710567</xdr:colOff>
      <xdr:row>258</xdr:row>
      <xdr:rowOff>61913</xdr:rowOff>
    </xdr:from>
    <xdr:to>
      <xdr:col>3</xdr:col>
      <xdr:colOff>5080758</xdr:colOff>
      <xdr:row>258</xdr:row>
      <xdr:rowOff>2681288</xdr:rowOff>
    </xdr:to>
    <xdr:pic>
      <xdr:nvPicPr>
        <xdr:cNvPr id="259" name="Picture 258" descr="Insight Picture 258"/>
        <xdr:cNvPicPr>
          <a:picLocks noChangeAspect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3842" y="653067338"/>
          <a:ext cx="3370191" cy="2619375"/>
        </a:xfrm>
        <a:prstGeom prst="rect">
          <a:avLst/>
        </a:prstGeom>
      </xdr:spPr>
    </xdr:pic>
    <xdr:clientData/>
  </xdr:twoCellAnchor>
  <xdr:twoCellAnchor editAs="oneCell">
    <xdr:from>
      <xdr:col>3</xdr:col>
      <xdr:colOff>1439238</xdr:colOff>
      <xdr:row>259</xdr:row>
      <xdr:rowOff>61913</xdr:rowOff>
    </xdr:from>
    <xdr:to>
      <xdr:col>3</xdr:col>
      <xdr:colOff>5352087</xdr:colOff>
      <xdr:row>259</xdr:row>
      <xdr:rowOff>2681288</xdr:rowOff>
    </xdr:to>
    <xdr:pic>
      <xdr:nvPicPr>
        <xdr:cNvPr id="260" name="Picture 259" descr="Insight Picture 259"/>
        <xdr:cNvPicPr>
          <a:picLocks noChangeAspect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2513" y="655810538"/>
          <a:ext cx="3912849" cy="2619375"/>
        </a:xfrm>
        <a:prstGeom prst="rect">
          <a:avLst/>
        </a:prstGeom>
      </xdr:spPr>
    </xdr:pic>
    <xdr:clientData/>
  </xdr:twoCellAnchor>
  <xdr:twoCellAnchor editAs="oneCell">
    <xdr:from>
      <xdr:col>3</xdr:col>
      <xdr:colOff>1439238</xdr:colOff>
      <xdr:row>260</xdr:row>
      <xdr:rowOff>61913</xdr:rowOff>
    </xdr:from>
    <xdr:to>
      <xdr:col>3</xdr:col>
      <xdr:colOff>5352087</xdr:colOff>
      <xdr:row>260</xdr:row>
      <xdr:rowOff>2681288</xdr:rowOff>
    </xdr:to>
    <xdr:pic>
      <xdr:nvPicPr>
        <xdr:cNvPr id="261" name="Picture 260" descr="Insight Picture 260"/>
        <xdr:cNvPicPr>
          <a:picLocks noChangeAspect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2513" y="658553738"/>
          <a:ext cx="3912849" cy="2619375"/>
        </a:xfrm>
        <a:prstGeom prst="rect">
          <a:avLst/>
        </a:prstGeom>
      </xdr:spPr>
    </xdr:pic>
    <xdr:clientData/>
  </xdr:twoCellAnchor>
  <xdr:twoCellAnchor editAs="oneCell">
    <xdr:from>
      <xdr:col>3</xdr:col>
      <xdr:colOff>1696286</xdr:colOff>
      <xdr:row>261</xdr:row>
      <xdr:rowOff>61913</xdr:rowOff>
    </xdr:from>
    <xdr:to>
      <xdr:col>3</xdr:col>
      <xdr:colOff>5095039</xdr:colOff>
      <xdr:row>261</xdr:row>
      <xdr:rowOff>2709863</xdr:rowOff>
    </xdr:to>
    <xdr:pic>
      <xdr:nvPicPr>
        <xdr:cNvPr id="262" name="Picture 261" descr="Insight Picture 261"/>
        <xdr:cNvPicPr>
          <a:picLocks noChangeAspect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9561" y="661296938"/>
          <a:ext cx="3398753" cy="2647950"/>
        </a:xfrm>
        <a:prstGeom prst="rect">
          <a:avLst/>
        </a:prstGeom>
      </xdr:spPr>
    </xdr:pic>
    <xdr:clientData/>
  </xdr:twoCellAnchor>
  <xdr:twoCellAnchor editAs="oneCell">
    <xdr:from>
      <xdr:col>3</xdr:col>
      <xdr:colOff>2119940</xdr:colOff>
      <xdr:row>262</xdr:row>
      <xdr:rowOff>61913</xdr:rowOff>
    </xdr:from>
    <xdr:to>
      <xdr:col>3</xdr:col>
      <xdr:colOff>4671385</xdr:colOff>
      <xdr:row>262</xdr:row>
      <xdr:rowOff>2166938</xdr:rowOff>
    </xdr:to>
    <xdr:pic>
      <xdr:nvPicPr>
        <xdr:cNvPr id="263" name="Picture 262" descr="Insight Picture 262"/>
        <xdr:cNvPicPr>
          <a:picLocks noChangeAspect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215" y="664068713"/>
          <a:ext cx="2551445" cy="2105025"/>
        </a:xfrm>
        <a:prstGeom prst="rect">
          <a:avLst/>
        </a:prstGeom>
      </xdr:spPr>
    </xdr:pic>
    <xdr:clientData/>
  </xdr:twoCellAnchor>
  <xdr:twoCellAnchor editAs="oneCell">
    <xdr:from>
      <xdr:col>3</xdr:col>
      <xdr:colOff>2505513</xdr:colOff>
      <xdr:row>263</xdr:row>
      <xdr:rowOff>61913</xdr:rowOff>
    </xdr:from>
    <xdr:to>
      <xdr:col>3</xdr:col>
      <xdr:colOff>4285812</xdr:colOff>
      <xdr:row>263</xdr:row>
      <xdr:rowOff>1947863</xdr:rowOff>
    </xdr:to>
    <xdr:pic>
      <xdr:nvPicPr>
        <xdr:cNvPr id="264" name="Picture 263" descr="Insight Picture 263"/>
        <xdr:cNvPicPr>
          <a:picLocks noChangeAspect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788" y="666297563"/>
          <a:ext cx="1780299" cy="1885950"/>
        </a:xfrm>
        <a:prstGeom prst="rect">
          <a:avLst/>
        </a:prstGeom>
      </xdr:spPr>
    </xdr:pic>
    <xdr:clientData/>
  </xdr:twoCellAnchor>
  <xdr:twoCellAnchor editAs="oneCell">
    <xdr:from>
      <xdr:col>3</xdr:col>
      <xdr:colOff>2305586</xdr:colOff>
      <xdr:row>264</xdr:row>
      <xdr:rowOff>61913</xdr:rowOff>
    </xdr:from>
    <xdr:to>
      <xdr:col>3</xdr:col>
      <xdr:colOff>4485738</xdr:colOff>
      <xdr:row>264</xdr:row>
      <xdr:rowOff>2681288</xdr:rowOff>
    </xdr:to>
    <xdr:pic>
      <xdr:nvPicPr>
        <xdr:cNvPr id="265" name="Picture 264" descr="Insight Picture 264"/>
        <xdr:cNvPicPr>
          <a:picLocks noChangeAspect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861" y="668307338"/>
          <a:ext cx="2180152" cy="2619375"/>
        </a:xfrm>
        <a:prstGeom prst="rect">
          <a:avLst/>
        </a:prstGeom>
      </xdr:spPr>
    </xdr:pic>
    <xdr:clientData/>
  </xdr:twoCellAnchor>
  <xdr:twoCellAnchor editAs="oneCell">
    <xdr:from>
      <xdr:col>3</xdr:col>
      <xdr:colOff>2610236</xdr:colOff>
      <xdr:row>265</xdr:row>
      <xdr:rowOff>61913</xdr:rowOff>
    </xdr:from>
    <xdr:to>
      <xdr:col>3</xdr:col>
      <xdr:colOff>4181088</xdr:colOff>
      <xdr:row>265</xdr:row>
      <xdr:rowOff>1395413</xdr:rowOff>
    </xdr:to>
    <xdr:pic>
      <xdr:nvPicPr>
        <xdr:cNvPr id="266" name="Picture 265" descr="Insight Picture 265"/>
        <xdr:cNvPicPr>
          <a:picLocks noChangeAspect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511" y="671050538"/>
          <a:ext cx="1570852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2115181</xdr:colOff>
      <xdr:row>266</xdr:row>
      <xdr:rowOff>61913</xdr:rowOff>
    </xdr:from>
    <xdr:to>
      <xdr:col>3</xdr:col>
      <xdr:colOff>4676145</xdr:colOff>
      <xdr:row>266</xdr:row>
      <xdr:rowOff>3043238</xdr:rowOff>
    </xdr:to>
    <xdr:pic>
      <xdr:nvPicPr>
        <xdr:cNvPr id="267" name="Picture 266" descr="Insight Picture 266"/>
        <xdr:cNvPicPr>
          <a:picLocks noChangeAspect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456" y="672507863"/>
          <a:ext cx="2560964" cy="2981325"/>
        </a:xfrm>
        <a:prstGeom prst="rect">
          <a:avLst/>
        </a:prstGeom>
      </xdr:spPr>
    </xdr:pic>
    <xdr:clientData/>
  </xdr:twoCellAnchor>
  <xdr:twoCellAnchor editAs="oneCell">
    <xdr:from>
      <xdr:col>3</xdr:col>
      <xdr:colOff>2757801</xdr:colOff>
      <xdr:row>267</xdr:row>
      <xdr:rowOff>61913</xdr:rowOff>
    </xdr:from>
    <xdr:to>
      <xdr:col>3</xdr:col>
      <xdr:colOff>4033523</xdr:colOff>
      <xdr:row>267</xdr:row>
      <xdr:rowOff>1366838</xdr:rowOff>
    </xdr:to>
    <xdr:pic>
      <xdr:nvPicPr>
        <xdr:cNvPr id="268" name="Picture 267" descr="Insight Picture 267"/>
        <xdr:cNvPicPr>
          <a:picLocks noChangeAspect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1076" y="675613013"/>
          <a:ext cx="1275722" cy="1304925"/>
        </a:xfrm>
        <a:prstGeom prst="rect">
          <a:avLst/>
        </a:prstGeom>
      </xdr:spPr>
    </xdr:pic>
    <xdr:clientData/>
  </xdr:twoCellAnchor>
  <xdr:twoCellAnchor editAs="oneCell">
    <xdr:from>
      <xdr:col>3</xdr:col>
      <xdr:colOff>2329387</xdr:colOff>
      <xdr:row>268</xdr:row>
      <xdr:rowOff>61913</xdr:rowOff>
    </xdr:from>
    <xdr:to>
      <xdr:col>3</xdr:col>
      <xdr:colOff>4461937</xdr:colOff>
      <xdr:row>268</xdr:row>
      <xdr:rowOff>1395413</xdr:rowOff>
    </xdr:to>
    <xdr:pic>
      <xdr:nvPicPr>
        <xdr:cNvPr id="269" name="Picture 268" descr="Insight Picture 268"/>
        <xdr:cNvPicPr>
          <a:picLocks noChangeAspect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2662" y="677041763"/>
          <a:ext cx="213255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2729240</xdr:colOff>
      <xdr:row>269</xdr:row>
      <xdr:rowOff>61913</xdr:rowOff>
    </xdr:from>
    <xdr:to>
      <xdr:col>3</xdr:col>
      <xdr:colOff>4062084</xdr:colOff>
      <xdr:row>269</xdr:row>
      <xdr:rowOff>1395413</xdr:rowOff>
    </xdr:to>
    <xdr:pic>
      <xdr:nvPicPr>
        <xdr:cNvPr id="270" name="Picture 269" descr="Insight Picture 269"/>
        <xdr:cNvPicPr>
          <a:picLocks noChangeAspect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515" y="678499088"/>
          <a:ext cx="1332844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2415070</xdr:colOff>
      <xdr:row>270</xdr:row>
      <xdr:rowOff>61913</xdr:rowOff>
    </xdr:from>
    <xdr:to>
      <xdr:col>3</xdr:col>
      <xdr:colOff>4376255</xdr:colOff>
      <xdr:row>270</xdr:row>
      <xdr:rowOff>2824163</xdr:rowOff>
    </xdr:to>
    <xdr:pic>
      <xdr:nvPicPr>
        <xdr:cNvPr id="271" name="Picture 270" descr="Insight Picture 270"/>
        <xdr:cNvPicPr>
          <a:picLocks noChangeAspect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8345" y="679956413"/>
          <a:ext cx="1961185" cy="2762250"/>
        </a:xfrm>
        <a:prstGeom prst="rect">
          <a:avLst/>
        </a:prstGeom>
      </xdr:spPr>
    </xdr:pic>
    <xdr:clientData/>
  </xdr:twoCellAnchor>
  <xdr:twoCellAnchor editAs="oneCell">
    <xdr:from>
      <xdr:col>3</xdr:col>
      <xdr:colOff>2729240</xdr:colOff>
      <xdr:row>271</xdr:row>
      <xdr:rowOff>61913</xdr:rowOff>
    </xdr:from>
    <xdr:to>
      <xdr:col>3</xdr:col>
      <xdr:colOff>4062084</xdr:colOff>
      <xdr:row>271</xdr:row>
      <xdr:rowOff>1519238</xdr:rowOff>
    </xdr:to>
    <xdr:pic>
      <xdr:nvPicPr>
        <xdr:cNvPr id="272" name="Picture 271" descr="Insight Picture 271"/>
        <xdr:cNvPicPr>
          <a:picLocks noChangeAspect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2515" y="682842488"/>
          <a:ext cx="1332844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2491232</xdr:colOff>
      <xdr:row>272</xdr:row>
      <xdr:rowOff>61913</xdr:rowOff>
    </xdr:from>
    <xdr:to>
      <xdr:col>3</xdr:col>
      <xdr:colOff>4300092</xdr:colOff>
      <xdr:row>272</xdr:row>
      <xdr:rowOff>1462088</xdr:rowOff>
    </xdr:to>
    <xdr:pic>
      <xdr:nvPicPr>
        <xdr:cNvPr id="273" name="Picture 272" descr="Insight Picture 272"/>
        <xdr:cNvPicPr>
          <a:picLocks noChangeAspect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4507" y="684423638"/>
          <a:ext cx="1808860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2305586</xdr:colOff>
      <xdr:row>273</xdr:row>
      <xdr:rowOff>61913</xdr:rowOff>
    </xdr:from>
    <xdr:to>
      <xdr:col>3</xdr:col>
      <xdr:colOff>4485738</xdr:colOff>
      <xdr:row>273</xdr:row>
      <xdr:rowOff>2681288</xdr:rowOff>
    </xdr:to>
    <xdr:pic>
      <xdr:nvPicPr>
        <xdr:cNvPr id="274" name="Picture 273" descr="Insight Picture 273"/>
        <xdr:cNvPicPr>
          <a:picLocks noChangeAspect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861" y="685947638"/>
          <a:ext cx="2180152" cy="2619375"/>
        </a:xfrm>
        <a:prstGeom prst="rect">
          <a:avLst/>
        </a:prstGeom>
      </xdr:spPr>
    </xdr:pic>
    <xdr:clientData/>
  </xdr:twoCellAnchor>
  <xdr:twoCellAnchor editAs="oneCell">
    <xdr:from>
      <xdr:col>3</xdr:col>
      <xdr:colOff>2610236</xdr:colOff>
      <xdr:row>274</xdr:row>
      <xdr:rowOff>61913</xdr:rowOff>
    </xdr:from>
    <xdr:to>
      <xdr:col>3</xdr:col>
      <xdr:colOff>4181088</xdr:colOff>
      <xdr:row>274</xdr:row>
      <xdr:rowOff>1395413</xdr:rowOff>
    </xdr:to>
    <xdr:pic>
      <xdr:nvPicPr>
        <xdr:cNvPr id="275" name="Picture 274" descr="Insight Picture 274"/>
        <xdr:cNvPicPr>
          <a:picLocks noChangeAspect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511" y="688690838"/>
          <a:ext cx="1570852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2472192</xdr:colOff>
      <xdr:row>275</xdr:row>
      <xdr:rowOff>61913</xdr:rowOff>
    </xdr:from>
    <xdr:to>
      <xdr:col>3</xdr:col>
      <xdr:colOff>4319133</xdr:colOff>
      <xdr:row>275</xdr:row>
      <xdr:rowOff>3090863</xdr:rowOff>
    </xdr:to>
    <xdr:pic>
      <xdr:nvPicPr>
        <xdr:cNvPr id="276" name="Picture 275" descr="Insight Picture 275"/>
        <xdr:cNvPicPr>
          <a:picLocks noChangeAspect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467" y="690148163"/>
          <a:ext cx="1846941" cy="3028950"/>
        </a:xfrm>
        <a:prstGeom prst="rect">
          <a:avLst/>
        </a:prstGeom>
      </xdr:spPr>
    </xdr:pic>
    <xdr:clientData/>
  </xdr:twoCellAnchor>
  <xdr:twoCellAnchor editAs="oneCell">
    <xdr:from>
      <xdr:col>3</xdr:col>
      <xdr:colOff>1815290</xdr:colOff>
      <xdr:row>276</xdr:row>
      <xdr:rowOff>61913</xdr:rowOff>
    </xdr:from>
    <xdr:to>
      <xdr:col>3</xdr:col>
      <xdr:colOff>4976035</xdr:colOff>
      <xdr:row>276</xdr:row>
      <xdr:rowOff>3005138</xdr:rowOff>
    </xdr:to>
    <xdr:pic>
      <xdr:nvPicPr>
        <xdr:cNvPr id="277" name="Picture 276" descr="Insight Picture 276"/>
        <xdr:cNvPicPr>
          <a:picLocks noChangeAspect="1"/>
        </xdr:cNvPicPr>
      </xdr:nvPicPr>
      <xdr:blipFill>
        <a:blip xmlns:r="http://schemas.openxmlformats.org/officeDocument/2006/relationships" r:embed="rId2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8565" y="693300938"/>
          <a:ext cx="3160745" cy="2943225"/>
        </a:xfrm>
        <a:prstGeom prst="rect">
          <a:avLst/>
        </a:prstGeom>
      </xdr:spPr>
    </xdr:pic>
    <xdr:clientData/>
  </xdr:twoCellAnchor>
  <xdr:twoCellAnchor editAs="oneCell">
    <xdr:from>
      <xdr:col>3</xdr:col>
      <xdr:colOff>2353188</xdr:colOff>
      <xdr:row>277</xdr:row>
      <xdr:rowOff>61913</xdr:rowOff>
    </xdr:from>
    <xdr:to>
      <xdr:col>3</xdr:col>
      <xdr:colOff>4438137</xdr:colOff>
      <xdr:row>277</xdr:row>
      <xdr:rowOff>1366838</xdr:rowOff>
    </xdr:to>
    <xdr:pic>
      <xdr:nvPicPr>
        <xdr:cNvPr id="278" name="Picture 277" descr="Insight Picture 277"/>
        <xdr:cNvPicPr>
          <a:picLocks noChangeAspect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6463" y="696367988"/>
          <a:ext cx="2084949" cy="1304925"/>
        </a:xfrm>
        <a:prstGeom prst="rect">
          <a:avLst/>
        </a:prstGeom>
      </xdr:spPr>
    </xdr:pic>
    <xdr:clientData/>
  </xdr:twoCellAnchor>
  <xdr:twoCellAnchor editAs="oneCell">
    <xdr:from>
      <xdr:col>3</xdr:col>
      <xdr:colOff>2105660</xdr:colOff>
      <xdr:row>278</xdr:row>
      <xdr:rowOff>61913</xdr:rowOff>
    </xdr:from>
    <xdr:to>
      <xdr:col>3</xdr:col>
      <xdr:colOff>4685665</xdr:colOff>
      <xdr:row>278</xdr:row>
      <xdr:rowOff>2195513</xdr:rowOff>
    </xdr:to>
    <xdr:pic>
      <xdr:nvPicPr>
        <xdr:cNvPr id="279" name="Picture 278" descr="Insight Picture 278"/>
        <xdr:cNvPicPr>
          <a:picLocks noChangeAspect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935" y="697796738"/>
          <a:ext cx="2580005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2357948</xdr:colOff>
      <xdr:row>279</xdr:row>
      <xdr:rowOff>61913</xdr:rowOff>
    </xdr:from>
    <xdr:to>
      <xdr:col>3</xdr:col>
      <xdr:colOff>4433377</xdr:colOff>
      <xdr:row>279</xdr:row>
      <xdr:rowOff>1862138</xdr:rowOff>
    </xdr:to>
    <xdr:pic>
      <xdr:nvPicPr>
        <xdr:cNvPr id="280" name="Picture 279" descr="Insight Picture 279"/>
        <xdr:cNvPicPr>
          <a:picLocks noChangeAspect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1223" y="700054163"/>
          <a:ext cx="2075429" cy="1800225"/>
        </a:xfrm>
        <a:prstGeom prst="rect">
          <a:avLst/>
        </a:prstGeom>
      </xdr:spPr>
    </xdr:pic>
    <xdr:clientData/>
  </xdr:twoCellAnchor>
  <xdr:twoCellAnchor editAs="oneCell">
    <xdr:from>
      <xdr:col>3</xdr:col>
      <xdr:colOff>2091379</xdr:colOff>
      <xdr:row>280</xdr:row>
      <xdr:rowOff>61913</xdr:rowOff>
    </xdr:from>
    <xdr:to>
      <xdr:col>3</xdr:col>
      <xdr:colOff>4699945</xdr:colOff>
      <xdr:row>280</xdr:row>
      <xdr:rowOff>2224088</xdr:rowOff>
    </xdr:to>
    <xdr:pic>
      <xdr:nvPicPr>
        <xdr:cNvPr id="281" name="Picture 280" descr="Insight Picture 280"/>
        <xdr:cNvPicPr>
          <a:picLocks noChangeAspect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4654" y="701978213"/>
          <a:ext cx="2608566" cy="2162175"/>
        </a:xfrm>
        <a:prstGeom prst="rect">
          <a:avLst/>
        </a:prstGeom>
      </xdr:spPr>
    </xdr:pic>
    <xdr:clientData/>
  </xdr:twoCellAnchor>
  <xdr:twoCellAnchor editAs="oneCell">
    <xdr:from>
      <xdr:col>3</xdr:col>
      <xdr:colOff>1891452</xdr:colOff>
      <xdr:row>281</xdr:row>
      <xdr:rowOff>61913</xdr:rowOff>
    </xdr:from>
    <xdr:to>
      <xdr:col>3</xdr:col>
      <xdr:colOff>4899872</xdr:colOff>
      <xdr:row>281</xdr:row>
      <xdr:rowOff>2967038</xdr:rowOff>
    </xdr:to>
    <xdr:pic>
      <xdr:nvPicPr>
        <xdr:cNvPr id="282" name="Picture 281" descr="Insight Picture 281"/>
        <xdr:cNvPicPr>
          <a:picLocks noChangeAspect="1"/>
        </xdr:cNvPicPr>
      </xdr:nvPicPr>
      <xdr:blipFill>
        <a:blip xmlns:r="http://schemas.openxmlformats.org/officeDocument/2006/relationships" r:embed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4727" y="704264213"/>
          <a:ext cx="3008420" cy="2905125"/>
        </a:xfrm>
        <a:prstGeom prst="rect">
          <a:avLst/>
        </a:prstGeom>
      </xdr:spPr>
    </xdr:pic>
    <xdr:clientData/>
  </xdr:twoCellAnchor>
  <xdr:twoCellAnchor editAs="oneCell">
    <xdr:from>
      <xdr:col>3</xdr:col>
      <xdr:colOff>2129461</xdr:colOff>
      <xdr:row>282</xdr:row>
      <xdr:rowOff>61913</xdr:rowOff>
    </xdr:from>
    <xdr:to>
      <xdr:col>3</xdr:col>
      <xdr:colOff>4661865</xdr:colOff>
      <xdr:row>282</xdr:row>
      <xdr:rowOff>3005138</xdr:rowOff>
    </xdr:to>
    <xdr:pic>
      <xdr:nvPicPr>
        <xdr:cNvPr id="283" name="Picture 282" descr="Insight Picture 282"/>
        <xdr:cNvPicPr>
          <a:picLocks noChangeAspect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736" y="707293163"/>
          <a:ext cx="2532404" cy="2943225"/>
        </a:xfrm>
        <a:prstGeom prst="rect">
          <a:avLst/>
        </a:prstGeom>
      </xdr:spPr>
    </xdr:pic>
    <xdr:clientData/>
  </xdr:twoCellAnchor>
  <xdr:twoCellAnchor editAs="oneCell">
    <xdr:from>
      <xdr:col>3</xdr:col>
      <xdr:colOff>2119940</xdr:colOff>
      <xdr:row>283</xdr:row>
      <xdr:rowOff>61913</xdr:rowOff>
    </xdr:from>
    <xdr:to>
      <xdr:col>3</xdr:col>
      <xdr:colOff>4671385</xdr:colOff>
      <xdr:row>283</xdr:row>
      <xdr:rowOff>2166938</xdr:rowOff>
    </xdr:to>
    <xdr:pic>
      <xdr:nvPicPr>
        <xdr:cNvPr id="284" name="Picture 283" descr="Insight Picture 283"/>
        <xdr:cNvPicPr>
          <a:picLocks noChangeAspect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215" y="710360213"/>
          <a:ext cx="2551445" cy="2105025"/>
        </a:xfrm>
        <a:prstGeom prst="rect">
          <a:avLst/>
        </a:prstGeom>
      </xdr:spPr>
    </xdr:pic>
    <xdr:clientData/>
  </xdr:twoCellAnchor>
  <xdr:twoCellAnchor editAs="oneCell">
    <xdr:from>
      <xdr:col>3</xdr:col>
      <xdr:colOff>2357948</xdr:colOff>
      <xdr:row>284</xdr:row>
      <xdr:rowOff>61913</xdr:rowOff>
    </xdr:from>
    <xdr:to>
      <xdr:col>3</xdr:col>
      <xdr:colOff>4433377</xdr:colOff>
      <xdr:row>284</xdr:row>
      <xdr:rowOff>1985963</xdr:rowOff>
    </xdr:to>
    <xdr:pic>
      <xdr:nvPicPr>
        <xdr:cNvPr id="285" name="Picture 284" descr="Insight Picture 284"/>
        <xdr:cNvPicPr>
          <a:picLocks noChangeAspect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1223" y="712589063"/>
          <a:ext cx="2075429" cy="1924050"/>
        </a:xfrm>
        <a:prstGeom prst="rect">
          <a:avLst/>
        </a:prstGeom>
      </xdr:spPr>
    </xdr:pic>
    <xdr:clientData/>
  </xdr:twoCellAnchor>
  <xdr:twoCellAnchor editAs="oneCell">
    <xdr:from>
      <xdr:col>3</xdr:col>
      <xdr:colOff>2567395</xdr:colOff>
      <xdr:row>285</xdr:row>
      <xdr:rowOff>61913</xdr:rowOff>
    </xdr:from>
    <xdr:to>
      <xdr:col>3</xdr:col>
      <xdr:colOff>4223930</xdr:colOff>
      <xdr:row>285</xdr:row>
      <xdr:rowOff>1833563</xdr:rowOff>
    </xdr:to>
    <xdr:pic>
      <xdr:nvPicPr>
        <xdr:cNvPr id="286" name="Picture 285" descr="Insight Picture 285"/>
        <xdr:cNvPicPr>
          <a:picLocks noChangeAspect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670" y="714636938"/>
          <a:ext cx="1656535" cy="1771650"/>
        </a:xfrm>
        <a:prstGeom prst="rect">
          <a:avLst/>
        </a:prstGeom>
      </xdr:spPr>
    </xdr:pic>
    <xdr:clientData/>
  </xdr:twoCellAnchor>
  <xdr:twoCellAnchor editAs="oneCell">
    <xdr:from>
      <xdr:col>3</xdr:col>
      <xdr:colOff>2357948</xdr:colOff>
      <xdr:row>286</xdr:row>
      <xdr:rowOff>61913</xdr:rowOff>
    </xdr:from>
    <xdr:to>
      <xdr:col>3</xdr:col>
      <xdr:colOff>4433377</xdr:colOff>
      <xdr:row>286</xdr:row>
      <xdr:rowOff>1985963</xdr:rowOff>
    </xdr:to>
    <xdr:pic>
      <xdr:nvPicPr>
        <xdr:cNvPr id="287" name="Picture 286" descr="Insight Picture 286"/>
        <xdr:cNvPicPr>
          <a:picLocks noChangeAspect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1223" y="716532413"/>
          <a:ext cx="2075429" cy="1924050"/>
        </a:xfrm>
        <a:prstGeom prst="rect">
          <a:avLst/>
        </a:prstGeom>
      </xdr:spPr>
    </xdr:pic>
    <xdr:clientData/>
  </xdr:twoCellAnchor>
  <xdr:twoCellAnchor editAs="oneCell">
    <xdr:from>
      <xdr:col>3</xdr:col>
      <xdr:colOff>2096139</xdr:colOff>
      <xdr:row>287</xdr:row>
      <xdr:rowOff>61913</xdr:rowOff>
    </xdr:from>
    <xdr:to>
      <xdr:col>3</xdr:col>
      <xdr:colOff>4695185</xdr:colOff>
      <xdr:row>287</xdr:row>
      <xdr:rowOff>2747963</xdr:rowOff>
    </xdr:to>
    <xdr:pic>
      <xdr:nvPicPr>
        <xdr:cNvPr id="288" name="Picture 287" descr="Insight Picture 287"/>
        <xdr:cNvPicPr>
          <a:picLocks noChangeAspect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9414" y="718580288"/>
          <a:ext cx="2599046" cy="2686050"/>
        </a:xfrm>
        <a:prstGeom prst="rect">
          <a:avLst/>
        </a:prstGeom>
      </xdr:spPr>
    </xdr:pic>
    <xdr:clientData/>
  </xdr:twoCellAnchor>
  <xdr:twoCellAnchor editAs="oneCell">
    <xdr:from>
      <xdr:col>3</xdr:col>
      <xdr:colOff>2264784</xdr:colOff>
      <xdr:row>288</xdr:row>
      <xdr:rowOff>61913</xdr:rowOff>
    </xdr:from>
    <xdr:to>
      <xdr:col>3</xdr:col>
      <xdr:colOff>4526541</xdr:colOff>
      <xdr:row>288</xdr:row>
      <xdr:rowOff>2757488</xdr:rowOff>
    </xdr:to>
    <xdr:pic>
      <xdr:nvPicPr>
        <xdr:cNvPr id="289" name="Picture 288" descr="Insight Picture 288"/>
        <xdr:cNvPicPr>
          <a:picLocks noChangeAspect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59" y="721390163"/>
          <a:ext cx="2261757" cy="2695575"/>
        </a:xfrm>
        <a:prstGeom prst="rect">
          <a:avLst/>
        </a:prstGeom>
      </xdr:spPr>
    </xdr:pic>
    <xdr:clientData/>
  </xdr:twoCellAnchor>
  <xdr:twoCellAnchor editAs="oneCell">
    <xdr:from>
      <xdr:col>3</xdr:col>
      <xdr:colOff>2129461</xdr:colOff>
      <xdr:row>289</xdr:row>
      <xdr:rowOff>61913</xdr:rowOff>
    </xdr:from>
    <xdr:to>
      <xdr:col>3</xdr:col>
      <xdr:colOff>4661865</xdr:colOff>
      <xdr:row>289</xdr:row>
      <xdr:rowOff>3005138</xdr:rowOff>
    </xdr:to>
    <xdr:pic>
      <xdr:nvPicPr>
        <xdr:cNvPr id="290" name="Picture 289" descr="Insight Picture 289"/>
        <xdr:cNvPicPr>
          <a:picLocks noChangeAspect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736" y="724209563"/>
          <a:ext cx="2532404" cy="2943225"/>
        </a:xfrm>
        <a:prstGeom prst="rect">
          <a:avLst/>
        </a:prstGeom>
      </xdr:spPr>
    </xdr:pic>
    <xdr:clientData/>
  </xdr:twoCellAnchor>
  <xdr:twoCellAnchor editAs="oneCell">
    <xdr:from>
      <xdr:col>3</xdr:col>
      <xdr:colOff>2472192</xdr:colOff>
      <xdr:row>290</xdr:row>
      <xdr:rowOff>61913</xdr:rowOff>
    </xdr:from>
    <xdr:to>
      <xdr:col>3</xdr:col>
      <xdr:colOff>4319133</xdr:colOff>
      <xdr:row>290</xdr:row>
      <xdr:rowOff>2967038</xdr:rowOff>
    </xdr:to>
    <xdr:pic>
      <xdr:nvPicPr>
        <xdr:cNvPr id="291" name="Picture 290" descr="Insight Picture 290"/>
        <xdr:cNvPicPr>
          <a:picLocks noChangeAspect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467" y="727276613"/>
          <a:ext cx="1846941" cy="2905125"/>
        </a:xfrm>
        <a:prstGeom prst="rect">
          <a:avLst/>
        </a:prstGeom>
      </xdr:spPr>
    </xdr:pic>
    <xdr:clientData/>
  </xdr:twoCellAnchor>
  <xdr:twoCellAnchor editAs="oneCell">
    <xdr:from>
      <xdr:col>3</xdr:col>
      <xdr:colOff>1896213</xdr:colOff>
      <xdr:row>291</xdr:row>
      <xdr:rowOff>61913</xdr:rowOff>
    </xdr:from>
    <xdr:to>
      <xdr:col>3</xdr:col>
      <xdr:colOff>4895112</xdr:colOff>
      <xdr:row>291</xdr:row>
      <xdr:rowOff>3005138</xdr:rowOff>
    </xdr:to>
    <xdr:pic>
      <xdr:nvPicPr>
        <xdr:cNvPr id="292" name="Picture 291" descr="Insight Picture 291"/>
        <xdr:cNvPicPr>
          <a:picLocks noChangeAspect="1"/>
        </xdr:cNvPicPr>
      </xdr:nvPicPr>
      <xdr:blipFill>
        <a:blip xmlns:r="http://schemas.openxmlformats.org/officeDocument/2006/relationships" r:embed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9488" y="730305563"/>
          <a:ext cx="2998899" cy="2943225"/>
        </a:xfrm>
        <a:prstGeom prst="rect">
          <a:avLst/>
        </a:prstGeom>
      </xdr:spPr>
    </xdr:pic>
    <xdr:clientData/>
  </xdr:twoCellAnchor>
  <xdr:twoCellAnchor editAs="oneCell">
    <xdr:from>
      <xdr:col>3</xdr:col>
      <xdr:colOff>2305586</xdr:colOff>
      <xdr:row>292</xdr:row>
      <xdr:rowOff>61913</xdr:rowOff>
    </xdr:from>
    <xdr:to>
      <xdr:col>3</xdr:col>
      <xdr:colOff>4485738</xdr:colOff>
      <xdr:row>292</xdr:row>
      <xdr:rowOff>2195513</xdr:rowOff>
    </xdr:to>
    <xdr:pic>
      <xdr:nvPicPr>
        <xdr:cNvPr id="293" name="Picture 292" descr="Insight Picture 292"/>
        <xdr:cNvPicPr>
          <a:picLocks noChangeAspect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861" y="733372613"/>
          <a:ext cx="2180152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2362708</xdr:colOff>
      <xdr:row>293</xdr:row>
      <xdr:rowOff>61913</xdr:rowOff>
    </xdr:from>
    <xdr:to>
      <xdr:col>3</xdr:col>
      <xdr:colOff>4428616</xdr:colOff>
      <xdr:row>293</xdr:row>
      <xdr:rowOff>2195513</xdr:rowOff>
    </xdr:to>
    <xdr:pic>
      <xdr:nvPicPr>
        <xdr:cNvPr id="294" name="Picture 293" descr="Insight Picture 293"/>
        <xdr:cNvPicPr>
          <a:picLocks noChangeAspect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983" y="735630038"/>
          <a:ext cx="2065908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2134221</xdr:colOff>
      <xdr:row>294</xdr:row>
      <xdr:rowOff>61913</xdr:rowOff>
    </xdr:from>
    <xdr:to>
      <xdr:col>3</xdr:col>
      <xdr:colOff>4657104</xdr:colOff>
      <xdr:row>294</xdr:row>
      <xdr:rowOff>2490788</xdr:rowOff>
    </xdr:to>
    <xdr:pic>
      <xdr:nvPicPr>
        <xdr:cNvPr id="295" name="Picture 294" descr="Insight Picture 294"/>
        <xdr:cNvPicPr>
          <a:picLocks noChangeAspect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7496" y="737887463"/>
          <a:ext cx="2522883" cy="2428875"/>
        </a:xfrm>
        <a:prstGeom prst="rect">
          <a:avLst/>
        </a:prstGeom>
      </xdr:spPr>
    </xdr:pic>
    <xdr:clientData/>
  </xdr:twoCellAnchor>
  <xdr:twoCellAnchor editAs="oneCell">
    <xdr:from>
      <xdr:col>3</xdr:col>
      <xdr:colOff>2238944</xdr:colOff>
      <xdr:row>295</xdr:row>
      <xdr:rowOff>61913</xdr:rowOff>
    </xdr:from>
    <xdr:to>
      <xdr:col>3</xdr:col>
      <xdr:colOff>4552381</xdr:colOff>
      <xdr:row>295</xdr:row>
      <xdr:rowOff>2166938</xdr:rowOff>
    </xdr:to>
    <xdr:pic>
      <xdr:nvPicPr>
        <xdr:cNvPr id="296" name="Picture 295" descr="Insight Picture 295"/>
        <xdr:cNvPicPr>
          <a:picLocks noChangeAspect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2219" y="740440163"/>
          <a:ext cx="2313437" cy="2105025"/>
        </a:xfrm>
        <a:prstGeom prst="rect">
          <a:avLst/>
        </a:prstGeom>
      </xdr:spPr>
    </xdr:pic>
    <xdr:clientData/>
  </xdr:twoCellAnchor>
  <xdr:twoCellAnchor editAs="oneCell">
    <xdr:from>
      <xdr:col>3</xdr:col>
      <xdr:colOff>2067578</xdr:colOff>
      <xdr:row>296</xdr:row>
      <xdr:rowOff>61913</xdr:rowOff>
    </xdr:from>
    <xdr:to>
      <xdr:col>3</xdr:col>
      <xdr:colOff>4723746</xdr:colOff>
      <xdr:row>296</xdr:row>
      <xdr:rowOff>3309938</xdr:rowOff>
    </xdr:to>
    <xdr:pic>
      <xdr:nvPicPr>
        <xdr:cNvPr id="297" name="Picture 296" descr="Insight Picture 296"/>
        <xdr:cNvPicPr>
          <a:picLocks noChangeAspect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853" y="742669013"/>
          <a:ext cx="2656168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1896213</xdr:colOff>
      <xdr:row>297</xdr:row>
      <xdr:rowOff>61913</xdr:rowOff>
    </xdr:from>
    <xdr:to>
      <xdr:col>3</xdr:col>
      <xdr:colOff>4895112</xdr:colOff>
      <xdr:row>297</xdr:row>
      <xdr:rowOff>3309938</xdr:rowOff>
    </xdr:to>
    <xdr:pic>
      <xdr:nvPicPr>
        <xdr:cNvPr id="298" name="Picture 297" descr="Insight Picture 297"/>
        <xdr:cNvPicPr>
          <a:picLocks noChangeAspect="1"/>
        </xdr:cNvPicPr>
      </xdr:nvPicPr>
      <xdr:blipFill>
        <a:blip xmlns:r="http://schemas.openxmlformats.org/officeDocument/2006/relationships" r:embed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9488" y="746040863"/>
          <a:ext cx="2998899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2119940</xdr:colOff>
      <xdr:row>298</xdr:row>
      <xdr:rowOff>61913</xdr:rowOff>
    </xdr:from>
    <xdr:to>
      <xdr:col>3</xdr:col>
      <xdr:colOff>4671385</xdr:colOff>
      <xdr:row>298</xdr:row>
      <xdr:rowOff>2166938</xdr:rowOff>
    </xdr:to>
    <xdr:pic>
      <xdr:nvPicPr>
        <xdr:cNvPr id="299" name="Picture 298" descr="Insight Picture 298"/>
        <xdr:cNvPicPr>
          <a:picLocks noChangeAspect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3215" y="749412713"/>
          <a:ext cx="2551445" cy="2105025"/>
        </a:xfrm>
        <a:prstGeom prst="rect">
          <a:avLst/>
        </a:prstGeom>
      </xdr:spPr>
    </xdr:pic>
    <xdr:clientData/>
  </xdr:twoCellAnchor>
  <xdr:twoCellAnchor editAs="oneCell">
    <xdr:from>
      <xdr:col>3</xdr:col>
      <xdr:colOff>2443631</xdr:colOff>
      <xdr:row>299</xdr:row>
      <xdr:rowOff>61913</xdr:rowOff>
    </xdr:from>
    <xdr:to>
      <xdr:col>3</xdr:col>
      <xdr:colOff>4347694</xdr:colOff>
      <xdr:row>299</xdr:row>
      <xdr:rowOff>3119438</xdr:rowOff>
    </xdr:to>
    <xdr:pic>
      <xdr:nvPicPr>
        <xdr:cNvPr id="300" name="Picture 299" descr="Insight Picture 299"/>
        <xdr:cNvPicPr>
          <a:picLocks noChangeAspect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6906" y="751641563"/>
          <a:ext cx="1904063" cy="3057525"/>
        </a:xfrm>
        <a:prstGeom prst="rect">
          <a:avLst/>
        </a:prstGeom>
      </xdr:spPr>
    </xdr:pic>
    <xdr:clientData/>
  </xdr:twoCellAnchor>
  <xdr:twoCellAnchor editAs="oneCell">
    <xdr:from>
      <xdr:col>3</xdr:col>
      <xdr:colOff>2048538</xdr:colOff>
      <xdr:row>300</xdr:row>
      <xdr:rowOff>61913</xdr:rowOff>
    </xdr:from>
    <xdr:to>
      <xdr:col>3</xdr:col>
      <xdr:colOff>4742787</xdr:colOff>
      <xdr:row>300</xdr:row>
      <xdr:rowOff>2166938</xdr:rowOff>
    </xdr:to>
    <xdr:pic>
      <xdr:nvPicPr>
        <xdr:cNvPr id="301" name="Picture 300" descr="Insight Picture 300"/>
        <xdr:cNvPicPr>
          <a:picLocks noChangeAspect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813" y="754822913"/>
          <a:ext cx="2694249" cy="2105025"/>
        </a:xfrm>
        <a:prstGeom prst="rect">
          <a:avLst/>
        </a:prstGeom>
      </xdr:spPr>
    </xdr:pic>
    <xdr:clientData/>
  </xdr:twoCellAnchor>
  <xdr:twoCellAnchor editAs="oneCell">
    <xdr:from>
      <xdr:col>3</xdr:col>
      <xdr:colOff>2553115</xdr:colOff>
      <xdr:row>301</xdr:row>
      <xdr:rowOff>61913</xdr:rowOff>
    </xdr:from>
    <xdr:to>
      <xdr:col>3</xdr:col>
      <xdr:colOff>4238211</xdr:colOff>
      <xdr:row>301</xdr:row>
      <xdr:rowOff>1462088</xdr:rowOff>
    </xdr:to>
    <xdr:pic>
      <xdr:nvPicPr>
        <xdr:cNvPr id="302" name="Picture 301" descr="Insight Picture 301"/>
        <xdr:cNvPicPr>
          <a:picLocks noChangeAspect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6390" y="757051763"/>
          <a:ext cx="1685096" cy="1400175"/>
        </a:xfrm>
        <a:prstGeom prst="rect">
          <a:avLst/>
        </a:prstGeom>
      </xdr:spPr>
    </xdr:pic>
    <xdr:clientData/>
  </xdr:twoCellAnchor>
  <xdr:twoCellAnchor editAs="oneCell">
    <xdr:from>
      <xdr:col>3</xdr:col>
      <xdr:colOff>2291306</xdr:colOff>
      <xdr:row>302</xdr:row>
      <xdr:rowOff>61913</xdr:rowOff>
    </xdr:from>
    <xdr:to>
      <xdr:col>3</xdr:col>
      <xdr:colOff>4500019</xdr:colOff>
      <xdr:row>302</xdr:row>
      <xdr:rowOff>2224088</xdr:rowOff>
    </xdr:to>
    <xdr:pic>
      <xdr:nvPicPr>
        <xdr:cNvPr id="303" name="Picture 302" descr="Insight Picture 302"/>
        <xdr:cNvPicPr>
          <a:picLocks noChangeAspect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4581" y="758575763"/>
          <a:ext cx="2208713" cy="2162175"/>
        </a:xfrm>
        <a:prstGeom prst="rect">
          <a:avLst/>
        </a:prstGeom>
      </xdr:spPr>
    </xdr:pic>
    <xdr:clientData/>
  </xdr:twoCellAnchor>
  <xdr:twoCellAnchor editAs="oneCell">
    <xdr:from>
      <xdr:col>3</xdr:col>
      <xdr:colOff>2105660</xdr:colOff>
      <xdr:row>303</xdr:row>
      <xdr:rowOff>61913</xdr:rowOff>
    </xdr:from>
    <xdr:to>
      <xdr:col>3</xdr:col>
      <xdr:colOff>4685665</xdr:colOff>
      <xdr:row>303</xdr:row>
      <xdr:rowOff>3309938</xdr:rowOff>
    </xdr:to>
    <xdr:pic>
      <xdr:nvPicPr>
        <xdr:cNvPr id="304" name="Picture 303" descr="Insight Picture 303"/>
        <xdr:cNvPicPr>
          <a:picLocks noChangeAspect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935" y="760861763"/>
          <a:ext cx="2580005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2415070</xdr:colOff>
      <xdr:row>304</xdr:row>
      <xdr:rowOff>61913</xdr:rowOff>
    </xdr:from>
    <xdr:to>
      <xdr:col>3</xdr:col>
      <xdr:colOff>4376255</xdr:colOff>
      <xdr:row>304</xdr:row>
      <xdr:rowOff>3309938</xdr:rowOff>
    </xdr:to>
    <xdr:pic>
      <xdr:nvPicPr>
        <xdr:cNvPr id="305" name="Picture 304" descr="Insight Picture 304"/>
        <xdr:cNvPicPr>
          <a:picLocks noChangeAspect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8345" y="764233613"/>
          <a:ext cx="1961185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2272266</xdr:colOff>
      <xdr:row>305</xdr:row>
      <xdr:rowOff>61913</xdr:rowOff>
    </xdr:from>
    <xdr:to>
      <xdr:col>3</xdr:col>
      <xdr:colOff>4519060</xdr:colOff>
      <xdr:row>305</xdr:row>
      <xdr:rowOff>3119438</xdr:rowOff>
    </xdr:to>
    <xdr:pic>
      <xdr:nvPicPr>
        <xdr:cNvPr id="306" name="Picture 305" descr="Insight Picture 305"/>
        <xdr:cNvPicPr>
          <a:picLocks noChangeAspect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541" y="767605463"/>
          <a:ext cx="2246794" cy="3057525"/>
        </a:xfrm>
        <a:prstGeom prst="rect">
          <a:avLst/>
        </a:prstGeom>
      </xdr:spPr>
    </xdr:pic>
    <xdr:clientData/>
  </xdr:twoCellAnchor>
  <xdr:twoCellAnchor editAs="oneCell">
    <xdr:from>
      <xdr:col>3</xdr:col>
      <xdr:colOff>2353188</xdr:colOff>
      <xdr:row>306</xdr:row>
      <xdr:rowOff>61913</xdr:rowOff>
    </xdr:from>
    <xdr:to>
      <xdr:col>3</xdr:col>
      <xdr:colOff>4438137</xdr:colOff>
      <xdr:row>306</xdr:row>
      <xdr:rowOff>2166938</xdr:rowOff>
    </xdr:to>
    <xdr:pic>
      <xdr:nvPicPr>
        <xdr:cNvPr id="307" name="Picture 306" descr="Insight Picture 306"/>
        <xdr:cNvPicPr>
          <a:picLocks noChangeAspect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6463" y="770786813"/>
          <a:ext cx="2084949" cy="2105025"/>
        </a:xfrm>
        <a:prstGeom prst="rect">
          <a:avLst/>
        </a:prstGeom>
      </xdr:spPr>
    </xdr:pic>
    <xdr:clientData/>
  </xdr:twoCellAnchor>
  <xdr:twoCellAnchor editAs="oneCell">
    <xdr:from>
      <xdr:col>3</xdr:col>
      <xdr:colOff>1891452</xdr:colOff>
      <xdr:row>307</xdr:row>
      <xdr:rowOff>61913</xdr:rowOff>
    </xdr:from>
    <xdr:to>
      <xdr:col>3</xdr:col>
      <xdr:colOff>4899872</xdr:colOff>
      <xdr:row>307</xdr:row>
      <xdr:rowOff>2967038</xdr:rowOff>
    </xdr:to>
    <xdr:pic>
      <xdr:nvPicPr>
        <xdr:cNvPr id="308" name="Picture 307" descr="Insight Picture 307"/>
        <xdr:cNvPicPr>
          <a:picLocks noChangeAspect="1"/>
        </xdr:cNvPicPr>
      </xdr:nvPicPr>
      <xdr:blipFill>
        <a:blip xmlns:r="http://schemas.openxmlformats.org/officeDocument/2006/relationships" r:embed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4727" y="773015663"/>
          <a:ext cx="3008420" cy="2905125"/>
        </a:xfrm>
        <a:prstGeom prst="rect">
          <a:avLst/>
        </a:prstGeom>
      </xdr:spPr>
    </xdr:pic>
    <xdr:clientData/>
  </xdr:twoCellAnchor>
  <xdr:twoCellAnchor editAs="oneCell">
    <xdr:from>
      <xdr:col>3</xdr:col>
      <xdr:colOff>1091747</xdr:colOff>
      <xdr:row>308</xdr:row>
      <xdr:rowOff>61913</xdr:rowOff>
    </xdr:from>
    <xdr:to>
      <xdr:col>3</xdr:col>
      <xdr:colOff>5699579</xdr:colOff>
      <xdr:row>308</xdr:row>
      <xdr:rowOff>2424113</xdr:rowOff>
    </xdr:to>
    <xdr:pic>
      <xdr:nvPicPr>
        <xdr:cNvPr id="309" name="Picture 308" descr="Insight Picture 308"/>
        <xdr:cNvPicPr>
          <a:picLocks noChangeAspect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022" y="776044613"/>
          <a:ext cx="4607832" cy="2362200"/>
        </a:xfrm>
        <a:prstGeom prst="rect">
          <a:avLst/>
        </a:prstGeom>
      </xdr:spPr>
    </xdr:pic>
    <xdr:clientData/>
  </xdr:twoCellAnchor>
  <xdr:twoCellAnchor editAs="oneCell">
    <xdr:from>
      <xdr:col>3</xdr:col>
      <xdr:colOff>2205623</xdr:colOff>
      <xdr:row>309</xdr:row>
      <xdr:rowOff>61913</xdr:rowOff>
    </xdr:from>
    <xdr:to>
      <xdr:col>3</xdr:col>
      <xdr:colOff>4585702</xdr:colOff>
      <xdr:row>309</xdr:row>
      <xdr:rowOff>2776538</xdr:rowOff>
    </xdr:to>
    <xdr:pic>
      <xdr:nvPicPr>
        <xdr:cNvPr id="310" name="Picture 309" descr="Insight Picture 309"/>
        <xdr:cNvPicPr>
          <a:picLocks noChangeAspect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8898" y="778530638"/>
          <a:ext cx="2380079" cy="2714625"/>
        </a:xfrm>
        <a:prstGeom prst="rect">
          <a:avLst/>
        </a:prstGeom>
      </xdr:spPr>
    </xdr:pic>
    <xdr:clientData/>
  </xdr:twoCellAnchor>
  <xdr:twoCellAnchor editAs="oneCell">
    <xdr:from>
      <xdr:col>3</xdr:col>
      <xdr:colOff>2264784</xdr:colOff>
      <xdr:row>310</xdr:row>
      <xdr:rowOff>61913</xdr:rowOff>
    </xdr:from>
    <xdr:to>
      <xdr:col>3</xdr:col>
      <xdr:colOff>4526541</xdr:colOff>
      <xdr:row>310</xdr:row>
      <xdr:rowOff>1652588</xdr:rowOff>
    </xdr:to>
    <xdr:pic>
      <xdr:nvPicPr>
        <xdr:cNvPr id="311" name="Picture 310" descr="Insight Picture 310"/>
        <xdr:cNvPicPr>
          <a:picLocks noChangeAspect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8059" y="781369088"/>
          <a:ext cx="2261757" cy="1590675"/>
        </a:xfrm>
        <a:prstGeom prst="rect">
          <a:avLst/>
        </a:prstGeom>
      </xdr:spPr>
    </xdr:pic>
    <xdr:clientData/>
  </xdr:twoCellAnchor>
  <xdr:twoCellAnchor editAs="oneCell">
    <xdr:from>
      <xdr:col>3</xdr:col>
      <xdr:colOff>2281786</xdr:colOff>
      <xdr:row>311</xdr:row>
      <xdr:rowOff>61913</xdr:rowOff>
    </xdr:from>
    <xdr:to>
      <xdr:col>3</xdr:col>
      <xdr:colOff>4509540</xdr:colOff>
      <xdr:row>311</xdr:row>
      <xdr:rowOff>3309938</xdr:rowOff>
    </xdr:to>
    <xdr:pic>
      <xdr:nvPicPr>
        <xdr:cNvPr id="312" name="Picture 311" descr="Insight Picture 311"/>
        <xdr:cNvPicPr>
          <a:picLocks noChangeAspect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5061" y="783083588"/>
          <a:ext cx="2227754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2281786</xdr:colOff>
      <xdr:row>312</xdr:row>
      <xdr:rowOff>61913</xdr:rowOff>
    </xdr:from>
    <xdr:to>
      <xdr:col>3</xdr:col>
      <xdr:colOff>4509540</xdr:colOff>
      <xdr:row>312</xdr:row>
      <xdr:rowOff>2005013</xdr:rowOff>
    </xdr:to>
    <xdr:pic>
      <xdr:nvPicPr>
        <xdr:cNvPr id="313" name="Picture 312" descr="Insight Picture 312"/>
        <xdr:cNvPicPr>
          <a:picLocks noChangeAspect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5061" y="786455438"/>
          <a:ext cx="2227754" cy="1943100"/>
        </a:xfrm>
        <a:prstGeom prst="rect">
          <a:avLst/>
        </a:prstGeom>
      </xdr:spPr>
    </xdr:pic>
    <xdr:clientData/>
  </xdr:twoCellAnchor>
  <xdr:twoCellAnchor editAs="oneCell">
    <xdr:from>
      <xdr:col>3</xdr:col>
      <xdr:colOff>2400790</xdr:colOff>
      <xdr:row>313</xdr:row>
      <xdr:rowOff>61913</xdr:rowOff>
    </xdr:from>
    <xdr:to>
      <xdr:col>3</xdr:col>
      <xdr:colOff>4390536</xdr:colOff>
      <xdr:row>313</xdr:row>
      <xdr:rowOff>2128838</xdr:rowOff>
    </xdr:to>
    <xdr:pic>
      <xdr:nvPicPr>
        <xdr:cNvPr id="314" name="Picture 313" descr="Insight Picture 313"/>
        <xdr:cNvPicPr>
          <a:picLocks noChangeAspect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4065" y="788522363"/>
          <a:ext cx="1989746" cy="2066925"/>
        </a:xfrm>
        <a:prstGeom prst="rect">
          <a:avLst/>
        </a:prstGeom>
      </xdr:spPr>
    </xdr:pic>
    <xdr:clientData/>
  </xdr:twoCellAnchor>
  <xdr:twoCellAnchor editAs="oneCell">
    <xdr:from>
      <xdr:col>3</xdr:col>
      <xdr:colOff>2238944</xdr:colOff>
      <xdr:row>314</xdr:row>
      <xdr:rowOff>61913</xdr:rowOff>
    </xdr:from>
    <xdr:to>
      <xdr:col>3</xdr:col>
      <xdr:colOff>4552381</xdr:colOff>
      <xdr:row>314</xdr:row>
      <xdr:rowOff>2166938</xdr:rowOff>
    </xdr:to>
    <xdr:pic>
      <xdr:nvPicPr>
        <xdr:cNvPr id="315" name="Picture 314" descr="Insight Picture 314"/>
        <xdr:cNvPicPr>
          <a:picLocks noChangeAspect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2219" y="790713113"/>
          <a:ext cx="2313437" cy="2105025"/>
        </a:xfrm>
        <a:prstGeom prst="rect">
          <a:avLst/>
        </a:prstGeom>
      </xdr:spPr>
    </xdr:pic>
    <xdr:clientData/>
  </xdr:twoCellAnchor>
  <xdr:twoCellAnchor editAs="oneCell">
    <xdr:from>
      <xdr:col>3</xdr:col>
      <xdr:colOff>2495993</xdr:colOff>
      <xdr:row>315</xdr:row>
      <xdr:rowOff>61913</xdr:rowOff>
    </xdr:from>
    <xdr:to>
      <xdr:col>3</xdr:col>
      <xdr:colOff>4295332</xdr:colOff>
      <xdr:row>315</xdr:row>
      <xdr:rowOff>2157413</xdr:rowOff>
    </xdr:to>
    <xdr:pic>
      <xdr:nvPicPr>
        <xdr:cNvPr id="316" name="Picture 315" descr="Insight Picture 315"/>
        <xdr:cNvPicPr>
          <a:picLocks noChangeAspect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9268" y="792941963"/>
          <a:ext cx="1799339" cy="2095500"/>
        </a:xfrm>
        <a:prstGeom prst="rect">
          <a:avLst/>
        </a:prstGeom>
      </xdr:spPr>
    </xdr:pic>
    <xdr:clientData/>
  </xdr:twoCellAnchor>
  <xdr:twoCellAnchor editAs="oneCell">
    <xdr:from>
      <xdr:col>3</xdr:col>
      <xdr:colOff>1724847</xdr:colOff>
      <xdr:row>316</xdr:row>
      <xdr:rowOff>61913</xdr:rowOff>
    </xdr:from>
    <xdr:to>
      <xdr:col>3</xdr:col>
      <xdr:colOff>5066477</xdr:colOff>
      <xdr:row>316</xdr:row>
      <xdr:rowOff>1395413</xdr:rowOff>
    </xdr:to>
    <xdr:pic>
      <xdr:nvPicPr>
        <xdr:cNvPr id="317" name="Picture 316" descr="Insight Picture 316"/>
        <xdr:cNvPicPr>
          <a:picLocks noChangeAspect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8122" y="795161288"/>
          <a:ext cx="3341630" cy="1333500"/>
        </a:xfrm>
        <a:prstGeom prst="rect">
          <a:avLst/>
        </a:prstGeom>
      </xdr:spPr>
    </xdr:pic>
    <xdr:clientData/>
  </xdr:twoCellAnchor>
  <xdr:twoCellAnchor editAs="oneCell">
    <xdr:from>
      <xdr:col>3</xdr:col>
      <xdr:colOff>2096139</xdr:colOff>
      <xdr:row>317</xdr:row>
      <xdr:rowOff>61913</xdr:rowOff>
    </xdr:from>
    <xdr:to>
      <xdr:col>3</xdr:col>
      <xdr:colOff>4695185</xdr:colOff>
      <xdr:row>317</xdr:row>
      <xdr:rowOff>2747963</xdr:rowOff>
    </xdr:to>
    <xdr:pic>
      <xdr:nvPicPr>
        <xdr:cNvPr id="318" name="Picture 317" descr="Insight Picture 317"/>
        <xdr:cNvPicPr>
          <a:picLocks noChangeAspect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9414" y="796618613"/>
          <a:ext cx="2599046" cy="2686050"/>
        </a:xfrm>
        <a:prstGeom prst="rect">
          <a:avLst/>
        </a:prstGeom>
      </xdr:spPr>
    </xdr:pic>
    <xdr:clientData/>
  </xdr:twoCellAnchor>
  <xdr:twoCellAnchor editAs="oneCell">
    <xdr:from>
      <xdr:col>3</xdr:col>
      <xdr:colOff>1920014</xdr:colOff>
      <xdr:row>318</xdr:row>
      <xdr:rowOff>61913</xdr:rowOff>
    </xdr:from>
    <xdr:to>
      <xdr:col>3</xdr:col>
      <xdr:colOff>4871311</xdr:colOff>
      <xdr:row>318</xdr:row>
      <xdr:rowOff>2195513</xdr:rowOff>
    </xdr:to>
    <xdr:pic>
      <xdr:nvPicPr>
        <xdr:cNvPr id="319" name="Picture 318" descr="Insight Picture 318"/>
        <xdr:cNvPicPr>
          <a:picLocks noChangeAspect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3289" y="799428488"/>
          <a:ext cx="2951297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2462672</xdr:colOff>
      <xdr:row>319</xdr:row>
      <xdr:rowOff>61913</xdr:rowOff>
    </xdr:from>
    <xdr:to>
      <xdr:col>3</xdr:col>
      <xdr:colOff>4328653</xdr:colOff>
      <xdr:row>319</xdr:row>
      <xdr:rowOff>3205163</xdr:rowOff>
    </xdr:to>
    <xdr:pic>
      <xdr:nvPicPr>
        <xdr:cNvPr id="320" name="Picture 319" descr="Insight Picture 319"/>
        <xdr:cNvPicPr>
          <a:picLocks noChangeAspect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5947" y="801685913"/>
          <a:ext cx="1865981" cy="3143250"/>
        </a:xfrm>
        <a:prstGeom prst="rect">
          <a:avLst/>
        </a:prstGeom>
      </xdr:spPr>
    </xdr:pic>
    <xdr:clientData/>
  </xdr:twoCellAnchor>
  <xdr:twoCellAnchor editAs="oneCell">
    <xdr:from>
      <xdr:col>3</xdr:col>
      <xdr:colOff>2034258</xdr:colOff>
      <xdr:row>320</xdr:row>
      <xdr:rowOff>61913</xdr:rowOff>
    </xdr:from>
    <xdr:to>
      <xdr:col>3</xdr:col>
      <xdr:colOff>4757068</xdr:colOff>
      <xdr:row>320</xdr:row>
      <xdr:rowOff>2195513</xdr:rowOff>
    </xdr:to>
    <xdr:pic>
      <xdr:nvPicPr>
        <xdr:cNvPr id="321" name="Picture 320" descr="Insight Picture 320"/>
        <xdr:cNvPicPr>
          <a:picLocks noChangeAspect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7533" y="804952988"/>
          <a:ext cx="2722810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2315106</xdr:colOff>
      <xdr:row>321</xdr:row>
      <xdr:rowOff>61913</xdr:rowOff>
    </xdr:from>
    <xdr:to>
      <xdr:col>3</xdr:col>
      <xdr:colOff>4476218</xdr:colOff>
      <xdr:row>321</xdr:row>
      <xdr:rowOff>3309938</xdr:rowOff>
    </xdr:to>
    <xdr:pic>
      <xdr:nvPicPr>
        <xdr:cNvPr id="322" name="Picture 321" descr="Insight Picture 321"/>
        <xdr:cNvPicPr>
          <a:picLocks noChangeAspect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381" y="807210413"/>
          <a:ext cx="2161112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1291673</xdr:colOff>
      <xdr:row>322</xdr:row>
      <xdr:rowOff>61913</xdr:rowOff>
    </xdr:from>
    <xdr:to>
      <xdr:col>3</xdr:col>
      <xdr:colOff>5499652</xdr:colOff>
      <xdr:row>322</xdr:row>
      <xdr:rowOff>2300288</xdr:rowOff>
    </xdr:to>
    <xdr:pic>
      <xdr:nvPicPr>
        <xdr:cNvPr id="323" name="Picture 322" descr="Insight Picture 322"/>
        <xdr:cNvPicPr>
          <a:picLocks noChangeAspect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4948" y="810582263"/>
          <a:ext cx="4207979" cy="2238375"/>
        </a:xfrm>
        <a:prstGeom prst="rect">
          <a:avLst/>
        </a:prstGeom>
      </xdr:spPr>
    </xdr:pic>
    <xdr:clientData/>
  </xdr:twoCellAnchor>
  <xdr:twoCellAnchor editAs="oneCell">
    <xdr:from>
      <xdr:col>3</xdr:col>
      <xdr:colOff>2486472</xdr:colOff>
      <xdr:row>323</xdr:row>
      <xdr:rowOff>61913</xdr:rowOff>
    </xdr:from>
    <xdr:to>
      <xdr:col>3</xdr:col>
      <xdr:colOff>4304852</xdr:colOff>
      <xdr:row>323</xdr:row>
      <xdr:rowOff>2719388</xdr:rowOff>
    </xdr:to>
    <xdr:pic>
      <xdr:nvPicPr>
        <xdr:cNvPr id="324" name="Picture 323" descr="Insight Picture 323"/>
        <xdr:cNvPicPr>
          <a:picLocks noChangeAspect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747" y="812944463"/>
          <a:ext cx="1818380" cy="2657475"/>
        </a:xfrm>
        <a:prstGeom prst="rect">
          <a:avLst/>
        </a:prstGeom>
      </xdr:spPr>
    </xdr:pic>
    <xdr:clientData/>
  </xdr:twoCellAnchor>
  <xdr:twoCellAnchor editAs="oneCell">
    <xdr:from>
      <xdr:col>3</xdr:col>
      <xdr:colOff>1753408</xdr:colOff>
      <xdr:row>324</xdr:row>
      <xdr:rowOff>61913</xdr:rowOff>
    </xdr:from>
    <xdr:to>
      <xdr:col>3</xdr:col>
      <xdr:colOff>5037916</xdr:colOff>
      <xdr:row>324</xdr:row>
      <xdr:rowOff>2767013</xdr:rowOff>
    </xdr:to>
    <xdr:pic>
      <xdr:nvPicPr>
        <xdr:cNvPr id="325" name="Picture 324" descr="Insight Picture 324"/>
        <xdr:cNvPicPr>
          <a:picLocks noChangeAspect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6683" y="815725763"/>
          <a:ext cx="3284508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2376989</xdr:colOff>
      <xdr:row>325</xdr:row>
      <xdr:rowOff>61913</xdr:rowOff>
    </xdr:from>
    <xdr:to>
      <xdr:col>3</xdr:col>
      <xdr:colOff>4414336</xdr:colOff>
      <xdr:row>325</xdr:row>
      <xdr:rowOff>1604963</xdr:rowOff>
    </xdr:to>
    <xdr:pic>
      <xdr:nvPicPr>
        <xdr:cNvPr id="326" name="Picture 325" descr="Insight Picture 325"/>
        <xdr:cNvPicPr>
          <a:picLocks noChangeAspect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0264" y="818554688"/>
          <a:ext cx="2037347" cy="1543050"/>
        </a:xfrm>
        <a:prstGeom prst="rect">
          <a:avLst/>
        </a:prstGeom>
      </xdr:spPr>
    </xdr:pic>
    <xdr:clientData/>
  </xdr:twoCellAnchor>
  <xdr:twoCellAnchor editAs="oneCell">
    <xdr:from>
      <xdr:col>3</xdr:col>
      <xdr:colOff>2443631</xdr:colOff>
      <xdr:row>326</xdr:row>
      <xdr:rowOff>61913</xdr:rowOff>
    </xdr:from>
    <xdr:to>
      <xdr:col>3</xdr:col>
      <xdr:colOff>4347694</xdr:colOff>
      <xdr:row>326</xdr:row>
      <xdr:rowOff>3119438</xdr:rowOff>
    </xdr:to>
    <xdr:pic>
      <xdr:nvPicPr>
        <xdr:cNvPr id="327" name="Picture 326" descr="Insight Picture 326"/>
        <xdr:cNvPicPr>
          <a:picLocks noChangeAspect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6906" y="820221563"/>
          <a:ext cx="1904063" cy="3057525"/>
        </a:xfrm>
        <a:prstGeom prst="rect">
          <a:avLst/>
        </a:prstGeom>
      </xdr:spPr>
    </xdr:pic>
    <xdr:clientData/>
  </xdr:twoCellAnchor>
  <xdr:twoCellAnchor editAs="oneCell">
    <xdr:from>
      <xdr:col>3</xdr:col>
      <xdr:colOff>1896213</xdr:colOff>
      <xdr:row>327</xdr:row>
      <xdr:rowOff>61913</xdr:rowOff>
    </xdr:from>
    <xdr:to>
      <xdr:col>3</xdr:col>
      <xdr:colOff>4895112</xdr:colOff>
      <xdr:row>327</xdr:row>
      <xdr:rowOff>1957388</xdr:rowOff>
    </xdr:to>
    <xdr:pic>
      <xdr:nvPicPr>
        <xdr:cNvPr id="328" name="Picture 327" descr="Insight Picture 327"/>
        <xdr:cNvPicPr>
          <a:picLocks noChangeAspect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9488" y="823402913"/>
          <a:ext cx="2998899" cy="1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1591563</xdr:colOff>
      <xdr:row>328</xdr:row>
      <xdr:rowOff>61913</xdr:rowOff>
    </xdr:from>
    <xdr:to>
      <xdr:col>3</xdr:col>
      <xdr:colOff>5199762</xdr:colOff>
      <xdr:row>328</xdr:row>
      <xdr:rowOff>2681288</xdr:rowOff>
    </xdr:to>
    <xdr:pic>
      <xdr:nvPicPr>
        <xdr:cNvPr id="329" name="Picture 328" descr="Insight Picture 328"/>
        <xdr:cNvPicPr>
          <a:picLocks noChangeAspect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4838" y="825422213"/>
          <a:ext cx="3608199" cy="2619375"/>
        </a:xfrm>
        <a:prstGeom prst="rect">
          <a:avLst/>
        </a:prstGeom>
      </xdr:spPr>
    </xdr:pic>
    <xdr:clientData/>
  </xdr:twoCellAnchor>
  <xdr:twoCellAnchor editAs="oneCell">
    <xdr:from>
      <xdr:col>3</xdr:col>
      <xdr:colOff>2505513</xdr:colOff>
      <xdr:row>329</xdr:row>
      <xdr:rowOff>61913</xdr:rowOff>
    </xdr:from>
    <xdr:to>
      <xdr:col>3</xdr:col>
      <xdr:colOff>4285812</xdr:colOff>
      <xdr:row>329</xdr:row>
      <xdr:rowOff>1833563</xdr:rowOff>
    </xdr:to>
    <xdr:pic>
      <xdr:nvPicPr>
        <xdr:cNvPr id="330" name="Picture 329" descr="Insight Picture 329"/>
        <xdr:cNvPicPr>
          <a:picLocks noChangeAspect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788" y="828165413"/>
          <a:ext cx="1780299" cy="1771650"/>
        </a:xfrm>
        <a:prstGeom prst="rect">
          <a:avLst/>
        </a:prstGeom>
      </xdr:spPr>
    </xdr:pic>
    <xdr:clientData/>
  </xdr:twoCellAnchor>
  <xdr:twoCellAnchor editAs="oneCell">
    <xdr:from>
      <xdr:col>3</xdr:col>
      <xdr:colOff>1386877</xdr:colOff>
      <xdr:row>330</xdr:row>
      <xdr:rowOff>61913</xdr:rowOff>
    </xdr:from>
    <xdr:to>
      <xdr:col>3</xdr:col>
      <xdr:colOff>5404449</xdr:colOff>
      <xdr:row>330</xdr:row>
      <xdr:rowOff>1947863</xdr:rowOff>
    </xdr:to>
    <xdr:pic>
      <xdr:nvPicPr>
        <xdr:cNvPr id="331" name="Picture 330" descr="Insight Picture 330"/>
        <xdr:cNvPicPr>
          <a:picLocks noChangeAspect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152" y="830060888"/>
          <a:ext cx="4017572" cy="1885950"/>
        </a:xfrm>
        <a:prstGeom prst="rect">
          <a:avLst/>
        </a:prstGeom>
      </xdr:spPr>
    </xdr:pic>
    <xdr:clientData/>
  </xdr:twoCellAnchor>
  <xdr:twoCellAnchor editAs="oneCell">
    <xdr:from>
      <xdr:col>3</xdr:col>
      <xdr:colOff>1834331</xdr:colOff>
      <xdr:row>331</xdr:row>
      <xdr:rowOff>61913</xdr:rowOff>
    </xdr:from>
    <xdr:to>
      <xdr:col>3</xdr:col>
      <xdr:colOff>4956994</xdr:colOff>
      <xdr:row>331</xdr:row>
      <xdr:rowOff>2767013</xdr:rowOff>
    </xdr:to>
    <xdr:pic>
      <xdr:nvPicPr>
        <xdr:cNvPr id="332" name="Picture 331" descr="Insight Picture 331"/>
        <xdr:cNvPicPr>
          <a:picLocks noChangeAspect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7606" y="832070663"/>
          <a:ext cx="3122663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2257985</xdr:colOff>
      <xdr:row>332</xdr:row>
      <xdr:rowOff>61913</xdr:rowOff>
    </xdr:from>
    <xdr:to>
      <xdr:col>3</xdr:col>
      <xdr:colOff>4533340</xdr:colOff>
      <xdr:row>332</xdr:row>
      <xdr:rowOff>2681288</xdr:rowOff>
    </xdr:to>
    <xdr:pic>
      <xdr:nvPicPr>
        <xdr:cNvPr id="333" name="Picture 332" descr="Insight Picture 332"/>
        <xdr:cNvPicPr>
          <a:picLocks noChangeAspect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1260" y="834899588"/>
          <a:ext cx="2275355" cy="2619375"/>
        </a:xfrm>
        <a:prstGeom prst="rect">
          <a:avLst/>
        </a:prstGeom>
      </xdr:spPr>
    </xdr:pic>
    <xdr:clientData/>
  </xdr:twoCellAnchor>
  <xdr:twoCellAnchor editAs="oneCell">
    <xdr:from>
      <xdr:col>3</xdr:col>
      <xdr:colOff>1981896</xdr:colOff>
      <xdr:row>333</xdr:row>
      <xdr:rowOff>61913</xdr:rowOff>
    </xdr:from>
    <xdr:to>
      <xdr:col>3</xdr:col>
      <xdr:colOff>4809429</xdr:colOff>
      <xdr:row>333</xdr:row>
      <xdr:rowOff>3309938</xdr:rowOff>
    </xdr:to>
    <xdr:pic>
      <xdr:nvPicPr>
        <xdr:cNvPr id="334" name="Picture 333" descr="Insight Picture 333"/>
        <xdr:cNvPicPr>
          <a:picLocks noChangeAspect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5171" y="837642788"/>
          <a:ext cx="2827533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2405550</xdr:colOff>
      <xdr:row>334</xdr:row>
      <xdr:rowOff>61913</xdr:rowOff>
    </xdr:from>
    <xdr:to>
      <xdr:col>3</xdr:col>
      <xdr:colOff>4385775</xdr:colOff>
      <xdr:row>334</xdr:row>
      <xdr:rowOff>2719388</xdr:rowOff>
    </xdr:to>
    <xdr:pic>
      <xdr:nvPicPr>
        <xdr:cNvPr id="335" name="Picture 334" descr="Insight Picture 334"/>
        <xdr:cNvPicPr>
          <a:picLocks noChangeAspect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825" y="841014638"/>
          <a:ext cx="1980225" cy="2657475"/>
        </a:xfrm>
        <a:prstGeom prst="rect">
          <a:avLst/>
        </a:prstGeom>
      </xdr:spPr>
    </xdr:pic>
    <xdr:clientData/>
  </xdr:twoCellAnchor>
  <xdr:twoCellAnchor editAs="oneCell">
    <xdr:from>
      <xdr:col>3</xdr:col>
      <xdr:colOff>1658205</xdr:colOff>
      <xdr:row>335</xdr:row>
      <xdr:rowOff>61913</xdr:rowOff>
    </xdr:from>
    <xdr:to>
      <xdr:col>3</xdr:col>
      <xdr:colOff>5133120</xdr:colOff>
      <xdr:row>335</xdr:row>
      <xdr:rowOff>1976438</xdr:rowOff>
    </xdr:to>
    <xdr:pic>
      <xdr:nvPicPr>
        <xdr:cNvPr id="336" name="Picture 335" descr="Insight Picture 335"/>
        <xdr:cNvPicPr>
          <a:picLocks noChangeAspect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1480" y="843795938"/>
          <a:ext cx="3474915" cy="1914525"/>
        </a:xfrm>
        <a:prstGeom prst="rect">
          <a:avLst/>
        </a:prstGeom>
      </xdr:spPr>
    </xdr:pic>
    <xdr:clientData/>
  </xdr:twoCellAnchor>
  <xdr:twoCellAnchor editAs="oneCell">
    <xdr:from>
      <xdr:col>3</xdr:col>
      <xdr:colOff>1239311</xdr:colOff>
      <xdr:row>336</xdr:row>
      <xdr:rowOff>61913</xdr:rowOff>
    </xdr:from>
    <xdr:to>
      <xdr:col>3</xdr:col>
      <xdr:colOff>5552014</xdr:colOff>
      <xdr:row>336</xdr:row>
      <xdr:rowOff>2405063</xdr:rowOff>
    </xdr:to>
    <xdr:pic>
      <xdr:nvPicPr>
        <xdr:cNvPr id="337" name="Picture 336" descr="Insight Picture 336"/>
        <xdr:cNvPicPr>
          <a:picLocks noChangeAspect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2586" y="845834288"/>
          <a:ext cx="4312703" cy="2343150"/>
        </a:xfrm>
        <a:prstGeom prst="rect">
          <a:avLst/>
        </a:prstGeom>
      </xdr:spPr>
    </xdr:pic>
    <xdr:clientData/>
  </xdr:twoCellAnchor>
  <xdr:twoCellAnchor editAs="oneCell">
    <xdr:from>
      <xdr:col>3</xdr:col>
      <xdr:colOff>2277025</xdr:colOff>
      <xdr:row>337</xdr:row>
      <xdr:rowOff>61913</xdr:rowOff>
    </xdr:from>
    <xdr:to>
      <xdr:col>3</xdr:col>
      <xdr:colOff>4514299</xdr:colOff>
      <xdr:row>337</xdr:row>
      <xdr:rowOff>2243138</xdr:rowOff>
    </xdr:to>
    <xdr:pic>
      <xdr:nvPicPr>
        <xdr:cNvPr id="338" name="Picture 337" descr="Insight Picture 337"/>
        <xdr:cNvPicPr>
          <a:picLocks noChangeAspect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0300" y="848301263"/>
          <a:ext cx="2237274" cy="2181225"/>
        </a:xfrm>
        <a:prstGeom prst="rect">
          <a:avLst/>
        </a:prstGeom>
      </xdr:spPr>
    </xdr:pic>
    <xdr:clientData/>
  </xdr:twoCellAnchor>
  <xdr:twoCellAnchor editAs="oneCell">
    <xdr:from>
      <xdr:col>3</xdr:col>
      <xdr:colOff>1853371</xdr:colOff>
      <xdr:row>338</xdr:row>
      <xdr:rowOff>61913</xdr:rowOff>
    </xdr:from>
    <xdr:to>
      <xdr:col>3</xdr:col>
      <xdr:colOff>4937953</xdr:colOff>
      <xdr:row>338</xdr:row>
      <xdr:rowOff>1947863</xdr:rowOff>
    </xdr:to>
    <xdr:pic>
      <xdr:nvPicPr>
        <xdr:cNvPr id="339" name="Picture 338" descr="Insight Picture 338"/>
        <xdr:cNvPicPr>
          <a:picLocks noChangeAspect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6646" y="850606313"/>
          <a:ext cx="3084582" cy="1885950"/>
        </a:xfrm>
        <a:prstGeom prst="rect">
          <a:avLst/>
        </a:prstGeom>
      </xdr:spPr>
    </xdr:pic>
    <xdr:clientData/>
  </xdr:twoCellAnchor>
  <xdr:twoCellAnchor editAs="oneCell">
    <xdr:from>
      <xdr:col>3</xdr:col>
      <xdr:colOff>2277025</xdr:colOff>
      <xdr:row>339</xdr:row>
      <xdr:rowOff>61913</xdr:rowOff>
    </xdr:from>
    <xdr:to>
      <xdr:col>3</xdr:col>
      <xdr:colOff>4514299</xdr:colOff>
      <xdr:row>339</xdr:row>
      <xdr:rowOff>2471738</xdr:rowOff>
    </xdr:to>
    <xdr:pic>
      <xdr:nvPicPr>
        <xdr:cNvPr id="340" name="Picture 339" descr="Insight Picture 339"/>
        <xdr:cNvPicPr>
          <a:picLocks noChangeAspect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0300" y="852616088"/>
          <a:ext cx="2237274" cy="2409825"/>
        </a:xfrm>
        <a:prstGeom prst="rect">
          <a:avLst/>
        </a:prstGeom>
      </xdr:spPr>
    </xdr:pic>
    <xdr:clientData/>
  </xdr:twoCellAnchor>
  <xdr:twoCellAnchor editAs="oneCell">
    <xdr:from>
      <xdr:col>3</xdr:col>
      <xdr:colOff>2291306</xdr:colOff>
      <xdr:row>340</xdr:row>
      <xdr:rowOff>61913</xdr:rowOff>
    </xdr:from>
    <xdr:to>
      <xdr:col>3</xdr:col>
      <xdr:colOff>4500019</xdr:colOff>
      <xdr:row>340</xdr:row>
      <xdr:rowOff>2224088</xdr:rowOff>
    </xdr:to>
    <xdr:pic>
      <xdr:nvPicPr>
        <xdr:cNvPr id="341" name="Picture 340" descr="Insight Picture 340"/>
        <xdr:cNvPicPr>
          <a:picLocks noChangeAspect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4581" y="855149738"/>
          <a:ext cx="2208713" cy="2162175"/>
        </a:xfrm>
        <a:prstGeom prst="rect">
          <a:avLst/>
        </a:prstGeom>
      </xdr:spPr>
    </xdr:pic>
    <xdr:clientData/>
  </xdr:twoCellAnchor>
  <xdr:twoCellAnchor editAs="oneCell">
    <xdr:from>
      <xdr:col>3</xdr:col>
      <xdr:colOff>2305586</xdr:colOff>
      <xdr:row>341</xdr:row>
      <xdr:rowOff>61913</xdr:rowOff>
    </xdr:from>
    <xdr:to>
      <xdr:col>3</xdr:col>
      <xdr:colOff>4485738</xdr:colOff>
      <xdr:row>341</xdr:row>
      <xdr:rowOff>2195513</xdr:rowOff>
    </xdr:to>
    <xdr:pic>
      <xdr:nvPicPr>
        <xdr:cNvPr id="342" name="Picture 341" descr="Insight Picture 341"/>
        <xdr:cNvPicPr>
          <a:picLocks noChangeAspect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861" y="857435738"/>
          <a:ext cx="2180152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2319867</xdr:colOff>
      <xdr:row>342</xdr:row>
      <xdr:rowOff>61913</xdr:rowOff>
    </xdr:from>
    <xdr:to>
      <xdr:col>3</xdr:col>
      <xdr:colOff>4471458</xdr:colOff>
      <xdr:row>342</xdr:row>
      <xdr:rowOff>1728788</xdr:rowOff>
    </xdr:to>
    <xdr:pic>
      <xdr:nvPicPr>
        <xdr:cNvPr id="343" name="Picture 342" descr="Insight Picture 342"/>
        <xdr:cNvPicPr>
          <a:picLocks noChangeAspect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3142" y="859693163"/>
          <a:ext cx="2151591" cy="1666875"/>
        </a:xfrm>
        <a:prstGeom prst="rect">
          <a:avLst/>
        </a:prstGeom>
      </xdr:spPr>
    </xdr:pic>
    <xdr:clientData/>
  </xdr:twoCellAnchor>
  <xdr:twoCellAnchor editAs="oneCell">
    <xdr:from>
      <xdr:col>3</xdr:col>
      <xdr:colOff>1658205</xdr:colOff>
      <xdr:row>343</xdr:row>
      <xdr:rowOff>61913</xdr:rowOff>
    </xdr:from>
    <xdr:to>
      <xdr:col>3</xdr:col>
      <xdr:colOff>5133120</xdr:colOff>
      <xdr:row>343</xdr:row>
      <xdr:rowOff>2166938</xdr:rowOff>
    </xdr:to>
    <xdr:pic>
      <xdr:nvPicPr>
        <xdr:cNvPr id="344" name="Picture 343" descr="Insight Picture 343"/>
        <xdr:cNvPicPr>
          <a:picLocks noChangeAspect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1480" y="861483863"/>
          <a:ext cx="3474915" cy="2105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2272266</xdr:colOff>
      <xdr:row>344</xdr:row>
      <xdr:rowOff>61913</xdr:rowOff>
    </xdr:from>
    <xdr:to>
      <xdr:col>3</xdr:col>
      <xdr:colOff>4519060</xdr:colOff>
      <xdr:row>344</xdr:row>
      <xdr:rowOff>3119438</xdr:rowOff>
    </xdr:to>
    <xdr:pic>
      <xdr:nvPicPr>
        <xdr:cNvPr id="345" name="Picture 344" descr="Insight Picture 344"/>
        <xdr:cNvPicPr>
          <a:picLocks noChangeAspect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5541" y="863712713"/>
          <a:ext cx="2246794" cy="3057525"/>
        </a:xfrm>
        <a:prstGeom prst="rect">
          <a:avLst/>
        </a:prstGeom>
      </xdr:spPr>
    </xdr:pic>
    <xdr:clientData/>
  </xdr:twoCellAnchor>
  <xdr:twoCellAnchor editAs="oneCell">
    <xdr:from>
      <xdr:col>3</xdr:col>
      <xdr:colOff>1724847</xdr:colOff>
      <xdr:row>345</xdr:row>
      <xdr:rowOff>61913</xdr:rowOff>
    </xdr:from>
    <xdr:to>
      <xdr:col>3</xdr:col>
      <xdr:colOff>5066477</xdr:colOff>
      <xdr:row>345</xdr:row>
      <xdr:rowOff>1452563</xdr:rowOff>
    </xdr:to>
    <xdr:pic>
      <xdr:nvPicPr>
        <xdr:cNvPr id="346" name="Picture 345" descr="Insight Picture 345"/>
        <xdr:cNvPicPr>
          <a:picLocks noChangeAspect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8122" y="866894063"/>
          <a:ext cx="3341630" cy="1390650"/>
        </a:xfrm>
        <a:prstGeom prst="rect">
          <a:avLst/>
        </a:prstGeom>
      </xdr:spPr>
    </xdr:pic>
    <xdr:clientData/>
  </xdr:twoCellAnchor>
  <xdr:twoCellAnchor editAs="oneCell">
    <xdr:from>
      <xdr:col>3</xdr:col>
      <xdr:colOff>1948574</xdr:colOff>
      <xdr:row>346</xdr:row>
      <xdr:rowOff>61913</xdr:rowOff>
    </xdr:from>
    <xdr:to>
      <xdr:col>3</xdr:col>
      <xdr:colOff>4842750</xdr:colOff>
      <xdr:row>346</xdr:row>
      <xdr:rowOff>1490663</xdr:rowOff>
    </xdr:to>
    <xdr:pic>
      <xdr:nvPicPr>
        <xdr:cNvPr id="347" name="Picture 346" descr="Insight Picture 346"/>
        <xdr:cNvPicPr>
          <a:picLocks noChangeAspect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1849" y="868408538"/>
          <a:ext cx="2894176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2300827</xdr:colOff>
      <xdr:row>347</xdr:row>
      <xdr:rowOff>61913</xdr:rowOff>
    </xdr:from>
    <xdr:to>
      <xdr:col>3</xdr:col>
      <xdr:colOff>4490499</xdr:colOff>
      <xdr:row>347</xdr:row>
      <xdr:rowOff>1985963</xdr:rowOff>
    </xdr:to>
    <xdr:pic>
      <xdr:nvPicPr>
        <xdr:cNvPr id="348" name="Picture 347" descr="Insight Picture 347"/>
        <xdr:cNvPicPr>
          <a:picLocks noChangeAspect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4102" y="869961113"/>
          <a:ext cx="2189672" cy="1924050"/>
        </a:xfrm>
        <a:prstGeom prst="rect">
          <a:avLst/>
        </a:prstGeom>
      </xdr:spPr>
    </xdr:pic>
    <xdr:clientData/>
  </xdr:twoCellAnchor>
  <xdr:twoCellAnchor editAs="oneCell">
    <xdr:from>
      <xdr:col>3</xdr:col>
      <xdr:colOff>2305586</xdr:colOff>
      <xdr:row>348</xdr:row>
      <xdr:rowOff>61913</xdr:rowOff>
    </xdr:from>
    <xdr:to>
      <xdr:col>3</xdr:col>
      <xdr:colOff>4485738</xdr:colOff>
      <xdr:row>348</xdr:row>
      <xdr:rowOff>2195513</xdr:rowOff>
    </xdr:to>
    <xdr:pic>
      <xdr:nvPicPr>
        <xdr:cNvPr id="349" name="Picture 348" descr="Insight Picture 348"/>
        <xdr:cNvPicPr>
          <a:picLocks noChangeAspect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861" y="872008988"/>
          <a:ext cx="2180152" cy="2133600"/>
        </a:xfrm>
        <a:prstGeom prst="rect">
          <a:avLst/>
        </a:prstGeom>
      </xdr:spPr>
    </xdr:pic>
    <xdr:clientData/>
  </xdr:twoCellAnchor>
  <xdr:twoCellAnchor editAs="oneCell">
    <xdr:from>
      <xdr:col>3</xdr:col>
      <xdr:colOff>1991416</xdr:colOff>
      <xdr:row>349</xdr:row>
      <xdr:rowOff>61913</xdr:rowOff>
    </xdr:from>
    <xdr:to>
      <xdr:col>3</xdr:col>
      <xdr:colOff>4799909</xdr:colOff>
      <xdr:row>349</xdr:row>
      <xdr:rowOff>1814513</xdr:rowOff>
    </xdr:to>
    <xdr:pic>
      <xdr:nvPicPr>
        <xdr:cNvPr id="350" name="Picture 349" descr="Insight Picture 349"/>
        <xdr:cNvPicPr>
          <a:picLocks noChangeAspect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691" y="874266413"/>
          <a:ext cx="2808493" cy="1752600"/>
        </a:xfrm>
        <a:prstGeom prst="rect">
          <a:avLst/>
        </a:prstGeom>
      </xdr:spPr>
    </xdr:pic>
    <xdr:clientData/>
  </xdr:twoCellAnchor>
  <xdr:twoCellAnchor editAs="oneCell">
    <xdr:from>
      <xdr:col>3</xdr:col>
      <xdr:colOff>2605477</xdr:colOff>
      <xdr:row>350</xdr:row>
      <xdr:rowOff>61913</xdr:rowOff>
    </xdr:from>
    <xdr:to>
      <xdr:col>3</xdr:col>
      <xdr:colOff>4185849</xdr:colOff>
      <xdr:row>350</xdr:row>
      <xdr:rowOff>3309938</xdr:rowOff>
    </xdr:to>
    <xdr:pic>
      <xdr:nvPicPr>
        <xdr:cNvPr id="351" name="Picture 350" descr="Insight Picture 350"/>
        <xdr:cNvPicPr>
          <a:picLocks noChangeAspect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8752" y="876142838"/>
          <a:ext cx="1580372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1843851</xdr:colOff>
      <xdr:row>351</xdr:row>
      <xdr:rowOff>61913</xdr:rowOff>
    </xdr:from>
    <xdr:to>
      <xdr:col>3</xdr:col>
      <xdr:colOff>4947473</xdr:colOff>
      <xdr:row>351</xdr:row>
      <xdr:rowOff>2005013</xdr:rowOff>
    </xdr:to>
    <xdr:pic>
      <xdr:nvPicPr>
        <xdr:cNvPr id="352" name="Picture 351" descr="Insight Picture 351"/>
        <xdr:cNvPicPr>
          <a:picLocks noChangeAspect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7126" y="879514688"/>
          <a:ext cx="3103622" cy="1943100"/>
        </a:xfrm>
        <a:prstGeom prst="rect">
          <a:avLst/>
        </a:prstGeom>
      </xdr:spPr>
    </xdr:pic>
    <xdr:clientData/>
  </xdr:twoCellAnchor>
  <xdr:twoCellAnchor editAs="oneCell">
    <xdr:from>
      <xdr:col>3</xdr:col>
      <xdr:colOff>2672118</xdr:colOff>
      <xdr:row>352</xdr:row>
      <xdr:rowOff>61913</xdr:rowOff>
    </xdr:from>
    <xdr:to>
      <xdr:col>3</xdr:col>
      <xdr:colOff>4119206</xdr:colOff>
      <xdr:row>352</xdr:row>
      <xdr:rowOff>1643063</xdr:rowOff>
    </xdr:to>
    <xdr:pic>
      <xdr:nvPicPr>
        <xdr:cNvPr id="353" name="Picture 352" descr="Insight Picture 352"/>
        <xdr:cNvPicPr>
          <a:picLocks noChangeAspect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5393" y="881581613"/>
          <a:ext cx="1447088" cy="1581150"/>
        </a:xfrm>
        <a:prstGeom prst="rect">
          <a:avLst/>
        </a:prstGeom>
      </xdr:spPr>
    </xdr:pic>
    <xdr:clientData/>
  </xdr:twoCellAnchor>
  <xdr:twoCellAnchor editAs="oneCell">
    <xdr:from>
      <xdr:col>3</xdr:col>
      <xdr:colOff>2357948</xdr:colOff>
      <xdr:row>353</xdr:row>
      <xdr:rowOff>61913</xdr:rowOff>
    </xdr:from>
    <xdr:to>
      <xdr:col>3</xdr:col>
      <xdr:colOff>4433377</xdr:colOff>
      <xdr:row>353</xdr:row>
      <xdr:rowOff>1985963</xdr:rowOff>
    </xdr:to>
    <xdr:pic>
      <xdr:nvPicPr>
        <xdr:cNvPr id="354" name="Picture 353" descr="Insight Picture 353"/>
        <xdr:cNvPicPr>
          <a:picLocks noChangeAspect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1223" y="883286588"/>
          <a:ext cx="2075429" cy="1924050"/>
        </a:xfrm>
        <a:prstGeom prst="rect">
          <a:avLst/>
        </a:prstGeom>
      </xdr:spPr>
    </xdr:pic>
    <xdr:clientData/>
  </xdr:twoCellAnchor>
  <xdr:twoCellAnchor editAs="oneCell">
    <xdr:from>
      <xdr:col>3</xdr:col>
      <xdr:colOff>1548722</xdr:colOff>
      <xdr:row>354</xdr:row>
      <xdr:rowOff>61913</xdr:rowOff>
    </xdr:from>
    <xdr:to>
      <xdr:col>3</xdr:col>
      <xdr:colOff>5242604</xdr:colOff>
      <xdr:row>354</xdr:row>
      <xdr:rowOff>2976563</xdr:rowOff>
    </xdr:to>
    <xdr:pic>
      <xdr:nvPicPr>
        <xdr:cNvPr id="355" name="Picture 354" descr="Insight Picture 354"/>
        <xdr:cNvPicPr>
          <a:picLocks noChangeAspect="1"/>
        </xdr:cNvPicPr>
      </xdr:nvPicPr>
      <xdr:blipFill>
        <a:blip xmlns:r="http://schemas.openxmlformats.org/officeDocument/2006/relationships" r:embed="rId3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1997" y="885334463"/>
          <a:ext cx="3693882" cy="2914650"/>
        </a:xfrm>
        <a:prstGeom prst="rect">
          <a:avLst/>
        </a:prstGeom>
      </xdr:spPr>
    </xdr:pic>
    <xdr:clientData/>
  </xdr:twoCellAnchor>
  <xdr:twoCellAnchor editAs="oneCell">
    <xdr:from>
      <xdr:col>3</xdr:col>
      <xdr:colOff>2353188</xdr:colOff>
      <xdr:row>355</xdr:row>
      <xdr:rowOff>61913</xdr:rowOff>
    </xdr:from>
    <xdr:to>
      <xdr:col>3</xdr:col>
      <xdr:colOff>4438137</xdr:colOff>
      <xdr:row>355</xdr:row>
      <xdr:rowOff>2967038</xdr:rowOff>
    </xdr:to>
    <xdr:pic>
      <xdr:nvPicPr>
        <xdr:cNvPr id="356" name="Picture 355" descr="Insight Picture 355"/>
        <xdr:cNvPicPr>
          <a:picLocks noChangeAspect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6463" y="888372938"/>
          <a:ext cx="2084949" cy="2905125"/>
        </a:xfrm>
        <a:prstGeom prst="rect">
          <a:avLst/>
        </a:prstGeom>
      </xdr:spPr>
    </xdr:pic>
    <xdr:clientData/>
  </xdr:twoCellAnchor>
  <xdr:twoCellAnchor editAs="oneCell">
    <xdr:from>
      <xdr:col>3</xdr:col>
      <xdr:colOff>2167542</xdr:colOff>
      <xdr:row>356</xdr:row>
      <xdr:rowOff>61913</xdr:rowOff>
    </xdr:from>
    <xdr:to>
      <xdr:col>3</xdr:col>
      <xdr:colOff>4623783</xdr:colOff>
      <xdr:row>356</xdr:row>
      <xdr:rowOff>2395538</xdr:rowOff>
    </xdr:to>
    <xdr:pic>
      <xdr:nvPicPr>
        <xdr:cNvPr id="357" name="Picture 356" descr="Insight Picture 356"/>
        <xdr:cNvPicPr>
          <a:picLocks noChangeAspect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0817" y="891401888"/>
          <a:ext cx="2456241" cy="2333625"/>
        </a:xfrm>
        <a:prstGeom prst="rect">
          <a:avLst/>
        </a:prstGeom>
      </xdr:spPr>
    </xdr:pic>
    <xdr:clientData/>
  </xdr:twoCellAnchor>
  <xdr:twoCellAnchor editAs="oneCell">
    <xdr:from>
      <xdr:col>3</xdr:col>
      <xdr:colOff>1981896</xdr:colOff>
      <xdr:row>357</xdr:row>
      <xdr:rowOff>61913</xdr:rowOff>
    </xdr:from>
    <xdr:to>
      <xdr:col>3</xdr:col>
      <xdr:colOff>4809429</xdr:colOff>
      <xdr:row>357</xdr:row>
      <xdr:rowOff>3309938</xdr:rowOff>
    </xdr:to>
    <xdr:pic>
      <xdr:nvPicPr>
        <xdr:cNvPr id="358" name="Picture 357" descr="Insight Picture 357"/>
        <xdr:cNvPicPr>
          <a:picLocks noChangeAspect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5171" y="893859338"/>
          <a:ext cx="2827533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2238944</xdr:colOff>
      <xdr:row>358</xdr:row>
      <xdr:rowOff>61913</xdr:rowOff>
    </xdr:from>
    <xdr:to>
      <xdr:col>3</xdr:col>
      <xdr:colOff>4552381</xdr:colOff>
      <xdr:row>358</xdr:row>
      <xdr:rowOff>3309938</xdr:rowOff>
    </xdr:to>
    <xdr:pic>
      <xdr:nvPicPr>
        <xdr:cNvPr id="359" name="Picture 358" descr="Insight Picture 358"/>
        <xdr:cNvPicPr>
          <a:picLocks noChangeAspect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2219" y="897231188"/>
          <a:ext cx="231343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2929167</xdr:colOff>
      <xdr:row>359</xdr:row>
      <xdr:rowOff>61913</xdr:rowOff>
    </xdr:from>
    <xdr:to>
      <xdr:col>3</xdr:col>
      <xdr:colOff>3862158</xdr:colOff>
      <xdr:row>359</xdr:row>
      <xdr:rowOff>3081338</xdr:rowOff>
    </xdr:to>
    <xdr:pic>
      <xdr:nvPicPr>
        <xdr:cNvPr id="360" name="Picture 359" descr="Insight Picture 359"/>
        <xdr:cNvPicPr>
          <a:picLocks noChangeAspect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2442" y="900603038"/>
          <a:ext cx="932991" cy="3019425"/>
        </a:xfrm>
        <a:prstGeom prst="rect">
          <a:avLst/>
        </a:prstGeom>
      </xdr:spPr>
    </xdr:pic>
    <xdr:clientData/>
  </xdr:twoCellAnchor>
  <xdr:twoCellAnchor editAs="oneCell">
    <xdr:from>
      <xdr:col>3</xdr:col>
      <xdr:colOff>1610603</xdr:colOff>
      <xdr:row>360</xdr:row>
      <xdr:rowOff>61913</xdr:rowOff>
    </xdr:from>
    <xdr:to>
      <xdr:col>3</xdr:col>
      <xdr:colOff>5180721</xdr:colOff>
      <xdr:row>360</xdr:row>
      <xdr:rowOff>2919413</xdr:rowOff>
    </xdr:to>
    <xdr:pic>
      <xdr:nvPicPr>
        <xdr:cNvPr id="361" name="Picture 360" descr="Insight Picture 360"/>
        <xdr:cNvPicPr>
          <a:picLocks noChangeAspect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878" y="903746288"/>
          <a:ext cx="3570118" cy="2857500"/>
        </a:xfrm>
        <a:prstGeom prst="rect">
          <a:avLst/>
        </a:prstGeom>
      </xdr:spPr>
    </xdr:pic>
    <xdr:clientData/>
  </xdr:twoCellAnchor>
  <xdr:twoCellAnchor editAs="oneCell">
    <xdr:from>
      <xdr:col>3</xdr:col>
      <xdr:colOff>987023</xdr:colOff>
      <xdr:row>361</xdr:row>
      <xdr:rowOff>61913</xdr:rowOff>
    </xdr:from>
    <xdr:to>
      <xdr:col>3</xdr:col>
      <xdr:colOff>5804302</xdr:colOff>
      <xdr:row>361</xdr:row>
      <xdr:rowOff>3214688</xdr:rowOff>
    </xdr:to>
    <xdr:pic>
      <xdr:nvPicPr>
        <xdr:cNvPr id="362" name="Picture 361" descr="Insight Picture 361"/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0298" y="906727613"/>
          <a:ext cx="4817279" cy="3152775"/>
        </a:xfrm>
        <a:prstGeom prst="rect">
          <a:avLst/>
        </a:prstGeom>
      </xdr:spPr>
    </xdr:pic>
    <xdr:clientData/>
  </xdr:twoCellAnchor>
  <xdr:twoCellAnchor editAs="oneCell">
    <xdr:from>
      <xdr:col>3</xdr:col>
      <xdr:colOff>615731</xdr:colOff>
      <xdr:row>362</xdr:row>
      <xdr:rowOff>61913</xdr:rowOff>
    </xdr:from>
    <xdr:to>
      <xdr:col>3</xdr:col>
      <xdr:colOff>6175594</xdr:colOff>
      <xdr:row>362</xdr:row>
      <xdr:rowOff>3309938</xdr:rowOff>
    </xdr:to>
    <xdr:pic>
      <xdr:nvPicPr>
        <xdr:cNvPr id="363" name="Picture 362" descr="Insight Picture 362"/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006" y="910004213"/>
          <a:ext cx="5559863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2219903</xdr:colOff>
      <xdr:row>363</xdr:row>
      <xdr:rowOff>61913</xdr:rowOff>
    </xdr:from>
    <xdr:to>
      <xdr:col>3</xdr:col>
      <xdr:colOff>4571421</xdr:colOff>
      <xdr:row>363</xdr:row>
      <xdr:rowOff>3309938</xdr:rowOff>
    </xdr:to>
    <xdr:pic>
      <xdr:nvPicPr>
        <xdr:cNvPr id="364" name="Picture 363" descr="Insight Picture 363"/>
        <xdr:cNvPicPr>
          <a:picLocks noChangeAspect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3178" y="913376063"/>
          <a:ext cx="2351518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1248832</xdr:colOff>
      <xdr:row>364</xdr:row>
      <xdr:rowOff>61913</xdr:rowOff>
    </xdr:from>
    <xdr:to>
      <xdr:col>3</xdr:col>
      <xdr:colOff>5542494</xdr:colOff>
      <xdr:row>364</xdr:row>
      <xdr:rowOff>3243263</xdr:rowOff>
    </xdr:to>
    <xdr:pic>
      <xdr:nvPicPr>
        <xdr:cNvPr id="365" name="Picture 364" descr="Insight Picture 364"/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2107" y="916747913"/>
          <a:ext cx="4293662" cy="3181350"/>
        </a:xfrm>
        <a:prstGeom prst="rect">
          <a:avLst/>
        </a:prstGeom>
      </xdr:spPr>
    </xdr:pic>
    <xdr:clientData/>
  </xdr:twoCellAnchor>
  <xdr:twoCellAnchor editAs="oneCell">
    <xdr:from>
      <xdr:col>3</xdr:col>
      <xdr:colOff>1739128</xdr:colOff>
      <xdr:row>365</xdr:row>
      <xdr:rowOff>61913</xdr:rowOff>
    </xdr:from>
    <xdr:to>
      <xdr:col>3</xdr:col>
      <xdr:colOff>5052198</xdr:colOff>
      <xdr:row>365</xdr:row>
      <xdr:rowOff>3300413</xdr:rowOff>
    </xdr:to>
    <xdr:pic>
      <xdr:nvPicPr>
        <xdr:cNvPr id="366" name="Picture 365" descr="Insight Picture 365"/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2403" y="920053088"/>
          <a:ext cx="3313070" cy="32385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1144108</xdr:colOff>
      <xdr:row>366</xdr:row>
      <xdr:rowOff>61913</xdr:rowOff>
    </xdr:from>
    <xdr:to>
      <xdr:col>3</xdr:col>
      <xdr:colOff>5647217</xdr:colOff>
      <xdr:row>366</xdr:row>
      <xdr:rowOff>3309938</xdr:rowOff>
    </xdr:to>
    <xdr:pic>
      <xdr:nvPicPr>
        <xdr:cNvPr id="367" name="Picture 366" descr="Insight Picture 366"/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7383" y="923415413"/>
          <a:ext cx="4503109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1924774</xdr:colOff>
      <xdr:row>367</xdr:row>
      <xdr:rowOff>61913</xdr:rowOff>
    </xdr:from>
    <xdr:to>
      <xdr:col>3</xdr:col>
      <xdr:colOff>4866551</xdr:colOff>
      <xdr:row>367</xdr:row>
      <xdr:rowOff>3309938</xdr:rowOff>
    </xdr:to>
    <xdr:pic>
      <xdr:nvPicPr>
        <xdr:cNvPr id="368" name="Picture 367" descr="Insight Picture 367"/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8049" y="926787263"/>
          <a:ext cx="2941777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1501120</xdr:colOff>
      <xdr:row>368</xdr:row>
      <xdr:rowOff>61913</xdr:rowOff>
    </xdr:from>
    <xdr:to>
      <xdr:col>3</xdr:col>
      <xdr:colOff>5290205</xdr:colOff>
      <xdr:row>368</xdr:row>
      <xdr:rowOff>3309938</xdr:rowOff>
    </xdr:to>
    <xdr:pic>
      <xdr:nvPicPr>
        <xdr:cNvPr id="369" name="Picture 368" descr="Insight Picture 368"/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395" y="930159113"/>
          <a:ext cx="3789085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882300</xdr:colOff>
      <xdr:row>369</xdr:row>
      <xdr:rowOff>61913</xdr:rowOff>
    </xdr:from>
    <xdr:to>
      <xdr:col>3</xdr:col>
      <xdr:colOff>5909026</xdr:colOff>
      <xdr:row>369</xdr:row>
      <xdr:rowOff>3309938</xdr:rowOff>
    </xdr:to>
    <xdr:pic>
      <xdr:nvPicPr>
        <xdr:cNvPr id="370" name="Picture 369" descr="Insight Picture 369"/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5575" y="933530963"/>
          <a:ext cx="502672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2396030</xdr:colOff>
      <xdr:row>370</xdr:row>
      <xdr:rowOff>61913</xdr:rowOff>
    </xdr:from>
    <xdr:to>
      <xdr:col>3</xdr:col>
      <xdr:colOff>4395296</xdr:colOff>
      <xdr:row>370</xdr:row>
      <xdr:rowOff>3309938</xdr:rowOff>
    </xdr:to>
    <xdr:pic>
      <xdr:nvPicPr>
        <xdr:cNvPr id="371" name="Picture 370" descr="Insight Picture 370"/>
        <xdr:cNvPicPr>
          <a:picLocks noChangeAspect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9305" y="936902813"/>
          <a:ext cx="199926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739494</xdr:colOff>
      <xdr:row>371</xdr:row>
      <xdr:rowOff>61913</xdr:rowOff>
    </xdr:from>
    <xdr:to>
      <xdr:col>3</xdr:col>
      <xdr:colOff>6051830</xdr:colOff>
      <xdr:row>371</xdr:row>
      <xdr:rowOff>3309938</xdr:rowOff>
    </xdr:to>
    <xdr:pic>
      <xdr:nvPicPr>
        <xdr:cNvPr id="372" name="Picture 371" descr="Insight Picture 371"/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2769" y="940274663"/>
          <a:ext cx="531233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2253224</xdr:colOff>
      <xdr:row>372</xdr:row>
      <xdr:rowOff>61913</xdr:rowOff>
    </xdr:from>
    <xdr:to>
      <xdr:col>3</xdr:col>
      <xdr:colOff>4538100</xdr:colOff>
      <xdr:row>372</xdr:row>
      <xdr:rowOff>3309938</xdr:rowOff>
    </xdr:to>
    <xdr:pic>
      <xdr:nvPicPr>
        <xdr:cNvPr id="373" name="Picture 372" descr="Insight Picture 372"/>
        <xdr:cNvPicPr>
          <a:picLocks noChangeAspect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6499" y="943646513"/>
          <a:ext cx="228487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1991416</xdr:colOff>
      <xdr:row>373</xdr:row>
      <xdr:rowOff>61913</xdr:rowOff>
    </xdr:from>
    <xdr:to>
      <xdr:col>3</xdr:col>
      <xdr:colOff>4799909</xdr:colOff>
      <xdr:row>373</xdr:row>
      <xdr:rowOff>3309938</xdr:rowOff>
    </xdr:to>
    <xdr:pic>
      <xdr:nvPicPr>
        <xdr:cNvPr id="374" name="Picture 373" descr="Insight Picture 373"/>
        <xdr:cNvPicPr>
          <a:picLocks noChangeAspect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691" y="947018363"/>
          <a:ext cx="2808493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982263</xdr:colOff>
      <xdr:row>374</xdr:row>
      <xdr:rowOff>61913</xdr:rowOff>
    </xdr:from>
    <xdr:to>
      <xdr:col>3</xdr:col>
      <xdr:colOff>5809062</xdr:colOff>
      <xdr:row>374</xdr:row>
      <xdr:rowOff>3309938</xdr:rowOff>
    </xdr:to>
    <xdr:pic>
      <xdr:nvPicPr>
        <xdr:cNvPr id="375" name="Picture 374" descr="Insight Picture 374"/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538" y="950390213"/>
          <a:ext cx="4826799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2253224</xdr:colOff>
      <xdr:row>375</xdr:row>
      <xdr:rowOff>61913</xdr:rowOff>
    </xdr:from>
    <xdr:to>
      <xdr:col>3</xdr:col>
      <xdr:colOff>4538100</xdr:colOff>
      <xdr:row>375</xdr:row>
      <xdr:rowOff>3309938</xdr:rowOff>
    </xdr:to>
    <xdr:pic>
      <xdr:nvPicPr>
        <xdr:cNvPr id="376" name="Picture 375" descr="Insight Picture 375"/>
        <xdr:cNvPicPr>
          <a:picLocks noChangeAspect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6499" y="953762063"/>
          <a:ext cx="2284876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1610603</xdr:colOff>
      <xdr:row>376</xdr:row>
      <xdr:rowOff>61913</xdr:rowOff>
    </xdr:from>
    <xdr:to>
      <xdr:col>3</xdr:col>
      <xdr:colOff>5180721</xdr:colOff>
      <xdr:row>376</xdr:row>
      <xdr:rowOff>3309938</xdr:rowOff>
    </xdr:to>
    <xdr:pic>
      <xdr:nvPicPr>
        <xdr:cNvPr id="377" name="Picture 376" descr="Insight Picture 376"/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878" y="957133913"/>
          <a:ext cx="3570118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1601083</xdr:colOff>
      <xdr:row>377</xdr:row>
      <xdr:rowOff>61913</xdr:rowOff>
    </xdr:from>
    <xdr:to>
      <xdr:col>3</xdr:col>
      <xdr:colOff>5190242</xdr:colOff>
      <xdr:row>377</xdr:row>
      <xdr:rowOff>3309938</xdr:rowOff>
    </xdr:to>
    <xdr:pic>
      <xdr:nvPicPr>
        <xdr:cNvPr id="378" name="Picture 377" descr="Insight Picture 377"/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4358" y="960505763"/>
          <a:ext cx="3589159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2467432</xdr:colOff>
      <xdr:row>378</xdr:row>
      <xdr:rowOff>61913</xdr:rowOff>
    </xdr:from>
    <xdr:to>
      <xdr:col>3</xdr:col>
      <xdr:colOff>4323894</xdr:colOff>
      <xdr:row>378</xdr:row>
      <xdr:rowOff>3309938</xdr:rowOff>
    </xdr:to>
    <xdr:pic>
      <xdr:nvPicPr>
        <xdr:cNvPr id="379" name="Picture 378" descr="Insight Picture 378"/>
        <xdr:cNvPicPr>
          <a:picLocks noChangeAspect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707" y="963877613"/>
          <a:ext cx="1856462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2067578</xdr:colOff>
      <xdr:row>379</xdr:row>
      <xdr:rowOff>61913</xdr:rowOff>
    </xdr:from>
    <xdr:to>
      <xdr:col>3</xdr:col>
      <xdr:colOff>4723746</xdr:colOff>
      <xdr:row>379</xdr:row>
      <xdr:rowOff>2652713</xdr:rowOff>
    </xdr:to>
    <xdr:pic>
      <xdr:nvPicPr>
        <xdr:cNvPr id="380" name="Picture 379" descr="Insight Picture 379"/>
        <xdr:cNvPicPr>
          <a:picLocks noChangeAspect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853" y="967249463"/>
          <a:ext cx="2656168" cy="2590800"/>
        </a:xfrm>
        <a:prstGeom prst="rect">
          <a:avLst/>
        </a:prstGeom>
      </xdr:spPr>
    </xdr:pic>
    <xdr:clientData/>
  </xdr:twoCellAnchor>
  <xdr:twoCellAnchor editAs="oneCell">
    <xdr:from>
      <xdr:col>3</xdr:col>
      <xdr:colOff>1010824</xdr:colOff>
      <xdr:row>380</xdr:row>
      <xdr:rowOff>61913</xdr:rowOff>
    </xdr:from>
    <xdr:to>
      <xdr:col>3</xdr:col>
      <xdr:colOff>5780502</xdr:colOff>
      <xdr:row>380</xdr:row>
      <xdr:rowOff>2652713</xdr:rowOff>
    </xdr:to>
    <xdr:pic>
      <xdr:nvPicPr>
        <xdr:cNvPr id="381" name="Picture 380" descr="Insight Picture 380"/>
        <xdr:cNvPicPr>
          <a:picLocks noChangeAspect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4099" y="969964088"/>
          <a:ext cx="4769678" cy="2590800"/>
        </a:xfrm>
        <a:prstGeom prst="rect">
          <a:avLst/>
        </a:prstGeom>
      </xdr:spPr>
    </xdr:pic>
    <xdr:clientData/>
  </xdr:twoCellAnchor>
  <xdr:twoCellAnchor editAs="oneCell">
    <xdr:from>
      <xdr:col>3</xdr:col>
      <xdr:colOff>1210751</xdr:colOff>
      <xdr:row>381</xdr:row>
      <xdr:rowOff>61913</xdr:rowOff>
    </xdr:from>
    <xdr:to>
      <xdr:col>3</xdr:col>
      <xdr:colOff>5580575</xdr:colOff>
      <xdr:row>381</xdr:row>
      <xdr:rowOff>3309938</xdr:rowOff>
    </xdr:to>
    <xdr:pic>
      <xdr:nvPicPr>
        <xdr:cNvPr id="382" name="Picture 381" descr="Insight Picture 381"/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4026" y="972678713"/>
          <a:ext cx="4369824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2305586</xdr:colOff>
      <xdr:row>382</xdr:row>
      <xdr:rowOff>61913</xdr:rowOff>
    </xdr:from>
    <xdr:to>
      <xdr:col>3</xdr:col>
      <xdr:colOff>4485738</xdr:colOff>
      <xdr:row>382</xdr:row>
      <xdr:rowOff>3309938</xdr:rowOff>
    </xdr:to>
    <xdr:pic>
      <xdr:nvPicPr>
        <xdr:cNvPr id="383" name="Picture 382" descr="Insight Picture 382"/>
        <xdr:cNvPicPr>
          <a:picLocks noChangeAspect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8861" y="976050563"/>
          <a:ext cx="2180152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1596323</xdr:colOff>
      <xdr:row>383</xdr:row>
      <xdr:rowOff>61913</xdr:rowOff>
    </xdr:from>
    <xdr:to>
      <xdr:col>3</xdr:col>
      <xdr:colOff>5195002</xdr:colOff>
      <xdr:row>383</xdr:row>
      <xdr:rowOff>3309938</xdr:rowOff>
    </xdr:to>
    <xdr:pic>
      <xdr:nvPicPr>
        <xdr:cNvPr id="384" name="Picture 383" descr="Insight Picture 383"/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9598" y="979422413"/>
          <a:ext cx="3598679" cy="3248025"/>
        </a:xfrm>
        <a:prstGeom prst="rect">
          <a:avLst/>
        </a:prstGeom>
      </xdr:spPr>
    </xdr:pic>
    <xdr:clientData/>
  </xdr:twoCellAnchor>
  <xdr:twoCellAnchor editAs="oneCell">
    <xdr:from>
      <xdr:col>3</xdr:col>
      <xdr:colOff>2224664</xdr:colOff>
      <xdr:row>384</xdr:row>
      <xdr:rowOff>61913</xdr:rowOff>
    </xdr:from>
    <xdr:to>
      <xdr:col>3</xdr:col>
      <xdr:colOff>4566661</xdr:colOff>
      <xdr:row>384</xdr:row>
      <xdr:rowOff>3309938</xdr:rowOff>
    </xdr:to>
    <xdr:pic>
      <xdr:nvPicPr>
        <xdr:cNvPr id="385" name="Picture 384" descr="Insight Picture 384"/>
        <xdr:cNvPicPr>
          <a:picLocks noChangeAspect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7939" y="982794263"/>
          <a:ext cx="2341997" cy="3248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738916</xdr:colOff>
      <xdr:row>1</xdr:row>
      <xdr:rowOff>77788</xdr:rowOff>
    </xdr:from>
    <xdr:to>
      <xdr:col>1</xdr:col>
      <xdr:colOff>3699734</xdr:colOff>
      <xdr:row>1</xdr:row>
      <xdr:rowOff>1998663</xdr:rowOff>
    </xdr:to>
    <xdr:pic>
      <xdr:nvPicPr>
        <xdr:cNvPr id="2" name="Picture 1" descr="Insight 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766" y="268288"/>
          <a:ext cx="2960818" cy="1920875"/>
        </a:xfrm>
        <a:prstGeom prst="rect">
          <a:avLst/>
        </a:prstGeom>
      </xdr:spPr>
    </xdr:pic>
    <xdr:clientData/>
  </xdr:twoCellAnchor>
  <xdr:twoCellAnchor editAs="oneCell">
    <xdr:from>
      <xdr:col>1</xdr:col>
      <xdr:colOff>738916</xdr:colOff>
      <xdr:row>2</xdr:row>
      <xdr:rowOff>77788</xdr:rowOff>
    </xdr:from>
    <xdr:to>
      <xdr:col>1</xdr:col>
      <xdr:colOff>3699734</xdr:colOff>
      <xdr:row>2</xdr:row>
      <xdr:rowOff>2151063</xdr:rowOff>
    </xdr:to>
    <xdr:pic>
      <xdr:nvPicPr>
        <xdr:cNvPr id="3" name="Picture 2" descr="Insight 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766" y="2344738"/>
          <a:ext cx="2960818" cy="2073275"/>
        </a:xfrm>
        <a:prstGeom prst="rect">
          <a:avLst/>
        </a:prstGeom>
      </xdr:spPr>
    </xdr:pic>
    <xdr:clientData/>
  </xdr:twoCellAnchor>
  <xdr:twoCellAnchor editAs="oneCell">
    <xdr:from>
      <xdr:col>1</xdr:col>
      <xdr:colOff>715115</xdr:colOff>
      <xdr:row>8</xdr:row>
      <xdr:rowOff>65088</xdr:rowOff>
    </xdr:from>
    <xdr:to>
      <xdr:col>1</xdr:col>
      <xdr:colOff>3723535</xdr:colOff>
      <xdr:row>8</xdr:row>
      <xdr:rowOff>2668588</xdr:rowOff>
    </xdr:to>
    <xdr:pic>
      <xdr:nvPicPr>
        <xdr:cNvPr id="4" name="Picture 3" descr="Insight 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965" y="18715038"/>
          <a:ext cx="3008420" cy="2603500"/>
        </a:xfrm>
        <a:prstGeom prst="rect">
          <a:avLst/>
        </a:prstGeom>
      </xdr:spPr>
    </xdr:pic>
    <xdr:clientData/>
  </xdr:twoCellAnchor>
  <xdr:twoCellAnchor editAs="oneCell">
    <xdr:from>
      <xdr:col>1</xdr:col>
      <xdr:colOff>834119</xdr:colOff>
      <xdr:row>3</xdr:row>
      <xdr:rowOff>200025</xdr:rowOff>
    </xdr:from>
    <xdr:to>
      <xdr:col>1</xdr:col>
      <xdr:colOff>3604531</xdr:colOff>
      <xdr:row>3</xdr:row>
      <xdr:rowOff>2533650</xdr:rowOff>
    </xdr:to>
    <xdr:pic>
      <xdr:nvPicPr>
        <xdr:cNvPr id="5" name="Picture 4" descr="Insight 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9969" y="4695825"/>
          <a:ext cx="2770412" cy="2333625"/>
        </a:xfrm>
        <a:prstGeom prst="rect">
          <a:avLst/>
        </a:prstGeom>
      </xdr:spPr>
    </xdr:pic>
    <xdr:clientData/>
  </xdr:twoCellAnchor>
  <xdr:twoCellAnchor editAs="oneCell">
    <xdr:from>
      <xdr:col>1</xdr:col>
      <xdr:colOff>591352</xdr:colOff>
      <xdr:row>12</xdr:row>
      <xdr:rowOff>176213</xdr:rowOff>
    </xdr:from>
    <xdr:to>
      <xdr:col>1</xdr:col>
      <xdr:colOff>3847299</xdr:colOff>
      <xdr:row>12</xdr:row>
      <xdr:rowOff>3186113</xdr:rowOff>
    </xdr:to>
    <xdr:pic>
      <xdr:nvPicPr>
        <xdr:cNvPr id="6" name="Picture 5" descr="Insight 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7202" y="30199013"/>
          <a:ext cx="3255947" cy="3009900"/>
        </a:xfrm>
        <a:prstGeom prst="rect">
          <a:avLst/>
        </a:prstGeom>
      </xdr:spPr>
    </xdr:pic>
    <xdr:clientData/>
  </xdr:twoCellAnchor>
  <xdr:twoCellAnchor editAs="oneCell">
    <xdr:from>
      <xdr:col>1</xdr:col>
      <xdr:colOff>600871</xdr:colOff>
      <xdr:row>4</xdr:row>
      <xdr:rowOff>61913</xdr:rowOff>
    </xdr:from>
    <xdr:to>
      <xdr:col>1</xdr:col>
      <xdr:colOff>3837778</xdr:colOff>
      <xdr:row>4</xdr:row>
      <xdr:rowOff>2395538</xdr:rowOff>
    </xdr:to>
    <xdr:pic>
      <xdr:nvPicPr>
        <xdr:cNvPr id="7" name="Picture 6" descr="Insight 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6721" y="7291388"/>
          <a:ext cx="3236907" cy="2333625"/>
        </a:xfrm>
        <a:prstGeom prst="rect">
          <a:avLst/>
        </a:prstGeom>
      </xdr:spPr>
    </xdr:pic>
    <xdr:clientData/>
  </xdr:twoCellAnchor>
  <xdr:twoCellAnchor editAs="oneCell">
    <xdr:from>
      <xdr:col>1</xdr:col>
      <xdr:colOff>805559</xdr:colOff>
      <xdr:row>10</xdr:row>
      <xdr:rowOff>58738</xdr:rowOff>
    </xdr:from>
    <xdr:to>
      <xdr:col>1</xdr:col>
      <xdr:colOff>3633092</xdr:colOff>
      <xdr:row>10</xdr:row>
      <xdr:rowOff>3294063</xdr:rowOff>
    </xdr:to>
    <xdr:pic>
      <xdr:nvPicPr>
        <xdr:cNvPr id="8" name="Picture 7" descr="Insight 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409" y="24271288"/>
          <a:ext cx="2827533" cy="3235325"/>
        </a:xfrm>
        <a:prstGeom prst="rect">
          <a:avLst/>
        </a:prstGeom>
      </xdr:spPr>
    </xdr:pic>
    <xdr:clientData/>
  </xdr:twoCellAnchor>
  <xdr:twoCellAnchor editAs="oneCell">
    <xdr:from>
      <xdr:col>1</xdr:col>
      <xdr:colOff>596111</xdr:colOff>
      <xdr:row>6</xdr:row>
      <xdr:rowOff>61913</xdr:rowOff>
    </xdr:from>
    <xdr:to>
      <xdr:col>1</xdr:col>
      <xdr:colOff>3842538</xdr:colOff>
      <xdr:row>6</xdr:row>
      <xdr:rowOff>2405063</xdr:rowOff>
    </xdr:to>
    <xdr:pic>
      <xdr:nvPicPr>
        <xdr:cNvPr id="9" name="Picture 8" descr="Insight 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1961" y="12882563"/>
          <a:ext cx="3246427" cy="2343150"/>
        </a:xfrm>
        <a:prstGeom prst="rect">
          <a:avLst/>
        </a:prstGeom>
      </xdr:spPr>
    </xdr:pic>
    <xdr:clientData/>
  </xdr:twoCellAnchor>
  <xdr:twoCellAnchor editAs="oneCell">
    <xdr:from>
      <xdr:col>1</xdr:col>
      <xdr:colOff>224819</xdr:colOff>
      <xdr:row>5</xdr:row>
      <xdr:rowOff>214313</xdr:rowOff>
    </xdr:from>
    <xdr:to>
      <xdr:col>1</xdr:col>
      <xdr:colOff>4213831</xdr:colOff>
      <xdr:row>5</xdr:row>
      <xdr:rowOff>2919413</xdr:rowOff>
    </xdr:to>
    <xdr:pic>
      <xdr:nvPicPr>
        <xdr:cNvPr id="10" name="Picture 9" descr="Insight 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69" y="9901238"/>
          <a:ext cx="3989012" cy="2705100"/>
        </a:xfrm>
        <a:prstGeom prst="rect">
          <a:avLst/>
        </a:prstGeom>
      </xdr:spPr>
    </xdr:pic>
    <xdr:clientData/>
  </xdr:twoCellAnchor>
  <xdr:twoCellAnchor editAs="oneCell">
    <xdr:from>
      <xdr:col>1</xdr:col>
      <xdr:colOff>158177</xdr:colOff>
      <xdr:row>13</xdr:row>
      <xdr:rowOff>65088</xdr:rowOff>
    </xdr:from>
    <xdr:to>
      <xdr:col>1</xdr:col>
      <xdr:colOff>4280473</xdr:colOff>
      <xdr:row>13</xdr:row>
      <xdr:rowOff>3087688</xdr:rowOff>
    </xdr:to>
    <xdr:pic>
      <xdr:nvPicPr>
        <xdr:cNvPr id="11" name="Picture 10" descr="Insight Picture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027" y="33450213"/>
          <a:ext cx="4122296" cy="3022600"/>
        </a:xfrm>
        <a:prstGeom prst="rect">
          <a:avLst/>
        </a:prstGeom>
      </xdr:spPr>
    </xdr:pic>
    <xdr:clientData/>
  </xdr:twoCellAnchor>
  <xdr:twoCellAnchor editAs="oneCell">
    <xdr:from>
      <xdr:col>1</xdr:col>
      <xdr:colOff>367623</xdr:colOff>
      <xdr:row>11</xdr:row>
      <xdr:rowOff>82550</xdr:rowOff>
    </xdr:from>
    <xdr:to>
      <xdr:col>1</xdr:col>
      <xdr:colOff>4071026</xdr:colOff>
      <xdr:row>11</xdr:row>
      <xdr:rowOff>2374900</xdr:rowOff>
    </xdr:to>
    <xdr:pic>
      <xdr:nvPicPr>
        <xdr:cNvPr id="12" name="Picture 11" descr="Insight 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473" y="27647900"/>
          <a:ext cx="3703403" cy="2292350"/>
        </a:xfrm>
        <a:prstGeom prst="rect">
          <a:avLst/>
        </a:prstGeom>
      </xdr:spPr>
    </xdr:pic>
    <xdr:clientData/>
  </xdr:twoCellAnchor>
  <xdr:twoCellAnchor editAs="oneCell">
    <xdr:from>
      <xdr:col>1</xdr:col>
      <xdr:colOff>467587</xdr:colOff>
      <xdr:row>7</xdr:row>
      <xdr:rowOff>61913</xdr:rowOff>
    </xdr:from>
    <xdr:to>
      <xdr:col>1</xdr:col>
      <xdr:colOff>3971063</xdr:colOff>
      <xdr:row>7</xdr:row>
      <xdr:rowOff>3300413</xdr:rowOff>
    </xdr:to>
    <xdr:pic>
      <xdr:nvPicPr>
        <xdr:cNvPr id="13" name="Picture 12" descr="Insight Picture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37" y="15349538"/>
          <a:ext cx="3503476" cy="3238500"/>
        </a:xfrm>
        <a:prstGeom prst="rect">
          <a:avLst/>
        </a:prstGeom>
      </xdr:spPr>
    </xdr:pic>
    <xdr:clientData/>
  </xdr:twoCellAnchor>
  <xdr:twoCellAnchor editAs="oneCell">
    <xdr:from>
      <xdr:col>1</xdr:col>
      <xdr:colOff>62973</xdr:colOff>
      <xdr:row>9</xdr:row>
      <xdr:rowOff>242888</xdr:rowOff>
    </xdr:from>
    <xdr:to>
      <xdr:col>1</xdr:col>
      <xdr:colOff>4375676</xdr:colOff>
      <xdr:row>9</xdr:row>
      <xdr:rowOff>2586038</xdr:rowOff>
    </xdr:to>
    <xdr:pic>
      <xdr:nvPicPr>
        <xdr:cNvPr id="14" name="Picture 13" descr="Insight Pictur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823" y="21626513"/>
          <a:ext cx="4312703" cy="2343150"/>
        </a:xfrm>
        <a:prstGeom prst="rect">
          <a:avLst/>
        </a:prstGeom>
      </xdr:spPr>
    </xdr:pic>
    <xdr:clientData/>
  </xdr:twoCellAnchor>
  <xdr:twoCellAnchor editAs="oneCell">
    <xdr:from>
      <xdr:col>1</xdr:col>
      <xdr:colOff>705595</xdr:colOff>
      <xdr:row>14</xdr:row>
      <xdr:rowOff>82550</xdr:rowOff>
    </xdr:from>
    <xdr:to>
      <xdr:col>1</xdr:col>
      <xdr:colOff>3733055</xdr:colOff>
      <xdr:row>14</xdr:row>
      <xdr:rowOff>2393950</xdr:rowOff>
    </xdr:to>
    <xdr:pic>
      <xdr:nvPicPr>
        <xdr:cNvPr id="15" name="Picture 14" descr="Insight Pictur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1445" y="36620450"/>
          <a:ext cx="3027460" cy="2311400"/>
        </a:xfrm>
        <a:prstGeom prst="rect">
          <a:avLst/>
        </a:prstGeom>
      </xdr:spPr>
    </xdr:pic>
    <xdr:clientData/>
  </xdr:twoCellAnchor>
  <xdr:twoCellAnchor editAs="oneCell">
    <xdr:from>
      <xdr:col>1</xdr:col>
      <xdr:colOff>467587</xdr:colOff>
      <xdr:row>15</xdr:row>
      <xdr:rowOff>85725</xdr:rowOff>
    </xdr:from>
    <xdr:to>
      <xdr:col>1</xdr:col>
      <xdr:colOff>3971063</xdr:colOff>
      <xdr:row>15</xdr:row>
      <xdr:rowOff>2714625</xdr:rowOff>
    </xdr:to>
    <xdr:pic>
      <xdr:nvPicPr>
        <xdr:cNvPr id="16" name="Picture 15" descr="Insight Pictur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3437" y="39100125"/>
          <a:ext cx="3503476" cy="2628900"/>
        </a:xfrm>
        <a:prstGeom prst="rect">
          <a:avLst/>
        </a:prstGeom>
      </xdr:spPr>
    </xdr:pic>
    <xdr:clientData/>
  </xdr:twoCellAnchor>
  <xdr:twoCellAnchor editAs="oneCell">
    <xdr:from>
      <xdr:col>1</xdr:col>
      <xdr:colOff>976924</xdr:colOff>
      <xdr:row>22</xdr:row>
      <xdr:rowOff>61913</xdr:rowOff>
    </xdr:from>
    <xdr:to>
      <xdr:col>1</xdr:col>
      <xdr:colOff>3461726</xdr:colOff>
      <xdr:row>22</xdr:row>
      <xdr:rowOff>2814638</xdr:rowOff>
    </xdr:to>
    <xdr:pic>
      <xdr:nvPicPr>
        <xdr:cNvPr id="17" name="Picture 16" descr="Insight Picture 16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2774" y="54421088"/>
          <a:ext cx="2484802" cy="2752725"/>
        </a:xfrm>
        <a:prstGeom prst="rect">
          <a:avLst/>
        </a:prstGeom>
      </xdr:spPr>
    </xdr:pic>
    <xdr:clientData/>
  </xdr:twoCellAnchor>
  <xdr:twoCellAnchor editAs="oneCell">
    <xdr:from>
      <xdr:col>1</xdr:col>
      <xdr:colOff>529469</xdr:colOff>
      <xdr:row>23</xdr:row>
      <xdr:rowOff>61913</xdr:rowOff>
    </xdr:from>
    <xdr:to>
      <xdr:col>1</xdr:col>
      <xdr:colOff>3909181</xdr:colOff>
      <xdr:row>23</xdr:row>
      <xdr:rowOff>2538413</xdr:rowOff>
    </xdr:to>
    <xdr:pic>
      <xdr:nvPicPr>
        <xdr:cNvPr id="18" name="Picture 17" descr="Insight Picture 17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5319" y="57297638"/>
          <a:ext cx="3379712" cy="2476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1229213</xdr:colOff>
      <xdr:row>17</xdr:row>
      <xdr:rowOff>638175</xdr:rowOff>
    </xdr:from>
    <xdr:to>
      <xdr:col>1</xdr:col>
      <xdr:colOff>3209438</xdr:colOff>
      <xdr:row>17</xdr:row>
      <xdr:rowOff>1962150</xdr:rowOff>
    </xdr:to>
    <xdr:pic>
      <xdr:nvPicPr>
        <xdr:cNvPr id="19" name="Picture 18" descr="Insight Picture 1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063" y="45329475"/>
          <a:ext cx="1980225" cy="1323975"/>
        </a:xfrm>
        <a:prstGeom prst="rect">
          <a:avLst/>
        </a:prstGeom>
      </xdr:spPr>
    </xdr:pic>
    <xdr:clientData/>
  </xdr:twoCellAnchor>
  <xdr:twoCellAnchor editAs="oneCell">
    <xdr:from>
      <xdr:col>1</xdr:col>
      <xdr:colOff>1167330</xdr:colOff>
      <xdr:row>19</xdr:row>
      <xdr:rowOff>71438</xdr:rowOff>
    </xdr:from>
    <xdr:to>
      <xdr:col>1</xdr:col>
      <xdr:colOff>3271319</xdr:colOff>
      <xdr:row>19</xdr:row>
      <xdr:rowOff>1376363</xdr:rowOff>
    </xdr:to>
    <xdr:pic>
      <xdr:nvPicPr>
        <xdr:cNvPr id="20" name="Picture 19" descr="Insight Picture 1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3180" y="48820388"/>
          <a:ext cx="2103989" cy="1304925"/>
        </a:xfrm>
        <a:prstGeom prst="rect">
          <a:avLst/>
        </a:prstGeom>
      </xdr:spPr>
    </xdr:pic>
    <xdr:clientData/>
  </xdr:twoCellAnchor>
  <xdr:twoCellAnchor editAs="oneCell">
    <xdr:from>
      <xdr:col>1</xdr:col>
      <xdr:colOff>1229213</xdr:colOff>
      <xdr:row>18</xdr:row>
      <xdr:rowOff>61913</xdr:rowOff>
    </xdr:from>
    <xdr:to>
      <xdr:col>1</xdr:col>
      <xdr:colOff>3209438</xdr:colOff>
      <xdr:row>18</xdr:row>
      <xdr:rowOff>1395413</xdr:rowOff>
    </xdr:to>
    <xdr:pic>
      <xdr:nvPicPr>
        <xdr:cNvPr id="21" name="Picture 20" descr="Insight Picture 2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063" y="47353538"/>
          <a:ext cx="1980225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1229213</xdr:colOff>
      <xdr:row>16</xdr:row>
      <xdr:rowOff>781050</xdr:rowOff>
    </xdr:from>
    <xdr:to>
      <xdr:col>1</xdr:col>
      <xdr:colOff>3209438</xdr:colOff>
      <xdr:row>16</xdr:row>
      <xdr:rowOff>2095500</xdr:rowOff>
    </xdr:to>
    <xdr:pic>
      <xdr:nvPicPr>
        <xdr:cNvPr id="22" name="Picture 21" descr="Insight Picture 2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5063" y="42595800"/>
          <a:ext cx="1980225" cy="1314450"/>
        </a:xfrm>
        <a:prstGeom prst="rect">
          <a:avLst/>
        </a:prstGeom>
      </xdr:spPr>
    </xdr:pic>
    <xdr:clientData/>
  </xdr:twoCellAnchor>
  <xdr:twoCellAnchor editAs="oneCell">
    <xdr:from>
      <xdr:col>1</xdr:col>
      <xdr:colOff>853160</xdr:colOff>
      <xdr:row>25</xdr:row>
      <xdr:rowOff>61913</xdr:rowOff>
    </xdr:from>
    <xdr:to>
      <xdr:col>1</xdr:col>
      <xdr:colOff>3585490</xdr:colOff>
      <xdr:row>25</xdr:row>
      <xdr:rowOff>2033588</xdr:rowOff>
    </xdr:to>
    <xdr:pic>
      <xdr:nvPicPr>
        <xdr:cNvPr id="23" name="Picture 22" descr="Insight Picture 22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9010" y="63088838"/>
          <a:ext cx="2732330" cy="1971675"/>
        </a:xfrm>
        <a:prstGeom prst="rect">
          <a:avLst/>
        </a:prstGeom>
      </xdr:spPr>
    </xdr:pic>
    <xdr:clientData/>
  </xdr:twoCellAnchor>
  <xdr:twoCellAnchor editAs="oneCell">
    <xdr:from>
      <xdr:col>1</xdr:col>
      <xdr:colOff>634193</xdr:colOff>
      <xdr:row>26</xdr:row>
      <xdr:rowOff>276225</xdr:rowOff>
    </xdr:from>
    <xdr:to>
      <xdr:col>1</xdr:col>
      <xdr:colOff>3804457</xdr:colOff>
      <xdr:row>26</xdr:row>
      <xdr:rowOff>1676400</xdr:rowOff>
    </xdr:to>
    <xdr:pic>
      <xdr:nvPicPr>
        <xdr:cNvPr id="24" name="Picture 23" descr="Insight Picture 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0043" y="65398650"/>
          <a:ext cx="3170264" cy="1400175"/>
        </a:xfrm>
        <a:prstGeom prst="rect">
          <a:avLst/>
        </a:prstGeom>
      </xdr:spPr>
    </xdr:pic>
    <xdr:clientData/>
  </xdr:twoCellAnchor>
  <xdr:twoCellAnchor editAs="oneCell">
    <xdr:from>
      <xdr:col>1</xdr:col>
      <xdr:colOff>929323</xdr:colOff>
      <xdr:row>27</xdr:row>
      <xdr:rowOff>79375</xdr:rowOff>
    </xdr:from>
    <xdr:to>
      <xdr:col>1</xdr:col>
      <xdr:colOff>3509328</xdr:colOff>
      <xdr:row>27</xdr:row>
      <xdr:rowOff>3111500</xdr:rowOff>
    </xdr:to>
    <xdr:pic>
      <xdr:nvPicPr>
        <xdr:cNvPr id="25" name="Picture 24" descr="Insight Picture 2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5173" y="67154425"/>
          <a:ext cx="2580005" cy="3032125"/>
        </a:xfrm>
        <a:prstGeom prst="rect">
          <a:avLst/>
        </a:prstGeom>
      </xdr:spPr>
    </xdr:pic>
    <xdr:clientData/>
  </xdr:twoCellAnchor>
  <xdr:twoCellAnchor editAs="oneCell">
    <xdr:from>
      <xdr:col>1</xdr:col>
      <xdr:colOff>1153050</xdr:colOff>
      <xdr:row>24</xdr:row>
      <xdr:rowOff>776288</xdr:rowOff>
    </xdr:from>
    <xdr:to>
      <xdr:col>1</xdr:col>
      <xdr:colOff>3285600</xdr:colOff>
      <xdr:row>24</xdr:row>
      <xdr:rowOff>2414588</xdr:rowOff>
    </xdr:to>
    <xdr:pic>
      <xdr:nvPicPr>
        <xdr:cNvPr id="26" name="Picture 25" descr="Insight Picture 25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900" y="60612338"/>
          <a:ext cx="2132550" cy="1638300"/>
        </a:xfrm>
        <a:prstGeom prst="rect">
          <a:avLst/>
        </a:prstGeom>
      </xdr:spPr>
    </xdr:pic>
    <xdr:clientData/>
  </xdr:twoCellAnchor>
  <xdr:twoCellAnchor editAs="oneCell">
    <xdr:from>
      <xdr:col>1</xdr:col>
      <xdr:colOff>1076887</xdr:colOff>
      <xdr:row>20</xdr:row>
      <xdr:rowOff>60325</xdr:rowOff>
    </xdr:from>
    <xdr:to>
      <xdr:col>1</xdr:col>
      <xdr:colOff>3361763</xdr:colOff>
      <xdr:row>20</xdr:row>
      <xdr:rowOff>1892300</xdr:rowOff>
    </xdr:to>
    <xdr:pic>
      <xdr:nvPicPr>
        <xdr:cNvPr id="27" name="Picture 26" descr="Insight Picture 26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2737" y="50257075"/>
          <a:ext cx="2284876" cy="1831975"/>
        </a:xfrm>
        <a:prstGeom prst="rect">
          <a:avLst/>
        </a:prstGeom>
      </xdr:spPr>
    </xdr:pic>
    <xdr:clientData/>
  </xdr:twoCellAnchor>
  <xdr:twoCellAnchor editAs="oneCell">
    <xdr:from>
      <xdr:col>1</xdr:col>
      <xdr:colOff>1057846</xdr:colOff>
      <xdr:row>21</xdr:row>
      <xdr:rowOff>58738</xdr:rowOff>
    </xdr:from>
    <xdr:to>
      <xdr:col>1</xdr:col>
      <xdr:colOff>3380803</xdr:colOff>
      <xdr:row>21</xdr:row>
      <xdr:rowOff>2151063</xdr:rowOff>
    </xdr:to>
    <xdr:pic>
      <xdr:nvPicPr>
        <xdr:cNvPr id="28" name="Picture 27" descr="Insight Picture 27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696" y="52208113"/>
          <a:ext cx="2322957" cy="2092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537"/>
  <sheetViews>
    <sheetView tabSelected="1" zoomScale="60" zoomScaleNormal="60" workbookViewId="0">
      <selection activeCell="C390" sqref="C390"/>
    </sheetView>
  </sheetViews>
  <sheetFormatPr defaultRowHeight="15" x14ac:dyDescent="0.25"/>
  <cols>
    <col min="1" max="1" width="15" style="26" customWidth="1"/>
    <col min="2" max="2" width="16.28515625" style="26" customWidth="1"/>
    <col min="3" max="3" width="129.5703125" style="23" customWidth="1"/>
    <col min="4" max="4" width="18.28515625" style="28" customWidth="1"/>
    <col min="5" max="9" width="18.28515625" style="29" customWidth="1"/>
    <col min="10" max="24" width="18.28515625" style="49" customWidth="1"/>
    <col min="25" max="75" width="17.42578125" style="27" customWidth="1"/>
    <col min="76" max="16384" width="9.140625" style="25"/>
  </cols>
  <sheetData>
    <row r="1" spans="1:75" s="31" customFormat="1" ht="111" customHeight="1" thickBot="1" x14ac:dyDescent="0.25">
      <c r="A1" s="21" t="s">
        <v>0</v>
      </c>
      <c r="B1" s="21" t="s">
        <v>1577</v>
      </c>
      <c r="C1" s="21" t="s">
        <v>470</v>
      </c>
      <c r="D1" s="22" t="s">
        <v>2</v>
      </c>
      <c r="E1" s="30" t="s">
        <v>2047</v>
      </c>
      <c r="F1" s="30" t="s">
        <v>2048</v>
      </c>
      <c r="G1" s="30" t="s">
        <v>2049</v>
      </c>
      <c r="H1" s="30" t="s">
        <v>2050</v>
      </c>
      <c r="I1" s="30" t="s">
        <v>2051</v>
      </c>
      <c r="J1" s="30" t="s">
        <v>2052</v>
      </c>
      <c r="K1" s="30" t="s">
        <v>2053</v>
      </c>
      <c r="L1" s="30" t="s">
        <v>2054</v>
      </c>
      <c r="M1" s="30" t="s">
        <v>2055</v>
      </c>
      <c r="N1" s="30" t="s">
        <v>2056</v>
      </c>
      <c r="O1" s="30" t="s">
        <v>2057</v>
      </c>
      <c r="P1" s="30" t="s">
        <v>2058</v>
      </c>
      <c r="Q1" s="30" t="s">
        <v>2059</v>
      </c>
      <c r="R1" s="30" t="s">
        <v>2060</v>
      </c>
      <c r="S1" s="30" t="s">
        <v>2061</v>
      </c>
      <c r="T1" s="30" t="s">
        <v>2062</v>
      </c>
      <c r="U1" s="30" t="s">
        <v>2063</v>
      </c>
      <c r="V1" s="30" t="s">
        <v>2064</v>
      </c>
      <c r="W1" s="30" t="s">
        <v>2065</v>
      </c>
      <c r="X1" s="30" t="s">
        <v>2066</v>
      </c>
      <c r="Y1" s="21" t="s">
        <v>2067</v>
      </c>
      <c r="Z1" s="21" t="s">
        <v>37</v>
      </c>
      <c r="AA1" s="21" t="s">
        <v>36</v>
      </c>
      <c r="AB1" s="21" t="s">
        <v>2068</v>
      </c>
      <c r="AC1" s="21" t="s">
        <v>48</v>
      </c>
      <c r="AD1" s="21" t="s">
        <v>2069</v>
      </c>
      <c r="AE1" s="21" t="s">
        <v>38</v>
      </c>
      <c r="AF1" s="21" t="s">
        <v>39</v>
      </c>
      <c r="AG1" s="21" t="s">
        <v>40</v>
      </c>
      <c r="AH1" s="21" t="s">
        <v>41</v>
      </c>
      <c r="AI1" s="21" t="s">
        <v>42</v>
      </c>
      <c r="AJ1" s="21" t="s">
        <v>2070</v>
      </c>
      <c r="AK1" s="21" t="s">
        <v>43</v>
      </c>
      <c r="AL1" s="21" t="s">
        <v>44</v>
      </c>
      <c r="AM1" s="21" t="s">
        <v>45</v>
      </c>
      <c r="AN1" s="21" t="s">
        <v>46</v>
      </c>
      <c r="AO1" s="21" t="s">
        <v>47</v>
      </c>
      <c r="AP1" s="22" t="s">
        <v>2071</v>
      </c>
      <c r="AQ1" s="22" t="s">
        <v>2072</v>
      </c>
      <c r="AR1" s="21" t="s">
        <v>49</v>
      </c>
      <c r="AS1" s="21" t="s">
        <v>50</v>
      </c>
      <c r="AT1" s="21" t="s">
        <v>51</v>
      </c>
      <c r="AU1" s="22" t="s">
        <v>2073</v>
      </c>
      <c r="AV1" s="22" t="s">
        <v>2074</v>
      </c>
      <c r="AW1" s="21" t="s">
        <v>52</v>
      </c>
      <c r="AX1" s="22" t="s">
        <v>2075</v>
      </c>
      <c r="AY1" s="22" t="s">
        <v>2076</v>
      </c>
      <c r="AZ1" s="21" t="s">
        <v>53</v>
      </c>
      <c r="BA1" s="21" t="s">
        <v>54</v>
      </c>
      <c r="BB1" s="21" t="s">
        <v>55</v>
      </c>
      <c r="BC1" s="22" t="s">
        <v>2077</v>
      </c>
      <c r="BD1" s="21" t="s">
        <v>56</v>
      </c>
      <c r="BE1" s="22" t="s">
        <v>2078</v>
      </c>
      <c r="BF1" s="22" t="s">
        <v>2079</v>
      </c>
      <c r="BG1" s="22" t="s">
        <v>2080</v>
      </c>
      <c r="BH1" s="22" t="s">
        <v>2081</v>
      </c>
      <c r="BI1" s="21" t="s">
        <v>57</v>
      </c>
      <c r="BJ1" s="21" t="s">
        <v>2082</v>
      </c>
      <c r="BK1" s="21" t="s">
        <v>60</v>
      </c>
      <c r="BL1" s="21" t="s">
        <v>2083</v>
      </c>
      <c r="BM1" s="21" t="s">
        <v>2084</v>
      </c>
      <c r="BN1" s="21" t="s">
        <v>2085</v>
      </c>
      <c r="BO1" s="21" t="s">
        <v>65</v>
      </c>
      <c r="BP1" s="30" t="s">
        <v>66</v>
      </c>
      <c r="BQ1" s="30" t="s">
        <v>67</v>
      </c>
      <c r="BR1" s="30" t="s">
        <v>2086</v>
      </c>
      <c r="BS1" s="21" t="s">
        <v>2087</v>
      </c>
      <c r="BT1" s="21" t="s">
        <v>2088</v>
      </c>
      <c r="BU1" s="21" t="s">
        <v>58</v>
      </c>
      <c r="BV1" s="21" t="s">
        <v>59</v>
      </c>
      <c r="BW1" s="21" t="s">
        <v>2089</v>
      </c>
    </row>
    <row r="2" spans="1:75" ht="111.2" customHeight="1" x14ac:dyDescent="0.25">
      <c r="A2" s="32" t="s">
        <v>471</v>
      </c>
      <c r="B2" s="32" t="s">
        <v>1578</v>
      </c>
      <c r="C2" s="33" t="s">
        <v>472</v>
      </c>
      <c r="D2" s="34" t="s">
        <v>473</v>
      </c>
      <c r="E2" s="35">
        <v>41698.611120000001</v>
      </c>
      <c r="F2" s="35">
        <v>2689867.3525899998</v>
      </c>
      <c r="G2" s="35">
        <v>35227.199999999997</v>
      </c>
      <c r="H2" s="35">
        <v>31304.6</v>
      </c>
      <c r="I2" s="36">
        <v>1.0840427240603918</v>
      </c>
      <c r="J2" s="35">
        <v>56035.74523</v>
      </c>
      <c r="K2" s="35">
        <v>2306544.5632099998</v>
      </c>
      <c r="L2" s="35">
        <v>143846.6</v>
      </c>
      <c r="M2" s="35">
        <v>117381.2</v>
      </c>
      <c r="N2" s="36">
        <v>1.124430125828217</v>
      </c>
      <c r="O2" s="35">
        <v>32502.08265</v>
      </c>
      <c r="P2" s="35">
        <v>1891719.24758</v>
      </c>
      <c r="Q2" s="35">
        <v>138297.60000000001</v>
      </c>
      <c r="R2" s="35">
        <v>145258.79999999999</v>
      </c>
      <c r="S2" s="36">
        <v>0.92114226056000548</v>
      </c>
      <c r="T2" s="35">
        <v>70506.994019999998</v>
      </c>
      <c r="U2" s="35">
        <v>2883333.17692</v>
      </c>
      <c r="V2" s="35">
        <v>114860.6</v>
      </c>
      <c r="W2" s="35">
        <v>78033.2</v>
      </c>
      <c r="X2" s="36">
        <v>1.305744671383438</v>
      </c>
      <c r="Y2" s="37">
        <v>1</v>
      </c>
      <c r="Z2" s="37" t="s">
        <v>2090</v>
      </c>
      <c r="AA2" s="37" t="s">
        <v>2090</v>
      </c>
      <c r="AB2" s="37" t="s">
        <v>2090</v>
      </c>
      <c r="AC2" s="37" t="s">
        <v>2090</v>
      </c>
      <c r="AD2" s="37">
        <v>0</v>
      </c>
      <c r="AE2" s="37">
        <v>1</v>
      </c>
      <c r="AF2" s="37">
        <v>0</v>
      </c>
      <c r="AG2" s="37">
        <v>0</v>
      </c>
      <c r="AH2" s="37">
        <v>0</v>
      </c>
      <c r="AI2" s="37">
        <v>0</v>
      </c>
      <c r="AJ2" s="37">
        <v>0</v>
      </c>
      <c r="AK2" s="37">
        <v>0</v>
      </c>
      <c r="AL2" s="37">
        <v>0</v>
      </c>
      <c r="AM2" s="37">
        <v>0</v>
      </c>
      <c r="AN2" s="37">
        <v>0</v>
      </c>
      <c r="AO2" s="37">
        <v>0</v>
      </c>
      <c r="AP2" s="37">
        <v>0</v>
      </c>
      <c r="AQ2" s="37">
        <v>0</v>
      </c>
      <c r="AR2" s="37">
        <v>0</v>
      </c>
      <c r="AS2" s="37">
        <v>0</v>
      </c>
      <c r="AT2" s="37">
        <v>0</v>
      </c>
      <c r="AU2" s="37">
        <v>0</v>
      </c>
      <c r="AV2" s="37">
        <v>0</v>
      </c>
      <c r="AW2" s="37">
        <v>0</v>
      </c>
      <c r="AX2" s="37">
        <v>0</v>
      </c>
      <c r="AY2" s="37">
        <v>0</v>
      </c>
      <c r="AZ2" s="37">
        <v>0</v>
      </c>
      <c r="BA2" s="37">
        <v>0</v>
      </c>
      <c r="BB2" s="37">
        <v>0</v>
      </c>
      <c r="BC2" s="37">
        <v>0</v>
      </c>
      <c r="BD2" s="37">
        <v>0</v>
      </c>
      <c r="BE2" s="37">
        <v>0</v>
      </c>
      <c r="BF2" s="37">
        <v>0</v>
      </c>
      <c r="BG2" s="37">
        <v>0</v>
      </c>
      <c r="BH2" s="37">
        <v>0</v>
      </c>
      <c r="BI2" s="37">
        <v>0</v>
      </c>
      <c r="BJ2" s="37" t="s">
        <v>2090</v>
      </c>
      <c r="BK2" s="37" t="s">
        <v>2090</v>
      </c>
      <c r="BL2" s="37" t="s">
        <v>2090</v>
      </c>
      <c r="BM2" s="37" t="s">
        <v>2090</v>
      </c>
      <c r="BN2" s="37" t="s">
        <v>2090</v>
      </c>
      <c r="BO2" s="37" t="s">
        <v>2090</v>
      </c>
      <c r="BP2" s="37" t="s">
        <v>2090</v>
      </c>
      <c r="BQ2" s="37" t="s">
        <v>2090</v>
      </c>
      <c r="BR2" s="37" t="s">
        <v>2090</v>
      </c>
      <c r="BS2" s="37" t="s">
        <v>2090</v>
      </c>
      <c r="BT2" s="37" t="s">
        <v>2090</v>
      </c>
      <c r="BU2" s="37" t="s">
        <v>2090</v>
      </c>
      <c r="BV2" s="37" t="s">
        <v>2090</v>
      </c>
      <c r="BW2" s="37" t="s">
        <v>2090</v>
      </c>
    </row>
    <row r="3" spans="1:75" ht="102.95" customHeight="1" x14ac:dyDescent="0.25">
      <c r="A3" s="38" t="s">
        <v>474</v>
      </c>
      <c r="B3" s="38" t="s">
        <v>1579</v>
      </c>
      <c r="C3" s="39" t="s">
        <v>475</v>
      </c>
      <c r="D3" s="40" t="s">
        <v>476</v>
      </c>
      <c r="E3" s="41">
        <v>50358.190199999997</v>
      </c>
      <c r="F3" s="41">
        <v>2905466.5236</v>
      </c>
      <c r="G3" s="41">
        <v>424111.5</v>
      </c>
      <c r="H3" s="41">
        <v>341874.5</v>
      </c>
      <c r="I3" s="42">
        <v>1.1976908052513164</v>
      </c>
      <c r="J3" s="41">
        <v>64091.171719999998</v>
      </c>
      <c r="K3" s="41">
        <v>2538893.4942700001</v>
      </c>
      <c r="L3" s="41">
        <v>280915.20000000001</v>
      </c>
      <c r="M3" s="41">
        <v>200477.4</v>
      </c>
      <c r="N3" s="42">
        <v>1.2882046597703329</v>
      </c>
      <c r="O3" s="41">
        <v>43382.631549999998</v>
      </c>
      <c r="P3" s="41">
        <v>2423559.7911399999</v>
      </c>
      <c r="Q3" s="41">
        <v>340463.8</v>
      </c>
      <c r="R3" s="41">
        <v>297253.2</v>
      </c>
      <c r="S3" s="42">
        <v>1.1045478204039463</v>
      </c>
      <c r="T3" s="41">
        <v>78253.963319999995</v>
      </c>
      <c r="U3" s="41">
        <v>2992045.8879</v>
      </c>
      <c r="V3" s="41">
        <v>143082.1</v>
      </c>
      <c r="W3" s="41">
        <v>82926</v>
      </c>
      <c r="X3" s="42">
        <v>1.5226683396068592</v>
      </c>
      <c r="Y3" s="43">
        <v>1</v>
      </c>
      <c r="Z3" s="43" t="s">
        <v>2090</v>
      </c>
      <c r="AA3" s="43" t="s">
        <v>2090</v>
      </c>
      <c r="AB3" s="43" t="s">
        <v>2090</v>
      </c>
      <c r="AC3" s="43" t="s">
        <v>2090</v>
      </c>
      <c r="AD3" s="43">
        <v>0</v>
      </c>
      <c r="AE3" s="43">
        <v>1</v>
      </c>
      <c r="AF3" s="43">
        <v>0</v>
      </c>
      <c r="AG3" s="43">
        <v>0</v>
      </c>
      <c r="AH3" s="43">
        <v>0</v>
      </c>
      <c r="AI3" s="43">
        <v>0</v>
      </c>
      <c r="AJ3" s="43">
        <v>0</v>
      </c>
      <c r="AK3" s="43">
        <v>0</v>
      </c>
      <c r="AL3" s="43">
        <v>0</v>
      </c>
      <c r="AM3" s="43">
        <v>0</v>
      </c>
      <c r="AN3" s="43">
        <v>0</v>
      </c>
      <c r="AO3" s="43">
        <v>0</v>
      </c>
      <c r="AP3" s="43">
        <v>0</v>
      </c>
      <c r="AQ3" s="43">
        <v>0</v>
      </c>
      <c r="AR3" s="43">
        <v>0</v>
      </c>
      <c r="AS3" s="43">
        <v>0</v>
      </c>
      <c r="AT3" s="43">
        <v>0</v>
      </c>
      <c r="AU3" s="43">
        <v>0</v>
      </c>
      <c r="AV3" s="43">
        <v>0</v>
      </c>
      <c r="AW3" s="43">
        <v>0</v>
      </c>
      <c r="AX3" s="43">
        <v>0</v>
      </c>
      <c r="AY3" s="43">
        <v>0</v>
      </c>
      <c r="AZ3" s="43">
        <v>0</v>
      </c>
      <c r="BA3" s="43">
        <v>0</v>
      </c>
      <c r="BB3" s="43">
        <v>0</v>
      </c>
      <c r="BC3" s="43">
        <v>0</v>
      </c>
      <c r="BD3" s="43">
        <v>0</v>
      </c>
      <c r="BE3" s="43">
        <v>0</v>
      </c>
      <c r="BF3" s="43">
        <v>0</v>
      </c>
      <c r="BG3" s="43">
        <v>0</v>
      </c>
      <c r="BH3" s="43">
        <v>0</v>
      </c>
      <c r="BI3" s="43">
        <v>0</v>
      </c>
      <c r="BJ3" s="43" t="s">
        <v>2090</v>
      </c>
      <c r="BK3" s="43" t="s">
        <v>2090</v>
      </c>
      <c r="BL3" s="43" t="s">
        <v>2090</v>
      </c>
      <c r="BM3" s="43" t="s">
        <v>2090</v>
      </c>
      <c r="BN3" s="43" t="s">
        <v>2090</v>
      </c>
      <c r="BO3" s="43" t="s">
        <v>2090</v>
      </c>
      <c r="BP3" s="43" t="s">
        <v>2090</v>
      </c>
      <c r="BQ3" s="43" t="s">
        <v>2090</v>
      </c>
      <c r="BR3" s="43" t="s">
        <v>2090</v>
      </c>
      <c r="BS3" s="43" t="s">
        <v>2090</v>
      </c>
      <c r="BT3" s="43" t="s">
        <v>2090</v>
      </c>
      <c r="BU3" s="43" t="s">
        <v>2090</v>
      </c>
      <c r="BV3" s="43" t="s">
        <v>2090</v>
      </c>
      <c r="BW3" s="43" t="s">
        <v>2090</v>
      </c>
    </row>
    <row r="4" spans="1:75" ht="95.45" customHeight="1" x14ac:dyDescent="0.25">
      <c r="A4" s="38" t="s">
        <v>477</v>
      </c>
      <c r="B4" s="38" t="s">
        <v>1580</v>
      </c>
      <c r="C4" s="39" t="s">
        <v>478</v>
      </c>
      <c r="D4" s="40" t="s">
        <v>479</v>
      </c>
      <c r="E4" s="41">
        <v>49976.041400000002</v>
      </c>
      <c r="F4" s="41">
        <v>2878413.9814900002</v>
      </c>
      <c r="G4" s="41">
        <v>87095.2</v>
      </c>
      <c r="H4" s="41">
        <v>72364.600000000006</v>
      </c>
      <c r="I4" s="42">
        <v>1.1686234298897717</v>
      </c>
      <c r="J4" s="41">
        <v>58546.554400000001</v>
      </c>
      <c r="K4" s="41">
        <v>2425443.7103499998</v>
      </c>
      <c r="L4" s="41">
        <v>229899.3</v>
      </c>
      <c r="M4" s="41">
        <v>170691.7</v>
      </c>
      <c r="N4" s="42">
        <v>1.2533769983801677</v>
      </c>
      <c r="O4" s="41">
        <v>76165.809949999995</v>
      </c>
      <c r="P4" s="41">
        <v>2964552.8537599999</v>
      </c>
      <c r="Q4" s="41">
        <v>233970.7</v>
      </c>
      <c r="R4" s="41">
        <v>153841.60000000001</v>
      </c>
      <c r="S4" s="42">
        <v>1.4658249682566302</v>
      </c>
      <c r="T4" s="41">
        <v>71467.874979999993</v>
      </c>
      <c r="U4" s="41">
        <v>2929359.6050100001</v>
      </c>
      <c r="V4" s="41">
        <v>72186.5</v>
      </c>
      <c r="W4" s="41">
        <v>47094.1</v>
      </c>
      <c r="X4" s="42">
        <v>1.2830271316935984</v>
      </c>
      <c r="Y4" s="43">
        <v>1</v>
      </c>
      <c r="Z4" s="43" t="s">
        <v>2090</v>
      </c>
      <c r="AA4" s="43" t="s">
        <v>2090</v>
      </c>
      <c r="AB4" s="43" t="s">
        <v>2090</v>
      </c>
      <c r="AC4" s="43" t="s">
        <v>2090</v>
      </c>
      <c r="AD4" s="43">
        <v>0</v>
      </c>
      <c r="AE4" s="43">
        <v>1</v>
      </c>
      <c r="AF4" s="43">
        <v>0</v>
      </c>
      <c r="AG4" s="43">
        <v>0</v>
      </c>
      <c r="AH4" s="43">
        <v>0</v>
      </c>
      <c r="AI4" s="43">
        <v>0</v>
      </c>
      <c r="AJ4" s="43">
        <v>0</v>
      </c>
      <c r="AK4" s="43">
        <v>0</v>
      </c>
      <c r="AL4" s="43">
        <v>0</v>
      </c>
      <c r="AM4" s="43">
        <v>0</v>
      </c>
      <c r="AN4" s="43">
        <v>0</v>
      </c>
      <c r="AO4" s="43">
        <v>0</v>
      </c>
      <c r="AP4" s="43">
        <v>0</v>
      </c>
      <c r="AQ4" s="43">
        <v>0</v>
      </c>
      <c r="AR4" s="43">
        <v>0</v>
      </c>
      <c r="AS4" s="43">
        <v>0</v>
      </c>
      <c r="AT4" s="43">
        <v>0</v>
      </c>
      <c r="AU4" s="43">
        <v>0</v>
      </c>
      <c r="AV4" s="43">
        <v>0</v>
      </c>
      <c r="AW4" s="43">
        <v>0</v>
      </c>
      <c r="AX4" s="43">
        <v>0</v>
      </c>
      <c r="AY4" s="43">
        <v>0</v>
      </c>
      <c r="AZ4" s="43">
        <v>0</v>
      </c>
      <c r="BA4" s="43">
        <v>0</v>
      </c>
      <c r="BB4" s="43">
        <v>0</v>
      </c>
      <c r="BC4" s="43">
        <v>0</v>
      </c>
      <c r="BD4" s="43">
        <v>0</v>
      </c>
      <c r="BE4" s="43">
        <v>0</v>
      </c>
      <c r="BF4" s="43">
        <v>0</v>
      </c>
      <c r="BG4" s="43">
        <v>0</v>
      </c>
      <c r="BH4" s="43">
        <v>0</v>
      </c>
      <c r="BI4" s="43">
        <v>0</v>
      </c>
      <c r="BJ4" s="43" t="s">
        <v>2090</v>
      </c>
      <c r="BK4" s="43" t="s">
        <v>2090</v>
      </c>
      <c r="BL4" s="43" t="s">
        <v>2090</v>
      </c>
      <c r="BM4" s="43" t="s">
        <v>2090</v>
      </c>
      <c r="BN4" s="43" t="s">
        <v>2090</v>
      </c>
      <c r="BO4" s="43" t="s">
        <v>2090</v>
      </c>
      <c r="BP4" s="43" t="s">
        <v>2090</v>
      </c>
      <c r="BQ4" s="43" t="s">
        <v>2090</v>
      </c>
      <c r="BR4" s="43" t="s">
        <v>2090</v>
      </c>
      <c r="BS4" s="43" t="s">
        <v>2090</v>
      </c>
      <c r="BT4" s="43" t="s">
        <v>2090</v>
      </c>
      <c r="BU4" s="43" t="s">
        <v>2090</v>
      </c>
      <c r="BV4" s="43" t="s">
        <v>2090</v>
      </c>
      <c r="BW4" s="43" t="s">
        <v>2090</v>
      </c>
    </row>
    <row r="5" spans="1:75" ht="101.45" customHeight="1" x14ac:dyDescent="0.25">
      <c r="A5" s="38" t="s">
        <v>480</v>
      </c>
      <c r="B5" s="38" t="s">
        <v>1581</v>
      </c>
      <c r="C5" s="39" t="s">
        <v>481</v>
      </c>
      <c r="D5" s="40" t="s">
        <v>482</v>
      </c>
      <c r="E5" s="41">
        <v>49492.997410000004</v>
      </c>
      <c r="F5" s="41">
        <v>2877539.7233099998</v>
      </c>
      <c r="G5" s="41">
        <v>59751.8</v>
      </c>
      <c r="H5" s="41">
        <v>50977.1</v>
      </c>
      <c r="I5" s="42">
        <v>1.1072443512695085</v>
      </c>
      <c r="J5" s="41">
        <v>7246.9661800000003</v>
      </c>
      <c r="K5" s="41">
        <v>861698.24063999997</v>
      </c>
      <c r="L5" s="41">
        <v>102928.4</v>
      </c>
      <c r="M5" s="41">
        <v>235864.3</v>
      </c>
      <c r="N5" s="42">
        <v>0.40216561916427379</v>
      </c>
      <c r="O5" s="41">
        <v>30444.841509999998</v>
      </c>
      <c r="P5" s="41">
        <v>2145817.6168300002</v>
      </c>
      <c r="Q5" s="41">
        <v>264248.59999999998</v>
      </c>
      <c r="R5" s="41">
        <v>268476.2</v>
      </c>
      <c r="S5" s="42">
        <v>0.94753793463222113</v>
      </c>
      <c r="T5" s="41">
        <v>71659.451639999999</v>
      </c>
      <c r="U5" s="41">
        <v>2895861.1547300001</v>
      </c>
      <c r="V5" s="41">
        <v>288925</v>
      </c>
      <c r="W5" s="41">
        <v>262733.09999999998</v>
      </c>
      <c r="X5" s="42">
        <v>1.0584584045089567</v>
      </c>
      <c r="Y5" s="43">
        <v>1</v>
      </c>
      <c r="Z5" s="43" t="s">
        <v>2090</v>
      </c>
      <c r="AA5" s="43" t="s">
        <v>2090</v>
      </c>
      <c r="AB5" s="43" t="s">
        <v>2090</v>
      </c>
      <c r="AC5" s="43" t="s">
        <v>2090</v>
      </c>
      <c r="AD5" s="43">
        <v>0</v>
      </c>
      <c r="AE5" s="43">
        <v>0</v>
      </c>
      <c r="AF5" s="43">
        <v>0</v>
      </c>
      <c r="AG5" s="43">
        <v>0</v>
      </c>
      <c r="AH5" s="43">
        <v>0</v>
      </c>
      <c r="AI5" s="43">
        <v>0</v>
      </c>
      <c r="AJ5" s="43">
        <v>0</v>
      </c>
      <c r="AK5" s="43">
        <v>0</v>
      </c>
      <c r="AL5" s="43">
        <v>0</v>
      </c>
      <c r="AM5" s="43">
        <v>0</v>
      </c>
      <c r="AN5" s="43">
        <v>0</v>
      </c>
      <c r="AO5" s="43">
        <v>0</v>
      </c>
      <c r="AP5" s="43">
        <v>0</v>
      </c>
      <c r="AQ5" s="43">
        <v>0</v>
      </c>
      <c r="AR5" s="43">
        <v>0</v>
      </c>
      <c r="AS5" s="43">
        <v>0</v>
      </c>
      <c r="AT5" s="43">
        <v>0</v>
      </c>
      <c r="AU5" s="43">
        <v>0</v>
      </c>
      <c r="AV5" s="43">
        <v>0</v>
      </c>
      <c r="AW5" s="43">
        <v>1</v>
      </c>
      <c r="AX5" s="43">
        <v>0</v>
      </c>
      <c r="AY5" s="43">
        <v>0</v>
      </c>
      <c r="AZ5" s="43">
        <v>0</v>
      </c>
      <c r="BA5" s="43">
        <v>0</v>
      </c>
      <c r="BB5" s="43">
        <v>0</v>
      </c>
      <c r="BC5" s="43">
        <v>0</v>
      </c>
      <c r="BD5" s="43">
        <v>0</v>
      </c>
      <c r="BE5" s="43">
        <v>0</v>
      </c>
      <c r="BF5" s="43">
        <v>0</v>
      </c>
      <c r="BG5" s="43">
        <v>0</v>
      </c>
      <c r="BH5" s="43">
        <v>0</v>
      </c>
      <c r="BI5" s="43">
        <v>0</v>
      </c>
      <c r="BJ5" s="43" t="s">
        <v>2090</v>
      </c>
      <c r="BK5" s="43" t="s">
        <v>2090</v>
      </c>
      <c r="BL5" s="43" t="s">
        <v>2090</v>
      </c>
      <c r="BM5" s="43" t="s">
        <v>2090</v>
      </c>
      <c r="BN5" s="43" t="s">
        <v>2090</v>
      </c>
      <c r="BO5" s="43" t="s">
        <v>2090</v>
      </c>
      <c r="BP5" s="43" t="s">
        <v>2090</v>
      </c>
      <c r="BQ5" s="43" t="s">
        <v>2090</v>
      </c>
      <c r="BR5" s="43" t="s">
        <v>2090</v>
      </c>
      <c r="BS5" s="43" t="s">
        <v>2090</v>
      </c>
      <c r="BT5" s="43" t="s">
        <v>2090</v>
      </c>
      <c r="BU5" s="43" t="s">
        <v>2090</v>
      </c>
      <c r="BV5" s="43" t="s">
        <v>2090</v>
      </c>
      <c r="BW5" s="43" t="s">
        <v>2090</v>
      </c>
    </row>
    <row r="6" spans="1:75" ht="164.45" customHeight="1" x14ac:dyDescent="0.25">
      <c r="A6" s="38" t="s">
        <v>483</v>
      </c>
      <c r="B6" s="38" t="s">
        <v>1582</v>
      </c>
      <c r="C6" s="39" t="s">
        <v>484</v>
      </c>
      <c r="D6" s="40" t="s">
        <v>485</v>
      </c>
      <c r="E6" s="41">
        <v>48484.344660000002</v>
      </c>
      <c r="F6" s="41">
        <v>2978383.4132599998</v>
      </c>
      <c r="G6" s="41">
        <v>315108.90000000002</v>
      </c>
      <c r="H6" s="41">
        <v>269716.90000000002</v>
      </c>
      <c r="I6" s="42">
        <v>1.1268235646014331</v>
      </c>
      <c r="J6" s="41">
        <v>7780.9636300000002</v>
      </c>
      <c r="K6" s="41">
        <v>895489.75823000004</v>
      </c>
      <c r="L6" s="41">
        <v>193304.1</v>
      </c>
      <c r="M6" s="41">
        <v>455286</v>
      </c>
      <c r="N6" s="42">
        <v>0.39408856576338397</v>
      </c>
      <c r="O6" s="41">
        <v>12174.54328</v>
      </c>
      <c r="P6" s="41">
        <v>1529856.1720700001</v>
      </c>
      <c r="Q6" s="41">
        <v>106368.7</v>
      </c>
      <c r="R6" s="41">
        <v>159603.29999999999</v>
      </c>
      <c r="S6" s="42">
        <v>0.62967391983993004</v>
      </c>
      <c r="T6" s="41">
        <v>75602.523050000003</v>
      </c>
      <c r="U6" s="41">
        <v>2993870.39861</v>
      </c>
      <c r="V6" s="41">
        <v>372009.7</v>
      </c>
      <c r="W6" s="41">
        <v>278203.40000000002</v>
      </c>
      <c r="X6" s="42">
        <v>1.2360895479589538</v>
      </c>
      <c r="Y6" s="43">
        <v>1</v>
      </c>
      <c r="Z6" s="43" t="s">
        <v>2090</v>
      </c>
      <c r="AA6" s="43" t="s">
        <v>2090</v>
      </c>
      <c r="AB6" s="43" t="s">
        <v>2090</v>
      </c>
      <c r="AC6" s="43" t="s">
        <v>2090</v>
      </c>
      <c r="AD6" s="43">
        <v>0</v>
      </c>
      <c r="AE6" s="43">
        <v>0</v>
      </c>
      <c r="AF6" s="43">
        <v>0</v>
      </c>
      <c r="AG6" s="43">
        <v>0</v>
      </c>
      <c r="AH6" s="43">
        <v>0</v>
      </c>
      <c r="AI6" s="43">
        <v>0</v>
      </c>
      <c r="AJ6" s="43">
        <v>0</v>
      </c>
      <c r="AK6" s="43">
        <v>0</v>
      </c>
      <c r="AL6" s="43">
        <v>0</v>
      </c>
      <c r="AM6" s="43">
        <v>0</v>
      </c>
      <c r="AN6" s="43">
        <v>0</v>
      </c>
      <c r="AO6" s="43">
        <v>0</v>
      </c>
      <c r="AP6" s="43">
        <v>0</v>
      </c>
      <c r="AQ6" s="43">
        <v>0</v>
      </c>
      <c r="AR6" s="43">
        <v>0</v>
      </c>
      <c r="AS6" s="43">
        <v>0</v>
      </c>
      <c r="AT6" s="43">
        <v>0</v>
      </c>
      <c r="AU6" s="43">
        <v>0</v>
      </c>
      <c r="AV6" s="43">
        <v>0</v>
      </c>
      <c r="AW6" s="43">
        <v>1</v>
      </c>
      <c r="AX6" s="43">
        <v>0</v>
      </c>
      <c r="AY6" s="43">
        <v>0</v>
      </c>
      <c r="AZ6" s="43">
        <v>0</v>
      </c>
      <c r="BA6" s="43">
        <v>0</v>
      </c>
      <c r="BB6" s="43">
        <v>0</v>
      </c>
      <c r="BC6" s="43">
        <v>0</v>
      </c>
      <c r="BD6" s="43">
        <v>0</v>
      </c>
      <c r="BE6" s="43">
        <v>0</v>
      </c>
      <c r="BF6" s="43">
        <v>0</v>
      </c>
      <c r="BG6" s="43">
        <v>0</v>
      </c>
      <c r="BH6" s="43">
        <v>0</v>
      </c>
      <c r="BI6" s="43">
        <v>0</v>
      </c>
      <c r="BJ6" s="43" t="s">
        <v>2090</v>
      </c>
      <c r="BK6" s="43" t="s">
        <v>2090</v>
      </c>
      <c r="BL6" s="43" t="s">
        <v>2090</v>
      </c>
      <c r="BM6" s="43" t="s">
        <v>2090</v>
      </c>
      <c r="BN6" s="43" t="s">
        <v>2090</v>
      </c>
      <c r="BO6" s="43" t="s">
        <v>2090</v>
      </c>
      <c r="BP6" s="43" t="s">
        <v>2090</v>
      </c>
      <c r="BQ6" s="43" t="s">
        <v>2090</v>
      </c>
      <c r="BR6" s="43" t="s">
        <v>2090</v>
      </c>
      <c r="BS6" s="43" t="s">
        <v>2090</v>
      </c>
      <c r="BT6" s="43" t="s">
        <v>2090</v>
      </c>
      <c r="BU6" s="43" t="s">
        <v>2090</v>
      </c>
      <c r="BV6" s="43" t="s">
        <v>2090</v>
      </c>
      <c r="BW6" s="43" t="s">
        <v>2090</v>
      </c>
    </row>
    <row r="7" spans="1:75" ht="129.94999999999999" customHeight="1" x14ac:dyDescent="0.25">
      <c r="A7" s="38" t="s">
        <v>486</v>
      </c>
      <c r="B7" s="38" t="s">
        <v>1583</v>
      </c>
      <c r="C7" s="39" t="s">
        <v>487</v>
      </c>
      <c r="D7" s="40" t="s">
        <v>488</v>
      </c>
      <c r="E7" s="41">
        <v>56319.589469999999</v>
      </c>
      <c r="F7" s="41">
        <v>3017726.7925</v>
      </c>
      <c r="G7" s="41">
        <v>331148.90000000002</v>
      </c>
      <c r="H7" s="41">
        <v>396909.9</v>
      </c>
      <c r="I7" s="42">
        <v>0.78878513733783351</v>
      </c>
      <c r="J7" s="41">
        <v>13864.73992</v>
      </c>
      <c r="K7" s="41">
        <v>1182723.19466</v>
      </c>
      <c r="L7" s="41">
        <v>166061.79999999999</v>
      </c>
      <c r="M7" s="41">
        <v>303851.59999999998</v>
      </c>
      <c r="N7" s="42">
        <v>0.50903552230220483</v>
      </c>
      <c r="O7" s="41">
        <v>5928.5016299999997</v>
      </c>
      <c r="P7" s="41">
        <v>1038730.54505</v>
      </c>
      <c r="Q7" s="41">
        <v>106379</v>
      </c>
      <c r="R7" s="41">
        <v>188876.2</v>
      </c>
      <c r="S7" s="42">
        <v>0.52582950452856991</v>
      </c>
      <c r="T7" s="41">
        <v>63092.20175</v>
      </c>
      <c r="U7" s="41">
        <v>2775933.9772199998</v>
      </c>
      <c r="V7" s="41">
        <v>203361.1</v>
      </c>
      <c r="W7" s="41">
        <v>146658</v>
      </c>
      <c r="X7" s="42">
        <v>1.2128440366972477</v>
      </c>
      <c r="Y7" s="43">
        <v>1</v>
      </c>
      <c r="Z7" s="43" t="s">
        <v>2090</v>
      </c>
      <c r="AA7" s="43" t="s">
        <v>2090</v>
      </c>
      <c r="AB7" s="43" t="s">
        <v>2090</v>
      </c>
      <c r="AC7" s="43" t="s">
        <v>2090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0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0</v>
      </c>
      <c r="AW7" s="43">
        <v>1</v>
      </c>
      <c r="AX7" s="43">
        <v>0</v>
      </c>
      <c r="AY7" s="43">
        <v>0</v>
      </c>
      <c r="AZ7" s="43">
        <v>0</v>
      </c>
      <c r="BA7" s="43">
        <v>0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 t="s">
        <v>2090</v>
      </c>
      <c r="BK7" s="43" t="s">
        <v>2090</v>
      </c>
      <c r="BL7" s="43" t="s">
        <v>2090</v>
      </c>
      <c r="BM7" s="43" t="s">
        <v>2090</v>
      </c>
      <c r="BN7" s="43" t="s">
        <v>2090</v>
      </c>
      <c r="BO7" s="43" t="s">
        <v>2090</v>
      </c>
      <c r="BP7" s="43" t="s">
        <v>2090</v>
      </c>
      <c r="BQ7" s="43" t="s">
        <v>2090</v>
      </c>
      <c r="BR7" s="43" t="s">
        <v>2090</v>
      </c>
      <c r="BS7" s="43" t="s">
        <v>2090</v>
      </c>
      <c r="BT7" s="43" t="s">
        <v>2090</v>
      </c>
      <c r="BU7" s="43" t="s">
        <v>2090</v>
      </c>
      <c r="BV7" s="43" t="s">
        <v>2090</v>
      </c>
      <c r="BW7" s="43" t="s">
        <v>2090</v>
      </c>
    </row>
    <row r="8" spans="1:75" ht="107.45" customHeight="1" x14ac:dyDescent="0.25">
      <c r="A8" s="38" t="s">
        <v>489</v>
      </c>
      <c r="B8" s="38" t="s">
        <v>1584</v>
      </c>
      <c r="C8" s="39" t="s">
        <v>490</v>
      </c>
      <c r="D8" s="40" t="s">
        <v>491</v>
      </c>
      <c r="E8" s="41">
        <v>49681.316570000003</v>
      </c>
      <c r="F8" s="41">
        <v>2909320.5704999999</v>
      </c>
      <c r="G8" s="41">
        <v>272966.7</v>
      </c>
      <c r="H8" s="41">
        <v>238369.5</v>
      </c>
      <c r="I8" s="42">
        <v>1.0916925357920584</v>
      </c>
      <c r="J8" s="41">
        <v>2433.0206600000001</v>
      </c>
      <c r="K8" s="41">
        <v>383330.57725999999</v>
      </c>
      <c r="L8" s="41">
        <v>80726.8</v>
      </c>
      <c r="M8" s="41">
        <v>373937.8</v>
      </c>
      <c r="N8" s="42">
        <v>0.19694205681785393</v>
      </c>
      <c r="O8" s="41">
        <v>41769.472349999996</v>
      </c>
      <c r="P8" s="41">
        <v>2510369.9606699999</v>
      </c>
      <c r="Q8" s="41">
        <v>298343.90000000002</v>
      </c>
      <c r="R8" s="41">
        <v>274683.3</v>
      </c>
      <c r="S8" s="42">
        <v>1.030896196893115</v>
      </c>
      <c r="T8" s="41">
        <v>8527.1486299999997</v>
      </c>
      <c r="U8" s="41">
        <v>1040170.26527</v>
      </c>
      <c r="V8" s="41">
        <v>45469.4</v>
      </c>
      <c r="W8" s="41">
        <v>140610</v>
      </c>
      <c r="X8" s="42">
        <v>0.30684753371216844</v>
      </c>
      <c r="Y8" s="43">
        <v>1</v>
      </c>
      <c r="Z8" s="43" t="s">
        <v>2090</v>
      </c>
      <c r="AA8" s="43" t="s">
        <v>2090</v>
      </c>
      <c r="AB8" s="43" t="s">
        <v>2090</v>
      </c>
      <c r="AC8" s="43" t="s">
        <v>2090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3">
        <v>0</v>
      </c>
      <c r="AJ8" s="43">
        <v>0</v>
      </c>
      <c r="AK8" s="43">
        <v>0</v>
      </c>
      <c r="AL8" s="43">
        <v>0</v>
      </c>
      <c r="AM8" s="43">
        <v>0</v>
      </c>
      <c r="AN8" s="43">
        <v>0</v>
      </c>
      <c r="AO8" s="43">
        <v>0</v>
      </c>
      <c r="AP8" s="43">
        <v>0</v>
      </c>
      <c r="AQ8" s="43">
        <v>0</v>
      </c>
      <c r="AR8" s="43">
        <v>0</v>
      </c>
      <c r="AS8" s="43">
        <v>0</v>
      </c>
      <c r="AT8" s="43">
        <v>0</v>
      </c>
      <c r="AU8" s="43">
        <v>0</v>
      </c>
      <c r="AV8" s="43">
        <v>0</v>
      </c>
      <c r="AW8" s="43">
        <v>1</v>
      </c>
      <c r="AX8" s="43">
        <v>0</v>
      </c>
      <c r="AY8" s="43">
        <v>0</v>
      </c>
      <c r="AZ8" s="43">
        <v>0</v>
      </c>
      <c r="BA8" s="43">
        <v>0</v>
      </c>
      <c r="BB8" s="43">
        <v>0</v>
      </c>
      <c r="BC8" s="43">
        <v>0</v>
      </c>
      <c r="BD8" s="43">
        <v>0</v>
      </c>
      <c r="BE8" s="43">
        <v>0</v>
      </c>
      <c r="BF8" s="43">
        <v>0</v>
      </c>
      <c r="BG8" s="43">
        <v>0</v>
      </c>
      <c r="BH8" s="43">
        <v>0</v>
      </c>
      <c r="BI8" s="43">
        <v>0</v>
      </c>
      <c r="BJ8" s="43" t="s">
        <v>2090</v>
      </c>
      <c r="BK8" s="43" t="s">
        <v>2090</v>
      </c>
      <c r="BL8" s="43" t="s">
        <v>2090</v>
      </c>
      <c r="BM8" s="43" t="s">
        <v>2090</v>
      </c>
      <c r="BN8" s="43" t="s">
        <v>2090</v>
      </c>
      <c r="BO8" s="43" t="s">
        <v>2090</v>
      </c>
      <c r="BP8" s="43" t="s">
        <v>2090</v>
      </c>
      <c r="BQ8" s="43" t="s">
        <v>2090</v>
      </c>
      <c r="BR8" s="43" t="s">
        <v>2090</v>
      </c>
      <c r="BS8" s="43" t="s">
        <v>2090</v>
      </c>
      <c r="BT8" s="43" t="s">
        <v>2090</v>
      </c>
      <c r="BU8" s="43" t="s">
        <v>2090</v>
      </c>
      <c r="BV8" s="43" t="s">
        <v>2090</v>
      </c>
      <c r="BW8" s="43" t="s">
        <v>2090</v>
      </c>
    </row>
    <row r="9" spans="1:75" ht="129.94999999999999" customHeight="1" x14ac:dyDescent="0.25">
      <c r="A9" s="38" t="s">
        <v>492</v>
      </c>
      <c r="B9" s="38" t="s">
        <v>1585</v>
      </c>
      <c r="C9" s="39" t="s">
        <v>493</v>
      </c>
      <c r="D9" s="40" t="s">
        <v>494</v>
      </c>
      <c r="E9" s="41">
        <v>1840.4973600000001</v>
      </c>
      <c r="F9" s="41">
        <v>394095.41083000001</v>
      </c>
      <c r="G9" s="41">
        <v>76445</v>
      </c>
      <c r="H9" s="41">
        <v>357073.1</v>
      </c>
      <c r="I9" s="42">
        <v>0.19990686037894906</v>
      </c>
      <c r="J9" s="41">
        <v>0</v>
      </c>
      <c r="K9" s="41">
        <v>0</v>
      </c>
      <c r="L9" s="41">
        <v>60987</v>
      </c>
      <c r="M9" s="41">
        <v>463008.8</v>
      </c>
      <c r="N9" s="42">
        <v>0.11066418448512894</v>
      </c>
      <c r="O9" s="41">
        <v>0</v>
      </c>
      <c r="P9" s="41">
        <v>71216.510739999998</v>
      </c>
      <c r="Q9" s="41">
        <v>123816.4</v>
      </c>
      <c r="R9" s="41">
        <v>246868</v>
      </c>
      <c r="S9" s="42">
        <v>0.47176000389920558</v>
      </c>
      <c r="T9" s="41">
        <v>3596.26568</v>
      </c>
      <c r="U9" s="41">
        <v>618535.19654000003</v>
      </c>
      <c r="V9" s="41">
        <v>141061.5</v>
      </c>
      <c r="W9" s="41">
        <v>471599.7</v>
      </c>
      <c r="X9" s="42">
        <v>0.26929745697405605</v>
      </c>
      <c r="Y9" s="43">
        <v>1</v>
      </c>
      <c r="Z9" s="43" t="s">
        <v>2090</v>
      </c>
      <c r="AA9" s="43" t="s">
        <v>2090</v>
      </c>
      <c r="AB9" s="43" t="s">
        <v>2090</v>
      </c>
      <c r="AC9" s="43" t="s">
        <v>2090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43">
        <v>0</v>
      </c>
      <c r="AJ9" s="43">
        <v>0</v>
      </c>
      <c r="AK9" s="43">
        <v>0</v>
      </c>
      <c r="AL9" s="43">
        <v>0</v>
      </c>
      <c r="AM9" s="43">
        <v>0</v>
      </c>
      <c r="AN9" s="43">
        <v>0</v>
      </c>
      <c r="AO9" s="43">
        <v>0</v>
      </c>
      <c r="AP9" s="43">
        <v>0</v>
      </c>
      <c r="AQ9" s="43">
        <v>0</v>
      </c>
      <c r="AR9" s="43">
        <v>0</v>
      </c>
      <c r="AS9" s="43">
        <v>0</v>
      </c>
      <c r="AT9" s="43">
        <v>0</v>
      </c>
      <c r="AU9" s="43">
        <v>0</v>
      </c>
      <c r="AV9" s="43">
        <v>0</v>
      </c>
      <c r="AW9" s="43">
        <v>0</v>
      </c>
      <c r="AX9" s="43">
        <v>0</v>
      </c>
      <c r="AY9" s="43">
        <v>0</v>
      </c>
      <c r="AZ9" s="43">
        <v>0</v>
      </c>
      <c r="BA9" s="43">
        <v>0</v>
      </c>
      <c r="BB9" s="43">
        <v>0</v>
      </c>
      <c r="BC9" s="43">
        <v>0</v>
      </c>
      <c r="BD9" s="43">
        <v>0</v>
      </c>
      <c r="BE9" s="43">
        <v>0</v>
      </c>
      <c r="BF9" s="43">
        <v>0</v>
      </c>
      <c r="BG9" s="43">
        <v>1</v>
      </c>
      <c r="BH9" s="43">
        <v>0</v>
      </c>
      <c r="BI9" s="43">
        <v>0</v>
      </c>
      <c r="BJ9" s="43" t="s">
        <v>2090</v>
      </c>
      <c r="BK9" s="43" t="s">
        <v>2090</v>
      </c>
      <c r="BL9" s="43" t="s">
        <v>2090</v>
      </c>
      <c r="BM9" s="43" t="s">
        <v>2090</v>
      </c>
      <c r="BN9" s="43" t="s">
        <v>2090</v>
      </c>
      <c r="BO9" s="43" t="s">
        <v>2090</v>
      </c>
      <c r="BP9" s="43" t="s">
        <v>2090</v>
      </c>
      <c r="BQ9" s="43" t="s">
        <v>2090</v>
      </c>
      <c r="BR9" s="43" t="s">
        <v>2090</v>
      </c>
      <c r="BS9" s="43" t="s">
        <v>2090</v>
      </c>
      <c r="BT9" s="43" t="s">
        <v>2090</v>
      </c>
      <c r="BU9" s="43" t="s">
        <v>2090</v>
      </c>
      <c r="BV9" s="43" t="s">
        <v>2090</v>
      </c>
      <c r="BW9" s="43" t="s">
        <v>2090</v>
      </c>
    </row>
    <row r="10" spans="1:75" ht="101.45" customHeight="1" x14ac:dyDescent="0.25">
      <c r="A10" s="38" t="s">
        <v>495</v>
      </c>
      <c r="B10" s="38" t="s">
        <v>1586</v>
      </c>
      <c r="C10" s="39" t="s">
        <v>496</v>
      </c>
      <c r="D10" s="40" t="s">
        <v>497</v>
      </c>
      <c r="E10" s="41">
        <v>10734.276229999999</v>
      </c>
      <c r="F10" s="41">
        <v>1453763.6436600001</v>
      </c>
      <c r="G10" s="41">
        <v>101196</v>
      </c>
      <c r="H10" s="41">
        <v>180833.4</v>
      </c>
      <c r="I10" s="42">
        <v>0.52833633044520734</v>
      </c>
      <c r="J10" s="41">
        <v>0</v>
      </c>
      <c r="K10" s="41">
        <v>24224.817029999998</v>
      </c>
      <c r="L10" s="41">
        <v>128247.1</v>
      </c>
      <c r="M10" s="41">
        <v>571077.5</v>
      </c>
      <c r="N10" s="42">
        <v>0.19939974477336822</v>
      </c>
      <c r="O10" s="41">
        <v>0</v>
      </c>
      <c r="P10" s="41">
        <v>2018.6571799999999</v>
      </c>
      <c r="Q10" s="41">
        <v>170251.6</v>
      </c>
      <c r="R10" s="41">
        <v>498362.8</v>
      </c>
      <c r="S10" s="42">
        <v>0.30554059955956198</v>
      </c>
      <c r="T10" s="41">
        <v>7425.4604099999997</v>
      </c>
      <c r="U10" s="41">
        <v>906347.09890999994</v>
      </c>
      <c r="V10" s="41">
        <v>212855.6</v>
      </c>
      <c r="W10" s="41">
        <v>527276.30000000005</v>
      </c>
      <c r="X10" s="42">
        <v>0.37116620466517525</v>
      </c>
      <c r="Y10" s="43">
        <v>1</v>
      </c>
      <c r="Z10" s="43" t="s">
        <v>2090</v>
      </c>
      <c r="AA10" s="43" t="s">
        <v>2090</v>
      </c>
      <c r="AB10" s="43" t="s">
        <v>2090</v>
      </c>
      <c r="AC10" s="43" t="s">
        <v>2090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3">
        <v>0</v>
      </c>
      <c r="AJ10" s="43">
        <v>0</v>
      </c>
      <c r="AK10" s="43">
        <v>0</v>
      </c>
      <c r="AL10" s="43">
        <v>0</v>
      </c>
      <c r="AM10" s="43">
        <v>0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0</v>
      </c>
      <c r="AW10" s="43">
        <v>0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  <c r="BF10" s="43">
        <v>0</v>
      </c>
      <c r="BG10" s="43">
        <v>1</v>
      </c>
      <c r="BH10" s="43">
        <v>0</v>
      </c>
      <c r="BI10" s="43">
        <v>0</v>
      </c>
      <c r="BJ10" s="43" t="s">
        <v>2090</v>
      </c>
      <c r="BK10" s="43" t="s">
        <v>2090</v>
      </c>
      <c r="BL10" s="43" t="s">
        <v>2090</v>
      </c>
      <c r="BM10" s="43" t="s">
        <v>2090</v>
      </c>
      <c r="BN10" s="43" t="s">
        <v>2090</v>
      </c>
      <c r="BO10" s="43" t="s">
        <v>2090</v>
      </c>
      <c r="BP10" s="43" t="s">
        <v>2090</v>
      </c>
      <c r="BQ10" s="43" t="s">
        <v>2090</v>
      </c>
      <c r="BR10" s="43" t="s">
        <v>2090</v>
      </c>
      <c r="BS10" s="43" t="s">
        <v>2090</v>
      </c>
      <c r="BT10" s="43" t="s">
        <v>2090</v>
      </c>
      <c r="BU10" s="43" t="s">
        <v>2090</v>
      </c>
      <c r="BV10" s="43" t="s">
        <v>2090</v>
      </c>
      <c r="BW10" s="43" t="s">
        <v>2090</v>
      </c>
    </row>
    <row r="11" spans="1:75" ht="107.45" customHeight="1" x14ac:dyDescent="0.25">
      <c r="A11" s="38" t="s">
        <v>498</v>
      </c>
      <c r="B11" s="38" t="s">
        <v>1587</v>
      </c>
      <c r="C11" s="39" t="s">
        <v>499</v>
      </c>
      <c r="D11" s="40" t="s">
        <v>500</v>
      </c>
      <c r="E11" s="41">
        <v>16664.448710000001</v>
      </c>
      <c r="F11" s="41">
        <v>1691519.5746800001</v>
      </c>
      <c r="G11" s="41">
        <v>194325</v>
      </c>
      <c r="H11" s="41">
        <v>296385.3</v>
      </c>
      <c r="I11" s="42">
        <v>0.61779688663225962</v>
      </c>
      <c r="J11" s="41">
        <v>0</v>
      </c>
      <c r="K11" s="41">
        <v>54771.696900000003</v>
      </c>
      <c r="L11" s="41">
        <v>54262.2</v>
      </c>
      <c r="M11" s="41">
        <v>287526.3</v>
      </c>
      <c r="N11" s="42">
        <v>0.17172405277790789</v>
      </c>
      <c r="O11" s="41">
        <v>0</v>
      </c>
      <c r="P11" s="41">
        <v>92697.157519999993</v>
      </c>
      <c r="Q11" s="41">
        <v>66992.5</v>
      </c>
      <c r="R11" s="41">
        <v>211167.4</v>
      </c>
      <c r="S11" s="42">
        <v>0.29307822429479263</v>
      </c>
      <c r="T11" s="41">
        <v>8043.6608100000003</v>
      </c>
      <c r="U11" s="41">
        <v>992549.88988999999</v>
      </c>
      <c r="V11" s="41">
        <v>178395.5</v>
      </c>
      <c r="W11" s="41">
        <v>367513.4</v>
      </c>
      <c r="X11" s="42">
        <v>0.45197805048650813</v>
      </c>
      <c r="Y11" s="43">
        <v>1</v>
      </c>
      <c r="Z11" s="43" t="s">
        <v>2090</v>
      </c>
      <c r="AA11" s="43" t="s">
        <v>2090</v>
      </c>
      <c r="AB11" s="43" t="s">
        <v>2090</v>
      </c>
      <c r="AC11" s="43" t="s">
        <v>2090</v>
      </c>
      <c r="AD11" s="43">
        <v>0</v>
      </c>
      <c r="AE11" s="43">
        <v>0</v>
      </c>
      <c r="AF11" s="43">
        <v>0</v>
      </c>
      <c r="AG11" s="43">
        <v>0</v>
      </c>
      <c r="AH11" s="43">
        <v>0</v>
      </c>
      <c r="AI11" s="43">
        <v>0</v>
      </c>
      <c r="AJ11" s="43">
        <v>0</v>
      </c>
      <c r="AK11" s="43">
        <v>0</v>
      </c>
      <c r="AL11" s="43">
        <v>0</v>
      </c>
      <c r="AM11" s="43">
        <v>0</v>
      </c>
      <c r="AN11" s="43">
        <v>0</v>
      </c>
      <c r="AO11" s="43">
        <v>0</v>
      </c>
      <c r="AP11" s="43">
        <v>0</v>
      </c>
      <c r="AQ11" s="43">
        <v>0</v>
      </c>
      <c r="AR11" s="43">
        <v>0</v>
      </c>
      <c r="AS11" s="43">
        <v>0</v>
      </c>
      <c r="AT11" s="43">
        <v>0</v>
      </c>
      <c r="AU11" s="43">
        <v>0</v>
      </c>
      <c r="AV11" s="43">
        <v>0</v>
      </c>
      <c r="AW11" s="43">
        <v>0</v>
      </c>
      <c r="AX11" s="43">
        <v>0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  <c r="BF11" s="43">
        <v>0</v>
      </c>
      <c r="BG11" s="43">
        <v>1</v>
      </c>
      <c r="BH11" s="43">
        <v>0</v>
      </c>
      <c r="BI11" s="43">
        <v>0</v>
      </c>
      <c r="BJ11" s="43" t="s">
        <v>2090</v>
      </c>
      <c r="BK11" s="43" t="s">
        <v>2090</v>
      </c>
      <c r="BL11" s="43" t="s">
        <v>2090</v>
      </c>
      <c r="BM11" s="43" t="s">
        <v>2090</v>
      </c>
      <c r="BN11" s="43" t="s">
        <v>2090</v>
      </c>
      <c r="BO11" s="43" t="s">
        <v>2090</v>
      </c>
      <c r="BP11" s="43" t="s">
        <v>2090</v>
      </c>
      <c r="BQ11" s="43" t="s">
        <v>2090</v>
      </c>
      <c r="BR11" s="43" t="s">
        <v>2090</v>
      </c>
      <c r="BS11" s="43" t="s">
        <v>2090</v>
      </c>
      <c r="BT11" s="43" t="s">
        <v>2090</v>
      </c>
      <c r="BU11" s="43" t="s">
        <v>2090</v>
      </c>
      <c r="BV11" s="43" t="s">
        <v>2090</v>
      </c>
      <c r="BW11" s="43" t="s">
        <v>2090</v>
      </c>
    </row>
    <row r="12" spans="1:75" ht="57.95" customHeight="1" x14ac:dyDescent="0.25">
      <c r="A12" s="38" t="s">
        <v>501</v>
      </c>
      <c r="B12" s="38" t="s">
        <v>1588</v>
      </c>
      <c r="C12" s="39" t="s">
        <v>502</v>
      </c>
      <c r="D12" s="40" t="s">
        <v>503</v>
      </c>
      <c r="E12" s="41">
        <v>45832.04034</v>
      </c>
      <c r="F12" s="41">
        <v>2792797.93438</v>
      </c>
      <c r="G12" s="41">
        <v>239880.2</v>
      </c>
      <c r="H12" s="41">
        <v>217674.4</v>
      </c>
      <c r="I12" s="42">
        <v>1.0464922204921983</v>
      </c>
      <c r="J12" s="41">
        <v>28030.264800000001</v>
      </c>
      <c r="K12" s="41">
        <v>1740423.6696599999</v>
      </c>
      <c r="L12" s="41">
        <v>166881.29999999999</v>
      </c>
      <c r="M12" s="41">
        <v>209915.3</v>
      </c>
      <c r="N12" s="42">
        <v>0.75425749318801094</v>
      </c>
      <c r="O12" s="41">
        <v>16788.809069999999</v>
      </c>
      <c r="P12" s="41">
        <v>242757.19761</v>
      </c>
      <c r="Q12" s="41">
        <v>163285.1</v>
      </c>
      <c r="R12" s="41">
        <v>515664.7</v>
      </c>
      <c r="S12" s="42">
        <v>0.28138004085647272</v>
      </c>
      <c r="T12" s="41">
        <v>22454.458350000001</v>
      </c>
      <c r="U12" s="41">
        <v>1722073.77034</v>
      </c>
      <c r="V12" s="41">
        <v>352964.7</v>
      </c>
      <c r="W12" s="41">
        <v>421044.6</v>
      </c>
      <c r="X12" s="42">
        <v>0.79825338916412203</v>
      </c>
      <c r="Y12" s="43">
        <v>1</v>
      </c>
      <c r="Z12" s="43" t="s">
        <v>2090</v>
      </c>
      <c r="AA12" s="43" t="s">
        <v>2090</v>
      </c>
      <c r="AB12" s="43" t="s">
        <v>2090</v>
      </c>
      <c r="AC12" s="43" t="s">
        <v>2090</v>
      </c>
      <c r="AD12" s="43">
        <v>0</v>
      </c>
      <c r="AE12" s="43">
        <v>0</v>
      </c>
      <c r="AF12" s="43">
        <v>1</v>
      </c>
      <c r="AG12" s="43">
        <v>0</v>
      </c>
      <c r="AH12" s="43">
        <v>0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 t="s">
        <v>2090</v>
      </c>
      <c r="BK12" s="43" t="s">
        <v>2090</v>
      </c>
      <c r="BL12" s="43" t="s">
        <v>2090</v>
      </c>
      <c r="BM12" s="43" t="s">
        <v>2090</v>
      </c>
      <c r="BN12" s="43" t="s">
        <v>2090</v>
      </c>
      <c r="BO12" s="43" t="s">
        <v>2090</v>
      </c>
      <c r="BP12" s="43" t="s">
        <v>2090</v>
      </c>
      <c r="BQ12" s="43" t="s">
        <v>2090</v>
      </c>
      <c r="BR12" s="43" t="s">
        <v>2090</v>
      </c>
      <c r="BS12" s="43" t="s">
        <v>2090</v>
      </c>
      <c r="BT12" s="43" t="s">
        <v>2090</v>
      </c>
      <c r="BU12" s="43" t="s">
        <v>2090</v>
      </c>
      <c r="BV12" s="43" t="s">
        <v>2090</v>
      </c>
      <c r="BW12" s="43" t="s">
        <v>2090</v>
      </c>
    </row>
    <row r="13" spans="1:75" ht="108.95" customHeight="1" x14ac:dyDescent="0.25">
      <c r="A13" s="38" t="s">
        <v>504</v>
      </c>
      <c r="B13" s="38" t="s">
        <v>1589</v>
      </c>
      <c r="C13" s="39" t="s">
        <v>505</v>
      </c>
      <c r="D13" s="40" t="s">
        <v>506</v>
      </c>
      <c r="E13" s="41">
        <v>39578.829429999998</v>
      </c>
      <c r="F13" s="41">
        <v>2538121.8169200001</v>
      </c>
      <c r="G13" s="41">
        <v>331288.09999999998</v>
      </c>
      <c r="H13" s="41">
        <v>326566.5</v>
      </c>
      <c r="I13" s="42">
        <v>0.9696616663707911</v>
      </c>
      <c r="J13" s="41">
        <v>0</v>
      </c>
      <c r="K13" s="41">
        <v>83387.377600000007</v>
      </c>
      <c r="L13" s="41">
        <v>80864.2</v>
      </c>
      <c r="M13" s="41">
        <v>476062.5</v>
      </c>
      <c r="N13" s="42">
        <v>0.15313073870031396</v>
      </c>
      <c r="O13" s="41">
        <v>11463.762339999999</v>
      </c>
      <c r="P13" s="41">
        <v>1454741.10998</v>
      </c>
      <c r="Q13" s="41">
        <v>277879.40000000002</v>
      </c>
      <c r="R13" s="41">
        <v>367460.4</v>
      </c>
      <c r="S13" s="42">
        <v>0.70833319999872002</v>
      </c>
      <c r="T13" s="41">
        <v>4942.3986699999996</v>
      </c>
      <c r="U13" s="41">
        <v>697360.83831999998</v>
      </c>
      <c r="V13" s="41">
        <v>107081.4</v>
      </c>
      <c r="W13" s="41">
        <v>238893.4</v>
      </c>
      <c r="X13" s="42">
        <v>0.42570493747419025</v>
      </c>
      <c r="Y13" s="43">
        <v>1</v>
      </c>
      <c r="Z13" s="43" t="s">
        <v>2090</v>
      </c>
      <c r="AA13" s="43" t="s">
        <v>2090</v>
      </c>
      <c r="AB13" s="43" t="s">
        <v>2090</v>
      </c>
      <c r="AC13" s="43" t="s">
        <v>2090</v>
      </c>
      <c r="AD13" s="43">
        <v>0</v>
      </c>
      <c r="AE13" s="43">
        <v>0</v>
      </c>
      <c r="AF13" s="43">
        <v>1</v>
      </c>
      <c r="AG13" s="43">
        <v>0</v>
      </c>
      <c r="AH13" s="43">
        <v>0</v>
      </c>
      <c r="AI13" s="43">
        <v>0</v>
      </c>
      <c r="AJ13" s="43">
        <v>0</v>
      </c>
      <c r="AK13" s="43">
        <v>0</v>
      </c>
      <c r="AL13" s="43">
        <v>0</v>
      </c>
      <c r="AM13" s="43">
        <v>0</v>
      </c>
      <c r="AN13" s="43">
        <v>0</v>
      </c>
      <c r="AO13" s="43">
        <v>0</v>
      </c>
      <c r="AP13" s="43">
        <v>0</v>
      </c>
      <c r="AQ13" s="43">
        <v>0</v>
      </c>
      <c r="AR13" s="43">
        <v>0</v>
      </c>
      <c r="AS13" s="43">
        <v>0</v>
      </c>
      <c r="AT13" s="43">
        <v>0</v>
      </c>
      <c r="AU13" s="43">
        <v>0</v>
      </c>
      <c r="AV13" s="43">
        <v>0</v>
      </c>
      <c r="AW13" s="43">
        <v>0</v>
      </c>
      <c r="AX13" s="43">
        <v>0</v>
      </c>
      <c r="AY13" s="43">
        <v>0</v>
      </c>
      <c r="AZ13" s="43">
        <v>0</v>
      </c>
      <c r="BA13" s="43">
        <v>0</v>
      </c>
      <c r="BB13" s="43">
        <v>0</v>
      </c>
      <c r="BC13" s="43">
        <v>0</v>
      </c>
      <c r="BD13" s="43">
        <v>0</v>
      </c>
      <c r="BE13" s="43">
        <v>0</v>
      </c>
      <c r="BF13" s="43">
        <v>0</v>
      </c>
      <c r="BG13" s="43">
        <v>0</v>
      </c>
      <c r="BH13" s="43">
        <v>0</v>
      </c>
      <c r="BI13" s="43">
        <v>0</v>
      </c>
      <c r="BJ13" s="43" t="s">
        <v>2090</v>
      </c>
      <c r="BK13" s="43" t="s">
        <v>2090</v>
      </c>
      <c r="BL13" s="43" t="s">
        <v>2090</v>
      </c>
      <c r="BM13" s="43" t="s">
        <v>2090</v>
      </c>
      <c r="BN13" s="43" t="s">
        <v>2090</v>
      </c>
      <c r="BO13" s="43" t="s">
        <v>2090</v>
      </c>
      <c r="BP13" s="43" t="s">
        <v>2090</v>
      </c>
      <c r="BQ13" s="43" t="s">
        <v>2090</v>
      </c>
      <c r="BR13" s="43" t="s">
        <v>2090</v>
      </c>
      <c r="BS13" s="43" t="s">
        <v>2090</v>
      </c>
      <c r="BT13" s="43" t="s">
        <v>2090</v>
      </c>
      <c r="BU13" s="43" t="s">
        <v>2090</v>
      </c>
      <c r="BV13" s="43" t="s">
        <v>2090</v>
      </c>
      <c r="BW13" s="43" t="s">
        <v>2090</v>
      </c>
    </row>
    <row r="14" spans="1:75" ht="164.45" customHeight="1" x14ac:dyDescent="0.25">
      <c r="A14" s="38" t="s">
        <v>507</v>
      </c>
      <c r="B14" s="38" t="s">
        <v>1590</v>
      </c>
      <c r="C14" s="39" t="s">
        <v>508</v>
      </c>
      <c r="D14" s="40" t="s">
        <v>509</v>
      </c>
      <c r="E14" s="41">
        <v>41216.246189999998</v>
      </c>
      <c r="F14" s="41">
        <v>2600776.1800000002</v>
      </c>
      <c r="G14" s="41">
        <v>158174.20000000001</v>
      </c>
      <c r="H14" s="41">
        <v>152996.5</v>
      </c>
      <c r="I14" s="42">
        <v>0.98654428448323583</v>
      </c>
      <c r="J14" s="41">
        <v>4215.4763400000002</v>
      </c>
      <c r="K14" s="41">
        <v>547493.41978999996</v>
      </c>
      <c r="L14" s="41">
        <v>77285.8</v>
      </c>
      <c r="M14" s="41">
        <v>299885.2</v>
      </c>
      <c r="N14" s="42">
        <v>0.24398273251290459</v>
      </c>
      <c r="O14" s="41">
        <v>18099.292259999998</v>
      </c>
      <c r="P14" s="41">
        <v>1820193.6122600001</v>
      </c>
      <c r="Q14" s="41">
        <v>392701.3</v>
      </c>
      <c r="R14" s="41">
        <v>423634</v>
      </c>
      <c r="S14" s="42">
        <v>0.87968192442377913</v>
      </c>
      <c r="T14" s="41">
        <v>7694.4946499999996</v>
      </c>
      <c r="U14" s="41">
        <v>921616.02272000001</v>
      </c>
      <c r="V14" s="41">
        <v>67532.5</v>
      </c>
      <c r="W14" s="41">
        <v>165716.4</v>
      </c>
      <c r="X14" s="42">
        <v>0.39064775074898794</v>
      </c>
      <c r="Y14" s="43">
        <v>1</v>
      </c>
      <c r="Z14" s="43" t="s">
        <v>2090</v>
      </c>
      <c r="AA14" s="43" t="s">
        <v>2090</v>
      </c>
      <c r="AB14" s="43" t="s">
        <v>2090</v>
      </c>
      <c r="AC14" s="43" t="s">
        <v>2090</v>
      </c>
      <c r="AD14" s="43">
        <v>0</v>
      </c>
      <c r="AE14" s="43">
        <v>0</v>
      </c>
      <c r="AF14" s="43">
        <v>1</v>
      </c>
      <c r="AG14" s="43">
        <v>0</v>
      </c>
      <c r="AH14" s="43">
        <v>0</v>
      </c>
      <c r="AI14" s="43">
        <v>0</v>
      </c>
      <c r="AJ14" s="43">
        <v>0</v>
      </c>
      <c r="AK14" s="43">
        <v>0</v>
      </c>
      <c r="AL14" s="43">
        <v>0</v>
      </c>
      <c r="AM14" s="43">
        <v>0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0</v>
      </c>
      <c r="AV14" s="43">
        <v>0</v>
      </c>
      <c r="AW14" s="43">
        <v>0</v>
      </c>
      <c r="AX14" s="43">
        <v>0</v>
      </c>
      <c r="AY14" s="43">
        <v>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 t="s">
        <v>2090</v>
      </c>
      <c r="BK14" s="43" t="s">
        <v>2090</v>
      </c>
      <c r="BL14" s="43" t="s">
        <v>2090</v>
      </c>
      <c r="BM14" s="43" t="s">
        <v>2090</v>
      </c>
      <c r="BN14" s="43" t="s">
        <v>2090</v>
      </c>
      <c r="BO14" s="43" t="s">
        <v>2090</v>
      </c>
      <c r="BP14" s="43" t="s">
        <v>2090</v>
      </c>
      <c r="BQ14" s="43" t="s">
        <v>2090</v>
      </c>
      <c r="BR14" s="43" t="s">
        <v>2090</v>
      </c>
      <c r="BS14" s="43" t="s">
        <v>2090</v>
      </c>
      <c r="BT14" s="43" t="s">
        <v>2090</v>
      </c>
      <c r="BU14" s="43" t="s">
        <v>2090</v>
      </c>
      <c r="BV14" s="43" t="s">
        <v>2090</v>
      </c>
      <c r="BW14" s="43" t="s">
        <v>2090</v>
      </c>
    </row>
    <row r="15" spans="1:75" ht="101.45" customHeight="1" x14ac:dyDescent="0.25">
      <c r="A15" s="38" t="s">
        <v>510</v>
      </c>
      <c r="B15" s="38" t="s">
        <v>1591</v>
      </c>
      <c r="C15" s="39" t="s">
        <v>511</v>
      </c>
      <c r="D15" s="40" t="s">
        <v>512</v>
      </c>
      <c r="E15" s="41">
        <v>50836.834900000002</v>
      </c>
      <c r="F15" s="41">
        <v>2765007.3592500002</v>
      </c>
      <c r="G15" s="41">
        <v>543638.1</v>
      </c>
      <c r="H15" s="41">
        <v>446129</v>
      </c>
      <c r="I15" s="42">
        <v>1.1638070513576944</v>
      </c>
      <c r="J15" s="41">
        <v>46202.819349999998</v>
      </c>
      <c r="K15" s="41">
        <v>2242538.0429199999</v>
      </c>
      <c r="L15" s="41">
        <v>72935.899999999994</v>
      </c>
      <c r="M15" s="41">
        <v>61483.3</v>
      </c>
      <c r="N15" s="42">
        <v>1.1108257173008382</v>
      </c>
      <c r="O15" s="41">
        <v>59942.603309999999</v>
      </c>
      <c r="P15" s="41">
        <v>2896790.0146599999</v>
      </c>
      <c r="Q15" s="41">
        <v>289801.09999999998</v>
      </c>
      <c r="R15" s="41">
        <v>197473.2</v>
      </c>
      <c r="S15" s="42">
        <v>1.4153620262457556</v>
      </c>
      <c r="T15" s="41">
        <v>64723.402829999999</v>
      </c>
      <c r="U15" s="41">
        <v>2767608.3336200002</v>
      </c>
      <c r="V15" s="41">
        <v>89079</v>
      </c>
      <c r="W15" s="41">
        <v>59788.5</v>
      </c>
      <c r="X15" s="42">
        <v>1.3107470255510045</v>
      </c>
      <c r="Y15" s="43">
        <v>1</v>
      </c>
      <c r="Z15" s="43" t="s">
        <v>2090</v>
      </c>
      <c r="AA15" s="43" t="s">
        <v>2090</v>
      </c>
      <c r="AB15" s="43" t="s">
        <v>2090</v>
      </c>
      <c r="AC15" s="43" t="s">
        <v>2090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3">
        <v>0</v>
      </c>
      <c r="AJ15" s="43">
        <v>0</v>
      </c>
      <c r="AK15" s="43">
        <v>0</v>
      </c>
      <c r="AL15" s="43">
        <v>0</v>
      </c>
      <c r="AM15" s="43">
        <v>0</v>
      </c>
      <c r="AN15" s="43">
        <v>0</v>
      </c>
      <c r="AO15" s="43">
        <v>0</v>
      </c>
      <c r="AP15" s="43">
        <v>0</v>
      </c>
      <c r="AQ15" s="43">
        <v>0</v>
      </c>
      <c r="AR15" s="43">
        <v>1</v>
      </c>
      <c r="AS15" s="43">
        <v>0</v>
      </c>
      <c r="AT15" s="43">
        <v>0</v>
      </c>
      <c r="AU15" s="43">
        <v>0</v>
      </c>
      <c r="AV15" s="43">
        <v>0</v>
      </c>
      <c r="AW15" s="43">
        <v>0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 t="s">
        <v>2090</v>
      </c>
      <c r="BK15" s="43" t="s">
        <v>2090</v>
      </c>
      <c r="BL15" s="43" t="s">
        <v>2090</v>
      </c>
      <c r="BM15" s="43" t="s">
        <v>2090</v>
      </c>
      <c r="BN15" s="43" t="s">
        <v>2090</v>
      </c>
      <c r="BO15" s="43" t="s">
        <v>2090</v>
      </c>
      <c r="BP15" s="43" t="s">
        <v>2090</v>
      </c>
      <c r="BQ15" s="43" t="s">
        <v>2090</v>
      </c>
      <c r="BR15" s="43" t="s">
        <v>2090</v>
      </c>
      <c r="BS15" s="43" t="s">
        <v>2090</v>
      </c>
      <c r="BT15" s="43" t="s">
        <v>2090</v>
      </c>
      <c r="BU15" s="43" t="s">
        <v>2090</v>
      </c>
      <c r="BV15" s="43" t="s">
        <v>2090</v>
      </c>
      <c r="BW15" s="43" t="s">
        <v>2090</v>
      </c>
    </row>
    <row r="16" spans="1:75" ht="100.7" customHeight="1" x14ac:dyDescent="0.25">
      <c r="A16" s="38" t="s">
        <v>513</v>
      </c>
      <c r="B16" s="38" t="s">
        <v>1592</v>
      </c>
      <c r="C16" s="39" t="s">
        <v>514</v>
      </c>
      <c r="D16" s="40" t="s">
        <v>515</v>
      </c>
      <c r="E16" s="41">
        <v>48387.829870000001</v>
      </c>
      <c r="F16" s="41">
        <v>2744982.9576400002</v>
      </c>
      <c r="G16" s="41">
        <v>302535.40000000002</v>
      </c>
      <c r="H16" s="41">
        <v>253380.4</v>
      </c>
      <c r="I16" s="42">
        <v>1.1451331096789101</v>
      </c>
      <c r="J16" s="41">
        <v>57347.296569999999</v>
      </c>
      <c r="K16" s="41">
        <v>2428990.66591</v>
      </c>
      <c r="L16" s="41">
        <v>488241.4</v>
      </c>
      <c r="M16" s="41">
        <v>382615</v>
      </c>
      <c r="N16" s="42">
        <v>1.1917519539222059</v>
      </c>
      <c r="O16" s="41">
        <v>78822.707450000002</v>
      </c>
      <c r="P16" s="41">
        <v>3266979.5503500002</v>
      </c>
      <c r="Q16" s="41">
        <v>443117.1</v>
      </c>
      <c r="R16" s="41">
        <v>279283.5</v>
      </c>
      <c r="S16" s="42">
        <v>1.5386653334529807</v>
      </c>
      <c r="T16" s="41">
        <v>60000.69066</v>
      </c>
      <c r="U16" s="41">
        <v>2728061.2184199998</v>
      </c>
      <c r="V16" s="41">
        <v>226011.8</v>
      </c>
      <c r="W16" s="41">
        <v>149932.79999999999</v>
      </c>
      <c r="X16" s="42">
        <v>1.3434599615680844</v>
      </c>
      <c r="Y16" s="43">
        <v>1</v>
      </c>
      <c r="Z16" s="43" t="s">
        <v>2090</v>
      </c>
      <c r="AA16" s="43" t="s">
        <v>2090</v>
      </c>
      <c r="AB16" s="43" t="s">
        <v>2090</v>
      </c>
      <c r="AC16" s="43" t="s">
        <v>2090</v>
      </c>
      <c r="AD16" s="43">
        <v>0</v>
      </c>
      <c r="AE16" s="43">
        <v>0</v>
      </c>
      <c r="AF16" s="43">
        <v>0</v>
      </c>
      <c r="AG16" s="43">
        <v>0</v>
      </c>
      <c r="AH16" s="43">
        <v>0</v>
      </c>
      <c r="AI16" s="43">
        <v>0</v>
      </c>
      <c r="AJ16" s="43">
        <v>0</v>
      </c>
      <c r="AK16" s="43">
        <v>0</v>
      </c>
      <c r="AL16" s="43">
        <v>0</v>
      </c>
      <c r="AM16" s="43">
        <v>0</v>
      </c>
      <c r="AN16" s="43">
        <v>0</v>
      </c>
      <c r="AO16" s="43">
        <v>0</v>
      </c>
      <c r="AP16" s="43">
        <v>0</v>
      </c>
      <c r="AQ16" s="43">
        <v>0</v>
      </c>
      <c r="AR16" s="43">
        <v>1</v>
      </c>
      <c r="AS16" s="43">
        <v>0</v>
      </c>
      <c r="AT16" s="43">
        <v>0</v>
      </c>
      <c r="AU16" s="43">
        <v>0</v>
      </c>
      <c r="AV16" s="43">
        <v>0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 t="s">
        <v>2090</v>
      </c>
      <c r="BK16" s="43" t="s">
        <v>2090</v>
      </c>
      <c r="BL16" s="43" t="s">
        <v>2090</v>
      </c>
      <c r="BM16" s="43" t="s">
        <v>2090</v>
      </c>
      <c r="BN16" s="43" t="s">
        <v>2090</v>
      </c>
      <c r="BO16" s="43" t="s">
        <v>2090</v>
      </c>
      <c r="BP16" s="43" t="s">
        <v>2090</v>
      </c>
      <c r="BQ16" s="43" t="s">
        <v>2090</v>
      </c>
      <c r="BR16" s="43" t="s">
        <v>2090</v>
      </c>
      <c r="BS16" s="43" t="s">
        <v>2090</v>
      </c>
      <c r="BT16" s="43" t="s">
        <v>2090</v>
      </c>
      <c r="BU16" s="43" t="s">
        <v>2090</v>
      </c>
      <c r="BV16" s="43" t="s">
        <v>2090</v>
      </c>
      <c r="BW16" s="43" t="s">
        <v>2090</v>
      </c>
    </row>
    <row r="17" spans="1:75" ht="142.69999999999999" customHeight="1" x14ac:dyDescent="0.25">
      <c r="A17" s="38" t="s">
        <v>516</v>
      </c>
      <c r="B17" s="38" t="s">
        <v>1593</v>
      </c>
      <c r="C17" s="39" t="s">
        <v>517</v>
      </c>
      <c r="D17" s="40" t="s">
        <v>518</v>
      </c>
      <c r="E17" s="41">
        <v>47429.260090000003</v>
      </c>
      <c r="F17" s="41">
        <v>2753097.9963099998</v>
      </c>
      <c r="G17" s="41">
        <v>27354.1</v>
      </c>
      <c r="H17" s="41">
        <v>25110</v>
      </c>
      <c r="I17" s="42">
        <v>1.0282320194840697</v>
      </c>
      <c r="J17" s="41">
        <v>44439.74727</v>
      </c>
      <c r="K17" s="41">
        <v>2208839.26346</v>
      </c>
      <c r="L17" s="41">
        <v>165433.20000000001</v>
      </c>
      <c r="M17" s="41">
        <v>144484.1</v>
      </c>
      <c r="N17" s="42">
        <v>1.0804861016487259</v>
      </c>
      <c r="O17" s="41">
        <v>75484.600229999996</v>
      </c>
      <c r="P17" s="41">
        <v>3157358.0714699998</v>
      </c>
      <c r="Q17" s="41">
        <v>386952.9</v>
      </c>
      <c r="R17" s="41">
        <v>242007.1</v>
      </c>
      <c r="S17" s="42">
        <v>1.5480489167791673</v>
      </c>
      <c r="T17" s="41">
        <v>69463.600930000001</v>
      </c>
      <c r="U17" s="41">
        <v>2914993.4364100001</v>
      </c>
      <c r="V17" s="41">
        <v>119737.60000000001</v>
      </c>
      <c r="W17" s="41">
        <v>89345.1</v>
      </c>
      <c r="X17" s="42">
        <v>1.2859456464604848</v>
      </c>
      <c r="Y17" s="43">
        <v>1</v>
      </c>
      <c r="Z17" s="43" t="s">
        <v>2090</v>
      </c>
      <c r="AA17" s="43" t="s">
        <v>2090</v>
      </c>
      <c r="AB17" s="43" t="s">
        <v>2090</v>
      </c>
      <c r="AC17" s="43" t="s">
        <v>2090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3">
        <v>0</v>
      </c>
      <c r="AJ17" s="43">
        <v>0</v>
      </c>
      <c r="AK17" s="43">
        <v>0</v>
      </c>
      <c r="AL17" s="43">
        <v>0</v>
      </c>
      <c r="AM17" s="43">
        <v>0</v>
      </c>
      <c r="AN17" s="43">
        <v>0</v>
      </c>
      <c r="AO17" s="43">
        <v>0</v>
      </c>
      <c r="AP17" s="43">
        <v>0</v>
      </c>
      <c r="AQ17" s="43">
        <v>0</v>
      </c>
      <c r="AR17" s="43">
        <v>1</v>
      </c>
      <c r="AS17" s="43">
        <v>0</v>
      </c>
      <c r="AT17" s="43">
        <v>0</v>
      </c>
      <c r="AU17" s="43">
        <v>0</v>
      </c>
      <c r="AV17" s="43">
        <v>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 t="s">
        <v>2090</v>
      </c>
      <c r="BK17" s="43" t="s">
        <v>2090</v>
      </c>
      <c r="BL17" s="43" t="s">
        <v>2090</v>
      </c>
      <c r="BM17" s="43" t="s">
        <v>2090</v>
      </c>
      <c r="BN17" s="43" t="s">
        <v>2090</v>
      </c>
      <c r="BO17" s="43" t="s">
        <v>2090</v>
      </c>
      <c r="BP17" s="43" t="s">
        <v>2090</v>
      </c>
      <c r="BQ17" s="43" t="s">
        <v>2090</v>
      </c>
      <c r="BR17" s="43" t="s">
        <v>2090</v>
      </c>
      <c r="BS17" s="43" t="s">
        <v>2090</v>
      </c>
      <c r="BT17" s="43" t="s">
        <v>2090</v>
      </c>
      <c r="BU17" s="43" t="s">
        <v>2090</v>
      </c>
      <c r="BV17" s="43" t="s">
        <v>2090</v>
      </c>
      <c r="BW17" s="43" t="s">
        <v>2090</v>
      </c>
    </row>
    <row r="18" spans="1:75" ht="160.69999999999999" customHeight="1" x14ac:dyDescent="0.25">
      <c r="A18" s="38" t="s">
        <v>519</v>
      </c>
      <c r="B18" s="38" t="s">
        <v>1594</v>
      </c>
      <c r="C18" s="39" t="s">
        <v>520</v>
      </c>
      <c r="D18" s="40" t="s">
        <v>521</v>
      </c>
      <c r="E18" s="41">
        <v>50570.581129999999</v>
      </c>
      <c r="F18" s="41">
        <v>2799659.6236800002</v>
      </c>
      <c r="G18" s="41">
        <v>265584.7</v>
      </c>
      <c r="H18" s="41">
        <v>214577.7</v>
      </c>
      <c r="I18" s="42">
        <v>1.1885956980088559</v>
      </c>
      <c r="J18" s="41">
        <v>26051.040420000001</v>
      </c>
      <c r="K18" s="41">
        <v>1692410.32969</v>
      </c>
      <c r="L18" s="41">
        <v>79405.8</v>
      </c>
      <c r="M18" s="41">
        <v>88686.5</v>
      </c>
      <c r="N18" s="42">
        <v>0.85464582695998004</v>
      </c>
      <c r="O18" s="41">
        <v>90105.645350000006</v>
      </c>
      <c r="P18" s="41">
        <v>3301339.9495299999</v>
      </c>
      <c r="Q18" s="41">
        <v>460672</v>
      </c>
      <c r="R18" s="41">
        <v>273475</v>
      </c>
      <c r="S18" s="42">
        <v>1.6426016549515081</v>
      </c>
      <c r="T18" s="41">
        <v>57125.648889999997</v>
      </c>
      <c r="U18" s="41">
        <v>2706682.56476</v>
      </c>
      <c r="V18" s="41">
        <v>172580.2</v>
      </c>
      <c r="W18" s="41">
        <v>127388.1</v>
      </c>
      <c r="X18" s="42">
        <v>1.2244087144669105</v>
      </c>
      <c r="Y18" s="43">
        <v>1</v>
      </c>
      <c r="Z18" s="43" t="s">
        <v>2090</v>
      </c>
      <c r="AA18" s="43" t="s">
        <v>2090</v>
      </c>
      <c r="AB18" s="43" t="s">
        <v>2090</v>
      </c>
      <c r="AC18" s="43" t="s">
        <v>2090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3">
        <v>0</v>
      </c>
      <c r="AJ18" s="43">
        <v>0</v>
      </c>
      <c r="AK18" s="43">
        <v>0</v>
      </c>
      <c r="AL18" s="43">
        <v>0</v>
      </c>
      <c r="AM18" s="43">
        <v>0</v>
      </c>
      <c r="AN18" s="43">
        <v>0</v>
      </c>
      <c r="AO18" s="43">
        <v>0</v>
      </c>
      <c r="AP18" s="43">
        <v>0</v>
      </c>
      <c r="AQ18" s="43">
        <v>0</v>
      </c>
      <c r="AR18" s="43">
        <v>1</v>
      </c>
      <c r="AS18" s="43">
        <v>0</v>
      </c>
      <c r="AT18" s="43">
        <v>0</v>
      </c>
      <c r="AU18" s="43">
        <v>0</v>
      </c>
      <c r="AV18" s="43">
        <v>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 t="s">
        <v>2090</v>
      </c>
      <c r="BK18" s="43" t="s">
        <v>2090</v>
      </c>
      <c r="BL18" s="43" t="s">
        <v>2090</v>
      </c>
      <c r="BM18" s="43" t="s">
        <v>2090</v>
      </c>
      <c r="BN18" s="43" t="s">
        <v>2090</v>
      </c>
      <c r="BO18" s="43" t="s">
        <v>2090</v>
      </c>
      <c r="BP18" s="43" t="s">
        <v>2090</v>
      </c>
      <c r="BQ18" s="43" t="s">
        <v>2090</v>
      </c>
      <c r="BR18" s="43" t="s">
        <v>2090</v>
      </c>
      <c r="BS18" s="43" t="s">
        <v>2090</v>
      </c>
      <c r="BT18" s="43" t="s">
        <v>2090</v>
      </c>
      <c r="BU18" s="43" t="s">
        <v>2090</v>
      </c>
      <c r="BV18" s="43" t="s">
        <v>2090</v>
      </c>
      <c r="BW18" s="43" t="s">
        <v>2090</v>
      </c>
    </row>
    <row r="19" spans="1:75" ht="163.69999999999999" customHeight="1" x14ac:dyDescent="0.25">
      <c r="A19" s="38" t="s">
        <v>522</v>
      </c>
      <c r="B19" s="38" t="s">
        <v>1595</v>
      </c>
      <c r="C19" s="39" t="s">
        <v>523</v>
      </c>
      <c r="D19" s="40" t="s">
        <v>524</v>
      </c>
      <c r="E19" s="41">
        <v>77158.839030000003</v>
      </c>
      <c r="F19" s="41">
        <v>2802612.3222699999</v>
      </c>
      <c r="G19" s="41">
        <v>461724.4</v>
      </c>
      <c r="H19" s="41">
        <v>388222</v>
      </c>
      <c r="I19" s="42">
        <v>1.1487980671429956</v>
      </c>
      <c r="J19" s="41">
        <v>55086.634599999998</v>
      </c>
      <c r="K19" s="41">
        <v>2450047.3590000002</v>
      </c>
      <c r="L19" s="41">
        <v>198962.8</v>
      </c>
      <c r="M19" s="41">
        <v>150676.6</v>
      </c>
      <c r="N19" s="42">
        <v>1.2139889466586637</v>
      </c>
      <c r="O19" s="41">
        <v>95981.377120000005</v>
      </c>
      <c r="P19" s="41">
        <v>3361913.07492</v>
      </c>
      <c r="Q19" s="41">
        <v>508918</v>
      </c>
      <c r="R19" s="41">
        <v>319522.3</v>
      </c>
      <c r="S19" s="42">
        <v>1.544473581759551</v>
      </c>
      <c r="T19" s="41">
        <v>76108.603740000006</v>
      </c>
      <c r="U19" s="41">
        <v>2936943.38332</v>
      </c>
      <c r="V19" s="41">
        <v>108373.2</v>
      </c>
      <c r="W19" s="41">
        <v>67071.399999999994</v>
      </c>
      <c r="X19" s="42">
        <v>1.4557397560212699</v>
      </c>
      <c r="Y19" s="43">
        <v>1</v>
      </c>
      <c r="Z19" s="43" t="s">
        <v>2090</v>
      </c>
      <c r="AA19" s="43" t="s">
        <v>2090</v>
      </c>
      <c r="AB19" s="43" t="s">
        <v>2090</v>
      </c>
      <c r="AC19" s="43" t="s">
        <v>2090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3">
        <v>0</v>
      </c>
      <c r="AJ19" s="43">
        <v>0</v>
      </c>
      <c r="AK19" s="43">
        <v>0</v>
      </c>
      <c r="AL19" s="43">
        <v>0</v>
      </c>
      <c r="AM19" s="43">
        <v>0</v>
      </c>
      <c r="AN19" s="43">
        <v>0</v>
      </c>
      <c r="AO19" s="43">
        <v>0</v>
      </c>
      <c r="AP19" s="43">
        <v>0</v>
      </c>
      <c r="AQ19" s="43">
        <v>0</v>
      </c>
      <c r="AR19" s="43">
        <v>1</v>
      </c>
      <c r="AS19" s="43">
        <v>0</v>
      </c>
      <c r="AT19" s="43">
        <v>0</v>
      </c>
      <c r="AU19" s="43">
        <v>0</v>
      </c>
      <c r="AV19" s="43">
        <v>0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43">
        <v>0</v>
      </c>
      <c r="BJ19" s="43" t="s">
        <v>2090</v>
      </c>
      <c r="BK19" s="43" t="s">
        <v>2090</v>
      </c>
      <c r="BL19" s="43" t="s">
        <v>2090</v>
      </c>
      <c r="BM19" s="43" t="s">
        <v>2090</v>
      </c>
      <c r="BN19" s="43" t="s">
        <v>2090</v>
      </c>
      <c r="BO19" s="43" t="s">
        <v>2090</v>
      </c>
      <c r="BP19" s="43" t="s">
        <v>2090</v>
      </c>
      <c r="BQ19" s="43" t="s">
        <v>2090</v>
      </c>
      <c r="BR19" s="43" t="s">
        <v>2090</v>
      </c>
      <c r="BS19" s="43" t="s">
        <v>2090</v>
      </c>
      <c r="BT19" s="43" t="s">
        <v>2090</v>
      </c>
      <c r="BU19" s="43" t="s">
        <v>2090</v>
      </c>
      <c r="BV19" s="43" t="s">
        <v>2090</v>
      </c>
      <c r="BW19" s="43" t="s">
        <v>2090</v>
      </c>
    </row>
    <row r="20" spans="1:75" ht="110.45" customHeight="1" x14ac:dyDescent="0.25">
      <c r="A20" s="38" t="s">
        <v>525</v>
      </c>
      <c r="B20" s="38" t="s">
        <v>1596</v>
      </c>
      <c r="C20" s="39" t="s">
        <v>526</v>
      </c>
      <c r="D20" s="40" t="s">
        <v>527</v>
      </c>
      <c r="E20" s="41">
        <v>51325.74454</v>
      </c>
      <c r="F20" s="41">
        <v>2754336.41236</v>
      </c>
      <c r="G20" s="41">
        <v>371543.5</v>
      </c>
      <c r="H20" s="41">
        <v>317771.5</v>
      </c>
      <c r="I20" s="42">
        <v>1.1456994931012985</v>
      </c>
      <c r="J20" s="41">
        <v>59802.817620000002</v>
      </c>
      <c r="K20" s="41">
        <v>2513368.7165299999</v>
      </c>
      <c r="L20" s="41">
        <v>125037.7</v>
      </c>
      <c r="M20" s="41">
        <v>88190.399999999994</v>
      </c>
      <c r="N20" s="42">
        <v>1.3191369166540363</v>
      </c>
      <c r="O20" s="41">
        <v>72887.95061</v>
      </c>
      <c r="P20" s="41">
        <v>3236806.0322500002</v>
      </c>
      <c r="Q20" s="41">
        <v>299258.2</v>
      </c>
      <c r="R20" s="41">
        <v>187070.3</v>
      </c>
      <c r="S20" s="42">
        <v>1.510278129194254</v>
      </c>
      <c r="T20" s="41">
        <v>72665.228799999997</v>
      </c>
      <c r="U20" s="41">
        <v>2901065.79434</v>
      </c>
      <c r="V20" s="41">
        <v>36424.6</v>
      </c>
      <c r="W20" s="41">
        <v>20693.900000000001</v>
      </c>
      <c r="X20" s="42">
        <v>1.4125920621931261</v>
      </c>
      <c r="Y20" s="43">
        <v>1</v>
      </c>
      <c r="Z20" s="43" t="s">
        <v>2090</v>
      </c>
      <c r="AA20" s="43" t="s">
        <v>2090</v>
      </c>
      <c r="AB20" s="43" t="s">
        <v>2090</v>
      </c>
      <c r="AC20" s="43" t="s">
        <v>2090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3">
        <v>0</v>
      </c>
      <c r="AJ20" s="43">
        <v>0</v>
      </c>
      <c r="AK20" s="43">
        <v>0</v>
      </c>
      <c r="AL20" s="43">
        <v>0</v>
      </c>
      <c r="AM20" s="43">
        <v>0</v>
      </c>
      <c r="AN20" s="43">
        <v>0</v>
      </c>
      <c r="AO20" s="43">
        <v>0</v>
      </c>
      <c r="AP20" s="43">
        <v>0</v>
      </c>
      <c r="AQ20" s="43">
        <v>0</v>
      </c>
      <c r="AR20" s="43">
        <v>1</v>
      </c>
      <c r="AS20" s="43">
        <v>0</v>
      </c>
      <c r="AT20" s="43">
        <v>0</v>
      </c>
      <c r="AU20" s="43">
        <v>0</v>
      </c>
      <c r="AV20" s="43">
        <v>0</v>
      </c>
      <c r="AW20" s="43">
        <v>0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0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 t="s">
        <v>2090</v>
      </c>
      <c r="BK20" s="43" t="s">
        <v>2090</v>
      </c>
      <c r="BL20" s="43" t="s">
        <v>2090</v>
      </c>
      <c r="BM20" s="43" t="s">
        <v>2090</v>
      </c>
      <c r="BN20" s="43" t="s">
        <v>2090</v>
      </c>
      <c r="BO20" s="43" t="s">
        <v>2090</v>
      </c>
      <c r="BP20" s="43" t="s">
        <v>2090</v>
      </c>
      <c r="BQ20" s="43" t="s">
        <v>2090</v>
      </c>
      <c r="BR20" s="43" t="s">
        <v>2090</v>
      </c>
      <c r="BS20" s="43" t="s">
        <v>2090</v>
      </c>
      <c r="BT20" s="43" t="s">
        <v>2090</v>
      </c>
      <c r="BU20" s="43" t="s">
        <v>2090</v>
      </c>
      <c r="BV20" s="43" t="s">
        <v>2090</v>
      </c>
      <c r="BW20" s="43" t="s">
        <v>2090</v>
      </c>
    </row>
    <row r="21" spans="1:75" ht="111.95" customHeight="1" x14ac:dyDescent="0.25">
      <c r="A21" s="38" t="s">
        <v>528</v>
      </c>
      <c r="B21" s="38" t="s">
        <v>1597</v>
      </c>
      <c r="C21" s="39" t="s">
        <v>529</v>
      </c>
      <c r="D21" s="40" t="s">
        <v>530</v>
      </c>
      <c r="E21" s="41">
        <v>33205.376389999998</v>
      </c>
      <c r="F21" s="41">
        <v>2328417.6559000001</v>
      </c>
      <c r="G21" s="41">
        <v>284718.90000000002</v>
      </c>
      <c r="H21" s="41">
        <v>311033.59999999998</v>
      </c>
      <c r="I21" s="42">
        <v>0.87826897908323598</v>
      </c>
      <c r="J21" s="41">
        <v>173.40069</v>
      </c>
      <c r="K21" s="41">
        <v>0</v>
      </c>
      <c r="L21" s="41">
        <v>163052.70000000001</v>
      </c>
      <c r="M21" s="41">
        <v>421375.6</v>
      </c>
      <c r="N21" s="42">
        <v>0.36234369985828979</v>
      </c>
      <c r="O21" s="41">
        <v>0</v>
      </c>
      <c r="P21" s="41">
        <v>452575.39009</v>
      </c>
      <c r="Q21" s="41">
        <v>124753.8</v>
      </c>
      <c r="R21" s="41">
        <v>317915.59999999998</v>
      </c>
      <c r="S21" s="42">
        <v>0.36528494509307868</v>
      </c>
      <c r="T21" s="41">
        <v>4507.9603999999999</v>
      </c>
      <c r="U21" s="41">
        <v>667258.86227000004</v>
      </c>
      <c r="V21" s="41">
        <v>61933.5</v>
      </c>
      <c r="W21" s="41">
        <v>206659.9</v>
      </c>
      <c r="X21" s="42">
        <v>0.28722876293776123</v>
      </c>
      <c r="Y21" s="43">
        <v>2</v>
      </c>
      <c r="Z21" s="43" t="s">
        <v>2090</v>
      </c>
      <c r="AA21" s="43" t="s">
        <v>2090</v>
      </c>
      <c r="AB21" s="43" t="s">
        <v>2090</v>
      </c>
      <c r="AC21" s="43" t="s">
        <v>2090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3">
        <v>0</v>
      </c>
      <c r="AJ21" s="43">
        <v>0</v>
      </c>
      <c r="AK21" s="43">
        <v>0</v>
      </c>
      <c r="AL21" s="43">
        <v>1</v>
      </c>
      <c r="AM21" s="43">
        <v>0</v>
      </c>
      <c r="AN21" s="43">
        <v>0</v>
      </c>
      <c r="AO21" s="43">
        <v>0</v>
      </c>
      <c r="AP21" s="43">
        <v>0</v>
      </c>
      <c r="AQ21" s="43">
        <v>1</v>
      </c>
      <c r="AR21" s="43">
        <v>0</v>
      </c>
      <c r="AS21" s="43">
        <v>0</v>
      </c>
      <c r="AT21" s="43">
        <v>0</v>
      </c>
      <c r="AU21" s="43">
        <v>0</v>
      </c>
      <c r="AV21" s="43">
        <v>0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 t="s">
        <v>2090</v>
      </c>
      <c r="BK21" s="43" t="s">
        <v>2090</v>
      </c>
      <c r="BL21" s="43" t="s">
        <v>2090</v>
      </c>
      <c r="BM21" s="43" t="s">
        <v>2090</v>
      </c>
      <c r="BN21" s="43" t="s">
        <v>2090</v>
      </c>
      <c r="BO21" s="43" t="s">
        <v>2090</v>
      </c>
      <c r="BP21" s="43" t="s">
        <v>2090</v>
      </c>
      <c r="BQ21" s="43" t="s">
        <v>2090</v>
      </c>
      <c r="BR21" s="43" t="s">
        <v>2090</v>
      </c>
      <c r="BS21" s="43" t="s">
        <v>2090</v>
      </c>
      <c r="BT21" s="43" t="s">
        <v>2090</v>
      </c>
      <c r="BU21" s="43" t="s">
        <v>2090</v>
      </c>
      <c r="BV21" s="43" t="s">
        <v>2090</v>
      </c>
      <c r="BW21" s="43" t="s">
        <v>2090</v>
      </c>
    </row>
    <row r="22" spans="1:75" ht="119.45" customHeight="1" x14ac:dyDescent="0.25">
      <c r="A22" s="38" t="s">
        <v>531</v>
      </c>
      <c r="B22" s="38" t="s">
        <v>1598</v>
      </c>
      <c r="C22" s="39" t="s">
        <v>532</v>
      </c>
      <c r="D22" s="40" t="s">
        <v>533</v>
      </c>
      <c r="E22" s="41">
        <v>804.83504000000005</v>
      </c>
      <c r="F22" s="41">
        <v>189377.49528</v>
      </c>
      <c r="G22" s="41">
        <v>261435.3</v>
      </c>
      <c r="H22" s="41">
        <v>531353.9</v>
      </c>
      <c r="I22" s="42">
        <v>0.44679991046573037</v>
      </c>
      <c r="J22" s="41">
        <v>0</v>
      </c>
      <c r="K22" s="41">
        <v>0</v>
      </c>
      <c r="L22" s="41">
        <v>85317.8</v>
      </c>
      <c r="M22" s="41">
        <v>319204.7</v>
      </c>
      <c r="N22" s="42">
        <v>0.24567485771072364</v>
      </c>
      <c r="O22" s="41">
        <v>344.95330000000001</v>
      </c>
      <c r="P22" s="41">
        <v>2555.7651300000002</v>
      </c>
      <c r="Q22" s="41">
        <v>92889.4</v>
      </c>
      <c r="R22" s="41">
        <v>346519.5</v>
      </c>
      <c r="S22" s="42">
        <v>0.24227232458640371</v>
      </c>
      <c r="T22" s="41">
        <v>0</v>
      </c>
      <c r="U22" s="41">
        <v>0</v>
      </c>
      <c r="V22" s="41">
        <v>217811.1</v>
      </c>
      <c r="W22" s="41">
        <v>687058.9</v>
      </c>
      <c r="X22" s="42">
        <v>0.2566657748912502</v>
      </c>
      <c r="Y22" s="43">
        <v>1</v>
      </c>
      <c r="Z22" s="43" t="s">
        <v>2090</v>
      </c>
      <c r="AA22" s="43" t="s">
        <v>2090</v>
      </c>
      <c r="AB22" s="43" t="s">
        <v>2090</v>
      </c>
      <c r="AC22" s="43" t="s">
        <v>2090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3">
        <v>0</v>
      </c>
      <c r="AJ22" s="43">
        <v>0</v>
      </c>
      <c r="AK22" s="43">
        <v>0</v>
      </c>
      <c r="AL22" s="43">
        <v>0</v>
      </c>
      <c r="AM22" s="43">
        <v>1</v>
      </c>
      <c r="AN22" s="43">
        <v>0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0</v>
      </c>
      <c r="AW22" s="43">
        <v>0</v>
      </c>
      <c r="AX22" s="43">
        <v>0</v>
      </c>
      <c r="AY22" s="43">
        <v>0</v>
      </c>
      <c r="AZ22" s="43">
        <v>0</v>
      </c>
      <c r="BA22" s="43">
        <v>0</v>
      </c>
      <c r="BB22" s="43">
        <v>0</v>
      </c>
      <c r="BC22" s="43">
        <v>0</v>
      </c>
      <c r="BD22" s="43">
        <v>0</v>
      </c>
      <c r="BE22" s="43">
        <v>0</v>
      </c>
      <c r="BF22" s="43">
        <v>0</v>
      </c>
      <c r="BG22" s="43">
        <v>0</v>
      </c>
      <c r="BH22" s="43">
        <v>0</v>
      </c>
      <c r="BI22" s="43">
        <v>0</v>
      </c>
      <c r="BJ22" s="43" t="s">
        <v>2090</v>
      </c>
      <c r="BK22" s="43" t="s">
        <v>2090</v>
      </c>
      <c r="BL22" s="43" t="s">
        <v>2090</v>
      </c>
      <c r="BM22" s="43" t="s">
        <v>2090</v>
      </c>
      <c r="BN22" s="43" t="s">
        <v>2090</v>
      </c>
      <c r="BO22" s="43" t="s">
        <v>2090</v>
      </c>
      <c r="BP22" s="43" t="s">
        <v>2090</v>
      </c>
      <c r="BQ22" s="43" t="s">
        <v>2090</v>
      </c>
      <c r="BR22" s="43" t="s">
        <v>2090</v>
      </c>
      <c r="BS22" s="43" t="s">
        <v>2090</v>
      </c>
      <c r="BT22" s="43" t="s">
        <v>2090</v>
      </c>
      <c r="BU22" s="43" t="s">
        <v>2090</v>
      </c>
      <c r="BV22" s="43" t="s">
        <v>2090</v>
      </c>
      <c r="BW22" s="43" t="s">
        <v>2090</v>
      </c>
    </row>
    <row r="23" spans="1:75" ht="119.45" customHeight="1" x14ac:dyDescent="0.25">
      <c r="A23" s="38" t="s">
        <v>534</v>
      </c>
      <c r="B23" s="38" t="s">
        <v>1599</v>
      </c>
      <c r="C23" s="39" t="s">
        <v>535</v>
      </c>
      <c r="D23" s="40" t="s">
        <v>536</v>
      </c>
      <c r="E23" s="41">
        <v>27606.78743</v>
      </c>
      <c r="F23" s="41">
        <v>2191635.8139900002</v>
      </c>
      <c r="G23" s="41">
        <v>377291.9</v>
      </c>
      <c r="H23" s="41">
        <v>438116.8</v>
      </c>
      <c r="I23" s="42">
        <v>0.82143460053476225</v>
      </c>
      <c r="J23" s="41">
        <v>1518.9124099999999</v>
      </c>
      <c r="K23" s="41">
        <v>237756.03941</v>
      </c>
      <c r="L23" s="41">
        <v>85870.3</v>
      </c>
      <c r="M23" s="41">
        <v>399762.7</v>
      </c>
      <c r="N23" s="42">
        <v>0.19573151427905838</v>
      </c>
      <c r="O23" s="41">
        <v>9838.7430700000004</v>
      </c>
      <c r="P23" s="41">
        <v>1263673.0948099999</v>
      </c>
      <c r="Q23" s="41">
        <v>188915.7</v>
      </c>
      <c r="R23" s="41">
        <v>296742.3</v>
      </c>
      <c r="S23" s="42">
        <v>0.60206349732939646</v>
      </c>
      <c r="T23" s="41">
        <v>3749.6554500000002</v>
      </c>
      <c r="U23" s="41">
        <v>513240.48433000001</v>
      </c>
      <c r="V23" s="41">
        <v>68879.100000000006</v>
      </c>
      <c r="W23" s="41">
        <v>191211.4</v>
      </c>
      <c r="X23" s="42">
        <v>0.34041374816745396</v>
      </c>
      <c r="Y23" s="43">
        <v>1</v>
      </c>
      <c r="Z23" s="43" t="s">
        <v>2090</v>
      </c>
      <c r="AA23" s="43" t="s">
        <v>2090</v>
      </c>
      <c r="AB23" s="43" t="s">
        <v>2090</v>
      </c>
      <c r="AC23" s="43" t="s">
        <v>2090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3">
        <v>0</v>
      </c>
      <c r="AJ23" s="43">
        <v>0</v>
      </c>
      <c r="AK23" s="43">
        <v>0</v>
      </c>
      <c r="AL23" s="43">
        <v>0</v>
      </c>
      <c r="AM23" s="43">
        <v>1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0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 t="s">
        <v>2090</v>
      </c>
      <c r="BK23" s="43" t="s">
        <v>2090</v>
      </c>
      <c r="BL23" s="43" t="s">
        <v>2090</v>
      </c>
      <c r="BM23" s="43" t="s">
        <v>2090</v>
      </c>
      <c r="BN23" s="43" t="s">
        <v>2090</v>
      </c>
      <c r="BO23" s="43" t="s">
        <v>2090</v>
      </c>
      <c r="BP23" s="43" t="s">
        <v>2090</v>
      </c>
      <c r="BQ23" s="43" t="s">
        <v>2090</v>
      </c>
      <c r="BR23" s="43" t="s">
        <v>2090</v>
      </c>
      <c r="BS23" s="43" t="s">
        <v>2090</v>
      </c>
      <c r="BT23" s="43" t="s">
        <v>2090</v>
      </c>
      <c r="BU23" s="43" t="s">
        <v>2090</v>
      </c>
      <c r="BV23" s="43" t="s">
        <v>2090</v>
      </c>
      <c r="BW23" s="43" t="s">
        <v>2090</v>
      </c>
    </row>
    <row r="24" spans="1:75" ht="174.2" customHeight="1" x14ac:dyDescent="0.25">
      <c r="A24" s="38" t="s">
        <v>537</v>
      </c>
      <c r="B24" s="38" t="s">
        <v>1600</v>
      </c>
      <c r="C24" s="39" t="s">
        <v>538</v>
      </c>
      <c r="D24" s="40" t="s">
        <v>539</v>
      </c>
      <c r="E24" s="41">
        <v>25364.085589999999</v>
      </c>
      <c r="F24" s="41">
        <v>2104427.2088100002</v>
      </c>
      <c r="G24" s="41">
        <v>170553.8</v>
      </c>
      <c r="H24" s="41">
        <v>231500.9</v>
      </c>
      <c r="I24" s="42">
        <v>0.69973880577084335</v>
      </c>
      <c r="J24" s="41">
        <v>2870.7500199999999</v>
      </c>
      <c r="K24" s="41">
        <v>424643.97061000002</v>
      </c>
      <c r="L24" s="41">
        <v>38768.699999999997</v>
      </c>
      <c r="M24" s="41">
        <v>148841.70000000001</v>
      </c>
      <c r="N24" s="42">
        <v>0.2457974302111019</v>
      </c>
      <c r="O24" s="41">
        <v>0</v>
      </c>
      <c r="P24" s="41">
        <v>13912.56149</v>
      </c>
      <c r="Q24" s="41">
        <v>38383.800000000003</v>
      </c>
      <c r="R24" s="41">
        <v>220233.2</v>
      </c>
      <c r="S24" s="42">
        <v>0.16663130064748491</v>
      </c>
      <c r="T24" s="41">
        <v>3693.2172099999998</v>
      </c>
      <c r="U24" s="41">
        <v>538446.85982999997</v>
      </c>
      <c r="V24" s="41">
        <v>81917.399999999994</v>
      </c>
      <c r="W24" s="41">
        <v>266442.09999999998</v>
      </c>
      <c r="X24" s="42">
        <v>0.29274117198208255</v>
      </c>
      <c r="Y24" s="43">
        <v>1</v>
      </c>
      <c r="Z24" s="43" t="s">
        <v>2090</v>
      </c>
      <c r="AA24" s="43" t="s">
        <v>2090</v>
      </c>
      <c r="AB24" s="43" t="s">
        <v>2090</v>
      </c>
      <c r="AC24" s="43" t="s">
        <v>2090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3">
        <v>0</v>
      </c>
      <c r="AJ24" s="43">
        <v>0</v>
      </c>
      <c r="AK24" s="43">
        <v>0</v>
      </c>
      <c r="AL24" s="43">
        <v>0</v>
      </c>
      <c r="AM24" s="43">
        <v>1</v>
      </c>
      <c r="AN24" s="43">
        <v>0</v>
      </c>
      <c r="AO24" s="43">
        <v>0</v>
      </c>
      <c r="AP24" s="43">
        <v>0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0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 t="s">
        <v>2090</v>
      </c>
      <c r="BK24" s="43" t="s">
        <v>2090</v>
      </c>
      <c r="BL24" s="43" t="s">
        <v>2090</v>
      </c>
      <c r="BM24" s="43" t="s">
        <v>2090</v>
      </c>
      <c r="BN24" s="43" t="s">
        <v>2090</v>
      </c>
      <c r="BO24" s="43" t="s">
        <v>2090</v>
      </c>
      <c r="BP24" s="43" t="s">
        <v>2090</v>
      </c>
      <c r="BQ24" s="43" t="s">
        <v>2090</v>
      </c>
      <c r="BR24" s="43" t="s">
        <v>2090</v>
      </c>
      <c r="BS24" s="43" t="s">
        <v>2090</v>
      </c>
      <c r="BT24" s="43" t="s">
        <v>2090</v>
      </c>
      <c r="BU24" s="43" t="s">
        <v>2090</v>
      </c>
      <c r="BV24" s="43" t="s">
        <v>2090</v>
      </c>
      <c r="BW24" s="43" t="s">
        <v>2090</v>
      </c>
    </row>
    <row r="25" spans="1:75" ht="129.94999999999999" customHeight="1" x14ac:dyDescent="0.25">
      <c r="A25" s="38" t="s">
        <v>540</v>
      </c>
      <c r="B25" s="38" t="s">
        <v>1601</v>
      </c>
      <c r="C25" s="39" t="s">
        <v>541</v>
      </c>
      <c r="D25" s="40" t="s">
        <v>542</v>
      </c>
      <c r="E25" s="41">
        <v>27128.73674</v>
      </c>
      <c r="F25" s="41">
        <v>2181171.7642299999</v>
      </c>
      <c r="G25" s="41">
        <v>307738.2</v>
      </c>
      <c r="H25" s="41">
        <v>359770</v>
      </c>
      <c r="I25" s="42">
        <v>0.81794608793969004</v>
      </c>
      <c r="J25" s="41">
        <v>3747.1048599999999</v>
      </c>
      <c r="K25" s="41">
        <v>522412.61220999999</v>
      </c>
      <c r="L25" s="41">
        <v>166309.70000000001</v>
      </c>
      <c r="M25" s="41">
        <v>435216.4</v>
      </c>
      <c r="N25" s="42">
        <v>0.34804874077290487</v>
      </c>
      <c r="O25" s="41">
        <v>11034.531269999999</v>
      </c>
      <c r="P25" s="41">
        <v>1574013.50957</v>
      </c>
      <c r="Q25" s="41">
        <v>180381.3</v>
      </c>
      <c r="R25" s="41">
        <v>269524.2</v>
      </c>
      <c r="S25" s="42">
        <v>0.63967911987164794</v>
      </c>
      <c r="T25" s="41">
        <v>4472.63429</v>
      </c>
      <c r="U25" s="41">
        <v>621747.42429999996</v>
      </c>
      <c r="V25" s="41">
        <v>113706.5</v>
      </c>
      <c r="W25" s="41">
        <v>300737.40000000002</v>
      </c>
      <c r="X25" s="42">
        <v>0.35868517407583628</v>
      </c>
      <c r="Y25" s="43">
        <v>1</v>
      </c>
      <c r="Z25" s="43" t="s">
        <v>2090</v>
      </c>
      <c r="AA25" s="43" t="s">
        <v>2090</v>
      </c>
      <c r="AB25" s="43" t="s">
        <v>2090</v>
      </c>
      <c r="AC25" s="43" t="s">
        <v>2090</v>
      </c>
      <c r="AD25" s="43">
        <v>0</v>
      </c>
      <c r="AE25" s="43">
        <v>0</v>
      </c>
      <c r="AF25" s="43">
        <v>0</v>
      </c>
      <c r="AG25" s="43">
        <v>0</v>
      </c>
      <c r="AH25" s="43">
        <v>0</v>
      </c>
      <c r="AI25" s="43">
        <v>0</v>
      </c>
      <c r="AJ25" s="43">
        <v>0</v>
      </c>
      <c r="AK25" s="43">
        <v>0</v>
      </c>
      <c r="AL25" s="43">
        <v>0</v>
      </c>
      <c r="AM25" s="43">
        <v>1</v>
      </c>
      <c r="AN25" s="43">
        <v>0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0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 t="s">
        <v>2090</v>
      </c>
      <c r="BK25" s="43" t="s">
        <v>2090</v>
      </c>
      <c r="BL25" s="43" t="s">
        <v>2090</v>
      </c>
      <c r="BM25" s="43" t="s">
        <v>2090</v>
      </c>
      <c r="BN25" s="43" t="s">
        <v>2090</v>
      </c>
      <c r="BO25" s="43" t="s">
        <v>2090</v>
      </c>
      <c r="BP25" s="43" t="s">
        <v>2090</v>
      </c>
      <c r="BQ25" s="43" t="s">
        <v>2090</v>
      </c>
      <c r="BR25" s="43" t="s">
        <v>2090</v>
      </c>
      <c r="BS25" s="43" t="s">
        <v>2090</v>
      </c>
      <c r="BT25" s="43" t="s">
        <v>2090</v>
      </c>
      <c r="BU25" s="43" t="s">
        <v>2090</v>
      </c>
      <c r="BV25" s="43" t="s">
        <v>2090</v>
      </c>
      <c r="BW25" s="43" t="s">
        <v>2090</v>
      </c>
    </row>
    <row r="26" spans="1:75" ht="124.7" customHeight="1" x14ac:dyDescent="0.25">
      <c r="A26" s="38" t="s">
        <v>543</v>
      </c>
      <c r="B26" s="38" t="s">
        <v>1602</v>
      </c>
      <c r="C26" s="39" t="s">
        <v>544</v>
      </c>
      <c r="D26" s="40" t="s">
        <v>545</v>
      </c>
      <c r="E26" s="41">
        <v>53440.64673</v>
      </c>
      <c r="F26" s="41">
        <v>2804319.4408499999</v>
      </c>
      <c r="G26" s="41">
        <v>267204.8</v>
      </c>
      <c r="H26" s="41">
        <v>229071.3</v>
      </c>
      <c r="I26" s="42">
        <v>1.1178610500377062</v>
      </c>
      <c r="J26" s="41">
        <v>66423.946179999999</v>
      </c>
      <c r="K26" s="41">
        <v>2624612.7142599998</v>
      </c>
      <c r="L26" s="41">
        <v>262009</v>
      </c>
      <c r="M26" s="41">
        <v>187757</v>
      </c>
      <c r="N26" s="42">
        <v>1.2924444333791849</v>
      </c>
      <c r="O26" s="41">
        <v>95021.280320000005</v>
      </c>
      <c r="P26" s="41">
        <v>3385736.31024</v>
      </c>
      <c r="Q26" s="41">
        <v>467248</v>
      </c>
      <c r="R26" s="41">
        <v>297654.40000000002</v>
      </c>
      <c r="S26" s="42">
        <v>1.5386260669269693</v>
      </c>
      <c r="T26" s="41">
        <v>69844.625960000005</v>
      </c>
      <c r="U26" s="41">
        <v>2857132.3401199998</v>
      </c>
      <c r="V26" s="41">
        <v>38614.400000000001</v>
      </c>
      <c r="W26" s="41">
        <v>27050.400000000001</v>
      </c>
      <c r="X26" s="42">
        <v>1.1325008671522721</v>
      </c>
      <c r="Y26" s="43">
        <v>1</v>
      </c>
      <c r="Z26" s="43" t="s">
        <v>2090</v>
      </c>
      <c r="AA26" s="43" t="s">
        <v>2090</v>
      </c>
      <c r="AB26" s="43" t="s">
        <v>2090</v>
      </c>
      <c r="AC26" s="43" t="s">
        <v>2090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3">
        <v>0</v>
      </c>
      <c r="AJ26" s="43">
        <v>0</v>
      </c>
      <c r="AK26" s="43">
        <v>0</v>
      </c>
      <c r="AL26" s="43">
        <v>0</v>
      </c>
      <c r="AM26" s="43">
        <v>0</v>
      </c>
      <c r="AN26" s="43">
        <v>1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0</v>
      </c>
      <c r="AW26" s="43">
        <v>0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 t="s">
        <v>2090</v>
      </c>
      <c r="BK26" s="43" t="s">
        <v>2090</v>
      </c>
      <c r="BL26" s="43" t="s">
        <v>2090</v>
      </c>
      <c r="BM26" s="43" t="s">
        <v>2090</v>
      </c>
      <c r="BN26" s="43" t="s">
        <v>2090</v>
      </c>
      <c r="BO26" s="43" t="s">
        <v>2090</v>
      </c>
      <c r="BP26" s="43" t="s">
        <v>2090</v>
      </c>
      <c r="BQ26" s="43" t="s">
        <v>2090</v>
      </c>
      <c r="BR26" s="43" t="s">
        <v>2090</v>
      </c>
      <c r="BS26" s="43" t="s">
        <v>2090</v>
      </c>
      <c r="BT26" s="43" t="s">
        <v>2090</v>
      </c>
      <c r="BU26" s="43" t="s">
        <v>2090</v>
      </c>
      <c r="BV26" s="43" t="s">
        <v>2090</v>
      </c>
      <c r="BW26" s="43" t="s">
        <v>2090</v>
      </c>
    </row>
    <row r="27" spans="1:75" ht="143.44999999999999" customHeight="1" x14ac:dyDescent="0.25">
      <c r="A27" s="38" t="s">
        <v>546</v>
      </c>
      <c r="B27" s="38" t="s">
        <v>1603</v>
      </c>
      <c r="C27" s="39" t="s">
        <v>547</v>
      </c>
      <c r="D27" s="40" t="s">
        <v>548</v>
      </c>
      <c r="E27" s="41">
        <v>50326.312319999997</v>
      </c>
      <c r="F27" s="41">
        <v>2793235.3547299998</v>
      </c>
      <c r="G27" s="41">
        <v>215623.6</v>
      </c>
      <c r="H27" s="41">
        <v>199792.3</v>
      </c>
      <c r="I27" s="42">
        <v>1.0430558048285379</v>
      </c>
      <c r="J27" s="41">
        <v>56740.387390000004</v>
      </c>
      <c r="K27" s="41">
        <v>2452410.31006</v>
      </c>
      <c r="L27" s="41">
        <v>268345</v>
      </c>
      <c r="M27" s="41">
        <v>242807.6</v>
      </c>
      <c r="N27" s="42">
        <v>1.0459159228873292</v>
      </c>
      <c r="O27" s="41">
        <v>101476.21996</v>
      </c>
      <c r="P27" s="41">
        <v>3319481.6137299999</v>
      </c>
      <c r="Q27" s="41">
        <v>102747.4</v>
      </c>
      <c r="R27" s="41">
        <v>63660.3</v>
      </c>
      <c r="S27" s="42">
        <v>1.5461831024178214</v>
      </c>
      <c r="T27" s="41">
        <v>68610.012180000005</v>
      </c>
      <c r="U27" s="41">
        <v>2850144.6384700001</v>
      </c>
      <c r="V27" s="41">
        <v>44672.9</v>
      </c>
      <c r="W27" s="41">
        <v>29443.8</v>
      </c>
      <c r="X27" s="42">
        <v>1.356998223067069</v>
      </c>
      <c r="Y27" s="43">
        <v>1</v>
      </c>
      <c r="Z27" s="43" t="s">
        <v>2090</v>
      </c>
      <c r="AA27" s="43" t="s">
        <v>2090</v>
      </c>
      <c r="AB27" s="43" t="s">
        <v>2090</v>
      </c>
      <c r="AC27" s="43" t="s">
        <v>2090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3">
        <v>0</v>
      </c>
      <c r="AJ27" s="43">
        <v>0</v>
      </c>
      <c r="AK27" s="43">
        <v>0</v>
      </c>
      <c r="AL27" s="43">
        <v>0</v>
      </c>
      <c r="AM27" s="43">
        <v>0</v>
      </c>
      <c r="AN27" s="43">
        <v>1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0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0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 t="s">
        <v>2090</v>
      </c>
      <c r="BK27" s="43" t="s">
        <v>2090</v>
      </c>
      <c r="BL27" s="43" t="s">
        <v>2090</v>
      </c>
      <c r="BM27" s="43" t="s">
        <v>2090</v>
      </c>
      <c r="BN27" s="43" t="s">
        <v>2090</v>
      </c>
      <c r="BO27" s="43" t="s">
        <v>2090</v>
      </c>
      <c r="BP27" s="43" t="s">
        <v>2090</v>
      </c>
      <c r="BQ27" s="43" t="s">
        <v>2090</v>
      </c>
      <c r="BR27" s="43" t="s">
        <v>2090</v>
      </c>
      <c r="BS27" s="43" t="s">
        <v>2090</v>
      </c>
      <c r="BT27" s="43" t="s">
        <v>2090</v>
      </c>
      <c r="BU27" s="43" t="s">
        <v>2090</v>
      </c>
      <c r="BV27" s="43" t="s">
        <v>2090</v>
      </c>
      <c r="BW27" s="43" t="s">
        <v>2090</v>
      </c>
    </row>
    <row r="28" spans="1:75" ht="126.95" customHeight="1" x14ac:dyDescent="0.25">
      <c r="A28" s="38" t="s">
        <v>549</v>
      </c>
      <c r="B28" s="38" t="s">
        <v>1604</v>
      </c>
      <c r="C28" s="39" t="s">
        <v>550</v>
      </c>
      <c r="D28" s="40" t="s">
        <v>551</v>
      </c>
      <c r="E28" s="41">
        <v>47155.779390000003</v>
      </c>
      <c r="F28" s="41">
        <v>2572453.69924</v>
      </c>
      <c r="G28" s="41">
        <v>310173.40000000002</v>
      </c>
      <c r="H28" s="41">
        <v>267285.8</v>
      </c>
      <c r="I28" s="42">
        <v>1.1129015717311337</v>
      </c>
      <c r="J28" s="41">
        <v>55144.955750000001</v>
      </c>
      <c r="K28" s="41">
        <v>2422516.3533200002</v>
      </c>
      <c r="L28" s="41">
        <v>233421.5</v>
      </c>
      <c r="M28" s="41">
        <v>180460.4</v>
      </c>
      <c r="N28" s="42">
        <v>1.2146812864923535</v>
      </c>
      <c r="O28" s="41">
        <v>93738.065839999996</v>
      </c>
      <c r="P28" s="41">
        <v>3335551.9060499999</v>
      </c>
      <c r="Q28" s="41">
        <v>217456.8</v>
      </c>
      <c r="R28" s="41">
        <v>148518.5</v>
      </c>
      <c r="S28" s="42">
        <v>1.4167747224708667</v>
      </c>
      <c r="T28" s="41">
        <v>65866.015400000004</v>
      </c>
      <c r="U28" s="41">
        <v>2840013.0919300001</v>
      </c>
      <c r="V28" s="41">
        <v>91592.7</v>
      </c>
      <c r="W28" s="41">
        <v>63702.5</v>
      </c>
      <c r="X28" s="42">
        <v>1.3073458404107106</v>
      </c>
      <c r="Y28" s="43">
        <v>1</v>
      </c>
      <c r="Z28" s="43" t="s">
        <v>2090</v>
      </c>
      <c r="AA28" s="43" t="s">
        <v>2090</v>
      </c>
      <c r="AB28" s="43" t="s">
        <v>2090</v>
      </c>
      <c r="AC28" s="43" t="s">
        <v>2090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3">
        <v>0</v>
      </c>
      <c r="AJ28" s="43">
        <v>0</v>
      </c>
      <c r="AK28" s="43">
        <v>0</v>
      </c>
      <c r="AL28" s="43">
        <v>0</v>
      </c>
      <c r="AM28" s="43">
        <v>0</v>
      </c>
      <c r="AN28" s="43">
        <v>1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0</v>
      </c>
      <c r="AW28" s="43">
        <v>0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0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 t="s">
        <v>2090</v>
      </c>
      <c r="BK28" s="43" t="s">
        <v>2090</v>
      </c>
      <c r="BL28" s="43" t="s">
        <v>2090</v>
      </c>
      <c r="BM28" s="43" t="s">
        <v>2090</v>
      </c>
      <c r="BN28" s="43" t="s">
        <v>2090</v>
      </c>
      <c r="BO28" s="43" t="s">
        <v>2090</v>
      </c>
      <c r="BP28" s="43" t="s">
        <v>2090</v>
      </c>
      <c r="BQ28" s="43" t="s">
        <v>2090</v>
      </c>
      <c r="BR28" s="43" t="s">
        <v>2090</v>
      </c>
      <c r="BS28" s="43" t="s">
        <v>2090</v>
      </c>
      <c r="BT28" s="43" t="s">
        <v>2090</v>
      </c>
      <c r="BU28" s="43" t="s">
        <v>2090</v>
      </c>
      <c r="BV28" s="43" t="s">
        <v>2090</v>
      </c>
      <c r="BW28" s="43" t="s">
        <v>2090</v>
      </c>
    </row>
    <row r="29" spans="1:75" ht="105.95" customHeight="1" x14ac:dyDescent="0.25">
      <c r="A29" s="38" t="s">
        <v>552</v>
      </c>
      <c r="B29" s="38" t="s">
        <v>1605</v>
      </c>
      <c r="C29" s="39" t="s">
        <v>553</v>
      </c>
      <c r="D29" s="40" t="s">
        <v>554</v>
      </c>
      <c r="E29" s="41">
        <v>48768.961170000002</v>
      </c>
      <c r="F29" s="41">
        <v>2678562.9281000001</v>
      </c>
      <c r="G29" s="41">
        <v>264623</v>
      </c>
      <c r="H29" s="41">
        <v>232374.1</v>
      </c>
      <c r="I29" s="42">
        <v>1.1056534320609388</v>
      </c>
      <c r="J29" s="41">
        <v>51844.394760000003</v>
      </c>
      <c r="K29" s="41">
        <v>2342008.4762400002</v>
      </c>
      <c r="L29" s="41">
        <v>161488.1</v>
      </c>
      <c r="M29" s="41">
        <v>139642.6</v>
      </c>
      <c r="N29" s="42">
        <v>1.088330826800032</v>
      </c>
      <c r="O29" s="41">
        <v>103729.03750999999</v>
      </c>
      <c r="P29" s="41">
        <v>3559003.07075</v>
      </c>
      <c r="Q29" s="41">
        <v>202842.2</v>
      </c>
      <c r="R29" s="41">
        <v>119466.5</v>
      </c>
      <c r="S29" s="42">
        <v>1.6835333312445822</v>
      </c>
      <c r="T29" s="41">
        <v>69590.654450000002</v>
      </c>
      <c r="U29" s="41">
        <v>2880335.8516799998</v>
      </c>
      <c r="V29" s="41">
        <v>17608.8</v>
      </c>
      <c r="W29" s="41">
        <v>12399.5</v>
      </c>
      <c r="X29" s="42">
        <v>1.3094831911690918</v>
      </c>
      <c r="Y29" s="43">
        <v>1</v>
      </c>
      <c r="Z29" s="43" t="s">
        <v>2090</v>
      </c>
      <c r="AA29" s="43" t="s">
        <v>2090</v>
      </c>
      <c r="AB29" s="43" t="s">
        <v>2090</v>
      </c>
      <c r="AC29" s="43" t="s">
        <v>2090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3">
        <v>0</v>
      </c>
      <c r="AJ29" s="43">
        <v>0</v>
      </c>
      <c r="AK29" s="43">
        <v>0</v>
      </c>
      <c r="AL29" s="43">
        <v>0</v>
      </c>
      <c r="AM29" s="43">
        <v>0</v>
      </c>
      <c r="AN29" s="43">
        <v>1</v>
      </c>
      <c r="AO29" s="43">
        <v>0</v>
      </c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 t="s">
        <v>2090</v>
      </c>
      <c r="BK29" s="43" t="s">
        <v>2090</v>
      </c>
      <c r="BL29" s="43" t="s">
        <v>2090</v>
      </c>
      <c r="BM29" s="43" t="s">
        <v>2090</v>
      </c>
      <c r="BN29" s="43" t="s">
        <v>2090</v>
      </c>
      <c r="BO29" s="43" t="s">
        <v>2090</v>
      </c>
      <c r="BP29" s="43" t="s">
        <v>2090</v>
      </c>
      <c r="BQ29" s="43" t="s">
        <v>2090</v>
      </c>
      <c r="BR29" s="43" t="s">
        <v>2090</v>
      </c>
      <c r="BS29" s="43" t="s">
        <v>2090</v>
      </c>
      <c r="BT29" s="43" t="s">
        <v>2090</v>
      </c>
      <c r="BU29" s="43" t="s">
        <v>2090</v>
      </c>
      <c r="BV29" s="43" t="s">
        <v>2090</v>
      </c>
      <c r="BW29" s="43" t="s">
        <v>2090</v>
      </c>
    </row>
    <row r="30" spans="1:75" ht="102.2" customHeight="1" x14ac:dyDescent="0.25">
      <c r="A30" s="38" t="s">
        <v>555</v>
      </c>
      <c r="B30" s="38" t="s">
        <v>1606</v>
      </c>
      <c r="C30" s="39" t="s">
        <v>556</v>
      </c>
      <c r="D30" s="40" t="s">
        <v>557</v>
      </c>
      <c r="E30" s="41">
        <v>19011.994610000002</v>
      </c>
      <c r="F30" s="41">
        <v>1786127.75538</v>
      </c>
      <c r="G30" s="41">
        <v>382594.7</v>
      </c>
      <c r="H30" s="41">
        <v>469884</v>
      </c>
      <c r="I30" s="42">
        <v>0.76565772659564002</v>
      </c>
      <c r="J30" s="41">
        <v>0</v>
      </c>
      <c r="K30" s="41">
        <v>81426.701270000005</v>
      </c>
      <c r="L30" s="41">
        <v>208026.3</v>
      </c>
      <c r="M30" s="41">
        <v>312235.2</v>
      </c>
      <c r="N30" s="42">
        <v>0.63385167089479788</v>
      </c>
      <c r="O30" s="41">
        <v>5394.9223199999997</v>
      </c>
      <c r="P30" s="41">
        <v>964998.28241999994</v>
      </c>
      <c r="Q30" s="41">
        <v>215873.5</v>
      </c>
      <c r="R30" s="41">
        <v>366380.6</v>
      </c>
      <c r="S30" s="42">
        <v>0.55047218552574784</v>
      </c>
      <c r="T30" s="41">
        <v>2418.31023</v>
      </c>
      <c r="U30" s="41">
        <v>350937.83861999999</v>
      </c>
      <c r="V30" s="41">
        <v>142522.20000000001</v>
      </c>
      <c r="W30" s="41">
        <v>344996.3</v>
      </c>
      <c r="X30" s="42">
        <v>0.38694062847956923</v>
      </c>
      <c r="Y30" s="43">
        <v>1</v>
      </c>
      <c r="Z30" s="43" t="s">
        <v>2090</v>
      </c>
      <c r="AA30" s="43" t="s">
        <v>2090</v>
      </c>
      <c r="AB30" s="43" t="s">
        <v>2090</v>
      </c>
      <c r="AC30" s="43" t="s">
        <v>2090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3">
        <v>0</v>
      </c>
      <c r="AJ30" s="43">
        <v>1</v>
      </c>
      <c r="AK30" s="43">
        <v>0</v>
      </c>
      <c r="AL30" s="43">
        <v>0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0</v>
      </c>
      <c r="AW30" s="43">
        <v>0</v>
      </c>
      <c r="AX30" s="43">
        <v>0</v>
      </c>
      <c r="AY30" s="43">
        <v>0</v>
      </c>
      <c r="AZ30" s="43">
        <v>0</v>
      </c>
      <c r="BA30" s="43">
        <v>0</v>
      </c>
      <c r="BB30" s="43">
        <v>0</v>
      </c>
      <c r="BC30" s="43">
        <v>0</v>
      </c>
      <c r="BD30" s="43">
        <v>0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 t="s">
        <v>2090</v>
      </c>
      <c r="BK30" s="43" t="s">
        <v>2090</v>
      </c>
      <c r="BL30" s="43" t="s">
        <v>2090</v>
      </c>
      <c r="BM30" s="43" t="s">
        <v>2090</v>
      </c>
      <c r="BN30" s="43" t="s">
        <v>2090</v>
      </c>
      <c r="BO30" s="43" t="s">
        <v>2090</v>
      </c>
      <c r="BP30" s="43" t="s">
        <v>2090</v>
      </c>
      <c r="BQ30" s="43" t="s">
        <v>2090</v>
      </c>
      <c r="BR30" s="43" t="s">
        <v>2090</v>
      </c>
      <c r="BS30" s="43" t="s">
        <v>2090</v>
      </c>
      <c r="BT30" s="43" t="s">
        <v>2090</v>
      </c>
      <c r="BU30" s="43" t="s">
        <v>2090</v>
      </c>
      <c r="BV30" s="43" t="s">
        <v>2090</v>
      </c>
      <c r="BW30" s="43" t="s">
        <v>2090</v>
      </c>
    </row>
    <row r="31" spans="1:75" ht="110.45" customHeight="1" x14ac:dyDescent="0.25">
      <c r="A31" s="38" t="s">
        <v>558</v>
      </c>
      <c r="B31" s="38" t="s">
        <v>1607</v>
      </c>
      <c r="C31" s="39" t="s">
        <v>559</v>
      </c>
      <c r="D31" s="40" t="s">
        <v>560</v>
      </c>
      <c r="E31" s="41">
        <v>45530.332549999999</v>
      </c>
      <c r="F31" s="41">
        <v>2647887.0562100001</v>
      </c>
      <c r="G31" s="41">
        <v>140719.9</v>
      </c>
      <c r="H31" s="41">
        <v>123010.8</v>
      </c>
      <c r="I31" s="42">
        <v>1.0942038968706946</v>
      </c>
      <c r="J31" s="41">
        <v>58419.390119999996</v>
      </c>
      <c r="K31" s="41">
        <v>2509802.6400700002</v>
      </c>
      <c r="L31" s="41">
        <v>226299.2</v>
      </c>
      <c r="M31" s="41">
        <v>159565.1</v>
      </c>
      <c r="N31" s="42">
        <v>1.2899675617096371</v>
      </c>
      <c r="O31" s="41">
        <v>79668.418359999996</v>
      </c>
      <c r="P31" s="41">
        <v>3237371.3768099998</v>
      </c>
      <c r="Q31" s="41">
        <v>516944.1</v>
      </c>
      <c r="R31" s="41">
        <v>351996</v>
      </c>
      <c r="S31" s="42">
        <v>1.4342069265581789</v>
      </c>
      <c r="T31" s="41">
        <v>70427.728560000003</v>
      </c>
      <c r="U31" s="41">
        <v>2881729.0802500001</v>
      </c>
      <c r="V31" s="41">
        <v>194288.1</v>
      </c>
      <c r="W31" s="41">
        <v>116006</v>
      </c>
      <c r="X31" s="42">
        <v>1.4656643881623137</v>
      </c>
      <c r="Y31" s="43">
        <v>1</v>
      </c>
      <c r="Z31" s="43" t="s">
        <v>2090</v>
      </c>
      <c r="AA31" s="43" t="s">
        <v>2090</v>
      </c>
      <c r="AB31" s="43" t="s">
        <v>2090</v>
      </c>
      <c r="AC31" s="43" t="s">
        <v>2090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3">
        <v>0</v>
      </c>
      <c r="AJ31" s="43">
        <v>0</v>
      </c>
      <c r="AK31" s="43">
        <v>0</v>
      </c>
      <c r="AL31" s="43">
        <v>0</v>
      </c>
      <c r="AM31" s="43">
        <v>0</v>
      </c>
      <c r="AN31" s="43">
        <v>0</v>
      </c>
      <c r="AO31" s="43">
        <v>0</v>
      </c>
      <c r="AP31" s="43">
        <v>0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0</v>
      </c>
      <c r="AW31" s="43">
        <v>0</v>
      </c>
      <c r="AX31" s="43">
        <v>0</v>
      </c>
      <c r="AY31" s="43">
        <v>0</v>
      </c>
      <c r="AZ31" s="43">
        <v>0</v>
      </c>
      <c r="BA31" s="43">
        <v>0</v>
      </c>
      <c r="BB31" s="43">
        <v>0</v>
      </c>
      <c r="BC31" s="43">
        <v>1</v>
      </c>
      <c r="BD31" s="43">
        <v>0</v>
      </c>
      <c r="BE31" s="43">
        <v>0</v>
      </c>
      <c r="BF31" s="43">
        <v>0</v>
      </c>
      <c r="BG31" s="43">
        <v>0</v>
      </c>
      <c r="BH31" s="43">
        <v>0</v>
      </c>
      <c r="BI31" s="43">
        <v>0</v>
      </c>
      <c r="BJ31" s="43" t="s">
        <v>2090</v>
      </c>
      <c r="BK31" s="43" t="s">
        <v>2090</v>
      </c>
      <c r="BL31" s="43" t="s">
        <v>2090</v>
      </c>
      <c r="BM31" s="43" t="s">
        <v>2090</v>
      </c>
      <c r="BN31" s="43" t="s">
        <v>2090</v>
      </c>
      <c r="BO31" s="43" t="s">
        <v>2090</v>
      </c>
      <c r="BP31" s="43" t="s">
        <v>2090</v>
      </c>
      <c r="BQ31" s="43" t="s">
        <v>2090</v>
      </c>
      <c r="BR31" s="43" t="s">
        <v>2090</v>
      </c>
      <c r="BS31" s="43" t="s">
        <v>2090</v>
      </c>
      <c r="BT31" s="43" t="s">
        <v>2090</v>
      </c>
      <c r="BU31" s="43" t="s">
        <v>2090</v>
      </c>
      <c r="BV31" s="43" t="s">
        <v>2090</v>
      </c>
      <c r="BW31" s="43" t="s">
        <v>2090</v>
      </c>
    </row>
    <row r="32" spans="1:75" ht="94.7" customHeight="1" x14ac:dyDescent="0.25">
      <c r="A32" s="38" t="s">
        <v>561</v>
      </c>
      <c r="B32" s="38" t="s">
        <v>1608</v>
      </c>
      <c r="C32" s="39" t="s">
        <v>562</v>
      </c>
      <c r="D32" s="40" t="s">
        <v>563</v>
      </c>
      <c r="E32" s="41">
        <v>49416.597029999997</v>
      </c>
      <c r="F32" s="41">
        <v>2793613.54416</v>
      </c>
      <c r="G32" s="41">
        <v>436393.6</v>
      </c>
      <c r="H32" s="41">
        <v>351390.8</v>
      </c>
      <c r="I32" s="42">
        <v>1.2068050848915417</v>
      </c>
      <c r="J32" s="41">
        <v>65186.961940000001</v>
      </c>
      <c r="K32" s="41">
        <v>2557942.3182799998</v>
      </c>
      <c r="L32" s="41">
        <v>399977.9</v>
      </c>
      <c r="M32" s="41">
        <v>272558</v>
      </c>
      <c r="N32" s="42">
        <v>1.3439535210607694</v>
      </c>
      <c r="O32" s="41">
        <v>85341.193249999997</v>
      </c>
      <c r="P32" s="41">
        <v>3359230.9121599998</v>
      </c>
      <c r="Q32" s="41">
        <v>206731.7</v>
      </c>
      <c r="R32" s="41">
        <v>116195.7</v>
      </c>
      <c r="S32" s="42">
        <v>1.7185972707077117</v>
      </c>
      <c r="T32" s="41">
        <v>70025.431559999997</v>
      </c>
      <c r="U32" s="41">
        <v>2896813.14928</v>
      </c>
      <c r="V32" s="41">
        <v>172173.2</v>
      </c>
      <c r="W32" s="41">
        <v>95473</v>
      </c>
      <c r="X32" s="42">
        <v>1.4624909606719698</v>
      </c>
      <c r="Y32" s="43">
        <v>1</v>
      </c>
      <c r="Z32" s="43" t="s">
        <v>2090</v>
      </c>
      <c r="AA32" s="43" t="s">
        <v>2090</v>
      </c>
      <c r="AB32" s="43" t="s">
        <v>2090</v>
      </c>
      <c r="AC32" s="43" t="s">
        <v>2090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3">
        <v>0</v>
      </c>
      <c r="AJ32" s="43">
        <v>0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0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1</v>
      </c>
      <c r="BC32" s="43">
        <v>0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 t="s">
        <v>2090</v>
      </c>
      <c r="BK32" s="43" t="s">
        <v>2090</v>
      </c>
      <c r="BL32" s="43" t="s">
        <v>2090</v>
      </c>
      <c r="BM32" s="43" t="s">
        <v>2090</v>
      </c>
      <c r="BN32" s="43" t="s">
        <v>2090</v>
      </c>
      <c r="BO32" s="43" t="s">
        <v>2090</v>
      </c>
      <c r="BP32" s="43" t="s">
        <v>2090</v>
      </c>
      <c r="BQ32" s="43" t="s">
        <v>2090</v>
      </c>
      <c r="BR32" s="43" t="s">
        <v>2090</v>
      </c>
      <c r="BS32" s="43" t="s">
        <v>2090</v>
      </c>
      <c r="BT32" s="43" t="s">
        <v>2090</v>
      </c>
      <c r="BU32" s="43" t="s">
        <v>2090</v>
      </c>
      <c r="BV32" s="43" t="s">
        <v>2090</v>
      </c>
      <c r="BW32" s="43" t="s">
        <v>2090</v>
      </c>
    </row>
    <row r="33" spans="1:75" ht="120.2" customHeight="1" x14ac:dyDescent="0.25">
      <c r="A33" s="38" t="s">
        <v>564</v>
      </c>
      <c r="B33" s="38" t="s">
        <v>1609</v>
      </c>
      <c r="C33" s="39" t="s">
        <v>565</v>
      </c>
      <c r="D33" s="40" t="s">
        <v>566</v>
      </c>
      <c r="E33" s="41">
        <v>54432.619729999999</v>
      </c>
      <c r="F33" s="41">
        <v>2828434.1671600002</v>
      </c>
      <c r="G33" s="41">
        <v>24232.2</v>
      </c>
      <c r="H33" s="41">
        <v>19630.400000000001</v>
      </c>
      <c r="I33" s="42">
        <v>1.180527123848516</v>
      </c>
      <c r="J33" s="41">
        <v>60953.734179999999</v>
      </c>
      <c r="K33" s="41">
        <v>2555659.9638999999</v>
      </c>
      <c r="L33" s="41">
        <v>275368.2</v>
      </c>
      <c r="M33" s="41">
        <v>197080.6</v>
      </c>
      <c r="N33" s="42">
        <v>1.2845954568351365</v>
      </c>
      <c r="O33" s="41">
        <v>96085.71961</v>
      </c>
      <c r="P33" s="41">
        <v>3403170.9843700002</v>
      </c>
      <c r="Q33" s="41">
        <v>132752.70000000001</v>
      </c>
      <c r="R33" s="41">
        <v>75712.5</v>
      </c>
      <c r="S33" s="42">
        <v>1.7188886370260033</v>
      </c>
      <c r="T33" s="41">
        <v>73547.727939999997</v>
      </c>
      <c r="U33" s="41">
        <v>2920213.5180700002</v>
      </c>
      <c r="V33" s="41">
        <v>27358</v>
      </c>
      <c r="W33" s="41">
        <v>14809.4</v>
      </c>
      <c r="X33" s="42">
        <v>1.4258523321480863</v>
      </c>
      <c r="Y33" s="43">
        <v>1</v>
      </c>
      <c r="Z33" s="43" t="s">
        <v>2090</v>
      </c>
      <c r="AA33" s="43" t="s">
        <v>2090</v>
      </c>
      <c r="AB33" s="43" t="s">
        <v>2090</v>
      </c>
      <c r="AC33" s="43" t="s">
        <v>2090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3">
        <v>0</v>
      </c>
      <c r="AJ33" s="43">
        <v>0</v>
      </c>
      <c r="AK33" s="43">
        <v>0</v>
      </c>
      <c r="AL33" s="43">
        <v>0</v>
      </c>
      <c r="AM33" s="43">
        <v>0</v>
      </c>
      <c r="AN33" s="43">
        <v>0</v>
      </c>
      <c r="AO33" s="43">
        <v>0</v>
      </c>
      <c r="AP33" s="43">
        <v>0</v>
      </c>
      <c r="AQ33" s="43">
        <v>0</v>
      </c>
      <c r="AR33" s="43">
        <v>0</v>
      </c>
      <c r="AS33" s="43">
        <v>0</v>
      </c>
      <c r="AT33" s="43">
        <v>0</v>
      </c>
      <c r="AU33" s="43">
        <v>0</v>
      </c>
      <c r="AV33" s="43">
        <v>0</v>
      </c>
      <c r="AW33" s="43">
        <v>0</v>
      </c>
      <c r="AX33" s="43">
        <v>0</v>
      </c>
      <c r="AY33" s="43">
        <v>0</v>
      </c>
      <c r="AZ33" s="43">
        <v>0</v>
      </c>
      <c r="BA33" s="43">
        <v>0</v>
      </c>
      <c r="BB33" s="43">
        <v>1</v>
      </c>
      <c r="BC33" s="43">
        <v>0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 t="s">
        <v>2090</v>
      </c>
      <c r="BK33" s="43" t="s">
        <v>2090</v>
      </c>
      <c r="BL33" s="43" t="s">
        <v>2090</v>
      </c>
      <c r="BM33" s="43" t="s">
        <v>2090</v>
      </c>
      <c r="BN33" s="43" t="s">
        <v>2090</v>
      </c>
      <c r="BO33" s="43" t="s">
        <v>2090</v>
      </c>
      <c r="BP33" s="43" t="s">
        <v>2090</v>
      </c>
      <c r="BQ33" s="43" t="s">
        <v>2090</v>
      </c>
      <c r="BR33" s="43" t="s">
        <v>2090</v>
      </c>
      <c r="BS33" s="43" t="s">
        <v>2090</v>
      </c>
      <c r="BT33" s="43" t="s">
        <v>2090</v>
      </c>
      <c r="BU33" s="43" t="s">
        <v>2090</v>
      </c>
      <c r="BV33" s="43" t="s">
        <v>2090</v>
      </c>
      <c r="BW33" s="43" t="s">
        <v>2090</v>
      </c>
    </row>
    <row r="34" spans="1:75" ht="111.2" customHeight="1" x14ac:dyDescent="0.25">
      <c r="A34" s="38" t="s">
        <v>567</v>
      </c>
      <c r="B34" s="38" t="s">
        <v>1610</v>
      </c>
      <c r="C34" s="39" t="s">
        <v>568</v>
      </c>
      <c r="D34" s="40" t="s">
        <v>569</v>
      </c>
      <c r="E34" s="41">
        <v>43235.397499999999</v>
      </c>
      <c r="F34" s="41">
        <v>2555373.5893199998</v>
      </c>
      <c r="G34" s="41">
        <v>450046.5</v>
      </c>
      <c r="H34" s="41">
        <v>402258.5</v>
      </c>
      <c r="I34" s="42">
        <v>1.1000220238714296</v>
      </c>
      <c r="J34" s="41">
        <v>60497.248169999999</v>
      </c>
      <c r="K34" s="41">
        <v>2521606.06079</v>
      </c>
      <c r="L34" s="41">
        <v>50270.5</v>
      </c>
      <c r="M34" s="41">
        <v>34301.5</v>
      </c>
      <c r="N34" s="42">
        <v>1.2666399090240148</v>
      </c>
      <c r="O34" s="41">
        <v>80659.720979999998</v>
      </c>
      <c r="P34" s="41">
        <v>3067628.7212999999</v>
      </c>
      <c r="Q34" s="41">
        <v>172201.7</v>
      </c>
      <c r="R34" s="41">
        <v>111375.7</v>
      </c>
      <c r="S34" s="42">
        <v>1.4423545657108785</v>
      </c>
      <c r="T34" s="41">
        <v>65780.127120000005</v>
      </c>
      <c r="U34" s="41">
        <v>2856042.51749</v>
      </c>
      <c r="V34" s="41">
        <v>25933.4</v>
      </c>
      <c r="W34" s="41">
        <v>19380</v>
      </c>
      <c r="X34" s="42">
        <v>1.1733844403186202</v>
      </c>
      <c r="Y34" s="43">
        <v>1</v>
      </c>
      <c r="Z34" s="43" t="s">
        <v>2090</v>
      </c>
      <c r="AA34" s="43" t="s">
        <v>2090</v>
      </c>
      <c r="AB34" s="43" t="s">
        <v>2090</v>
      </c>
      <c r="AC34" s="43" t="s">
        <v>2090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3">
        <v>0</v>
      </c>
      <c r="AJ34" s="43">
        <v>0</v>
      </c>
      <c r="AK34" s="43">
        <v>0</v>
      </c>
      <c r="AL34" s="43">
        <v>0</v>
      </c>
      <c r="AM34" s="43">
        <v>0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0</v>
      </c>
      <c r="AW34" s="43">
        <v>0</v>
      </c>
      <c r="AX34" s="43">
        <v>0</v>
      </c>
      <c r="AY34" s="43">
        <v>1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0</v>
      </c>
      <c r="BH34" s="43">
        <v>0</v>
      </c>
      <c r="BI34" s="43">
        <v>0</v>
      </c>
      <c r="BJ34" s="43" t="s">
        <v>2090</v>
      </c>
      <c r="BK34" s="43" t="s">
        <v>2090</v>
      </c>
      <c r="BL34" s="43" t="s">
        <v>2090</v>
      </c>
      <c r="BM34" s="43" t="s">
        <v>2090</v>
      </c>
      <c r="BN34" s="43" t="s">
        <v>2090</v>
      </c>
      <c r="BO34" s="43" t="s">
        <v>2090</v>
      </c>
      <c r="BP34" s="43" t="s">
        <v>2090</v>
      </c>
      <c r="BQ34" s="43" t="s">
        <v>2090</v>
      </c>
      <c r="BR34" s="43" t="s">
        <v>2090</v>
      </c>
      <c r="BS34" s="43" t="s">
        <v>2090</v>
      </c>
      <c r="BT34" s="43" t="s">
        <v>2090</v>
      </c>
      <c r="BU34" s="43" t="s">
        <v>2090</v>
      </c>
      <c r="BV34" s="43" t="s">
        <v>2090</v>
      </c>
      <c r="BW34" s="43" t="s">
        <v>2090</v>
      </c>
    </row>
    <row r="35" spans="1:75" ht="111.2" customHeight="1" x14ac:dyDescent="0.25">
      <c r="A35" s="38" t="s">
        <v>570</v>
      </c>
      <c r="B35" s="38" t="s">
        <v>1611</v>
      </c>
      <c r="C35" s="39" t="s">
        <v>571</v>
      </c>
      <c r="D35" s="40" t="s">
        <v>572</v>
      </c>
      <c r="E35" s="41">
        <v>23907.796549999999</v>
      </c>
      <c r="F35" s="41">
        <v>1995907.5242399999</v>
      </c>
      <c r="G35" s="41">
        <v>190828.2</v>
      </c>
      <c r="H35" s="41">
        <v>221163.4</v>
      </c>
      <c r="I35" s="42">
        <v>0.82988721804511267</v>
      </c>
      <c r="J35" s="41">
        <v>34494.39316</v>
      </c>
      <c r="K35" s="41">
        <v>1921777.5131099999</v>
      </c>
      <c r="L35" s="41">
        <v>99071.1</v>
      </c>
      <c r="M35" s="41">
        <v>94791.7</v>
      </c>
      <c r="N35" s="42">
        <v>0.96184646184646183</v>
      </c>
      <c r="O35" s="41">
        <v>28546.712530000001</v>
      </c>
      <c r="P35" s="41">
        <v>2229081.53572</v>
      </c>
      <c r="Q35" s="41">
        <v>325356.3</v>
      </c>
      <c r="R35" s="41">
        <v>298355.59999999998</v>
      </c>
      <c r="S35" s="42">
        <v>1.0663134286047791</v>
      </c>
      <c r="T35" s="41">
        <v>46518.163560000001</v>
      </c>
      <c r="U35" s="41">
        <v>2381707.8702799999</v>
      </c>
      <c r="V35" s="41">
        <v>159276.20000000001</v>
      </c>
      <c r="W35" s="41">
        <v>137622.79999999999</v>
      </c>
      <c r="X35" s="42">
        <v>1.0773791171521947</v>
      </c>
      <c r="Y35" s="43">
        <v>1</v>
      </c>
      <c r="Z35" s="43" t="s">
        <v>2090</v>
      </c>
      <c r="AA35" s="43" t="s">
        <v>2090</v>
      </c>
      <c r="AB35" s="43" t="s">
        <v>2090</v>
      </c>
      <c r="AC35" s="43" t="s">
        <v>2090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3">
        <v>0</v>
      </c>
      <c r="AJ35" s="43">
        <v>0</v>
      </c>
      <c r="AK35" s="43">
        <v>0</v>
      </c>
      <c r="AL35" s="43">
        <v>0</v>
      </c>
      <c r="AM35" s="43">
        <v>0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0</v>
      </c>
      <c r="AW35" s="43">
        <v>0</v>
      </c>
      <c r="AX35" s="43">
        <v>1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 t="s">
        <v>2090</v>
      </c>
      <c r="BK35" s="43" t="s">
        <v>2090</v>
      </c>
      <c r="BL35" s="43" t="s">
        <v>2090</v>
      </c>
      <c r="BM35" s="43" t="s">
        <v>2090</v>
      </c>
      <c r="BN35" s="43" t="s">
        <v>2090</v>
      </c>
      <c r="BO35" s="43" t="s">
        <v>2090</v>
      </c>
      <c r="BP35" s="43" t="s">
        <v>2090</v>
      </c>
      <c r="BQ35" s="43" t="s">
        <v>2090</v>
      </c>
      <c r="BR35" s="43" t="s">
        <v>2090</v>
      </c>
      <c r="BS35" s="43" t="s">
        <v>2090</v>
      </c>
      <c r="BT35" s="43" t="s">
        <v>2090</v>
      </c>
      <c r="BU35" s="43" t="s">
        <v>2090</v>
      </c>
      <c r="BV35" s="43" t="s">
        <v>2090</v>
      </c>
      <c r="BW35" s="43" t="s">
        <v>2090</v>
      </c>
    </row>
    <row r="36" spans="1:75" ht="102.95" customHeight="1" x14ac:dyDescent="0.25">
      <c r="A36" s="38" t="s">
        <v>573</v>
      </c>
      <c r="B36" s="38" t="s">
        <v>1612</v>
      </c>
      <c r="C36" s="39" t="s">
        <v>574</v>
      </c>
      <c r="D36" s="40" t="s">
        <v>575</v>
      </c>
      <c r="E36" s="41">
        <v>50427.339039999999</v>
      </c>
      <c r="F36" s="41">
        <v>2784547.5334200002</v>
      </c>
      <c r="G36" s="41">
        <v>308208.3</v>
      </c>
      <c r="H36" s="41">
        <v>260715.1</v>
      </c>
      <c r="I36" s="42">
        <v>1.1515629140920312</v>
      </c>
      <c r="J36" s="41">
        <v>57671.367160000002</v>
      </c>
      <c r="K36" s="41">
        <v>2430490.9023500001</v>
      </c>
      <c r="L36" s="41">
        <v>160164</v>
      </c>
      <c r="M36" s="41">
        <v>116729</v>
      </c>
      <c r="N36" s="42">
        <v>1.2507566019211109</v>
      </c>
      <c r="O36" s="41">
        <v>89536.397949999999</v>
      </c>
      <c r="P36" s="41">
        <v>3202509.6511499998</v>
      </c>
      <c r="Q36" s="41">
        <v>154495.79999999999</v>
      </c>
      <c r="R36" s="41">
        <v>85902.6</v>
      </c>
      <c r="S36" s="42">
        <v>1.7308854791826347</v>
      </c>
      <c r="T36" s="41">
        <v>67925.693480000002</v>
      </c>
      <c r="U36" s="41">
        <v>2886032.6011199998</v>
      </c>
      <c r="V36" s="41">
        <v>83905.600000000006</v>
      </c>
      <c r="W36" s="41">
        <v>48387</v>
      </c>
      <c r="X36" s="42">
        <v>1.4145898004434589</v>
      </c>
      <c r="Y36" s="43">
        <v>1</v>
      </c>
      <c r="Z36" s="43" t="s">
        <v>2090</v>
      </c>
      <c r="AA36" s="43" t="s">
        <v>2090</v>
      </c>
      <c r="AB36" s="43" t="s">
        <v>2090</v>
      </c>
      <c r="AC36" s="43" t="s">
        <v>2090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3">
        <v>0</v>
      </c>
      <c r="AJ36" s="43">
        <v>0</v>
      </c>
      <c r="AK36" s="43">
        <v>0</v>
      </c>
      <c r="AL36" s="43">
        <v>0</v>
      </c>
      <c r="AM36" s="43">
        <v>0</v>
      </c>
      <c r="AN36" s="43">
        <v>0</v>
      </c>
      <c r="AO36" s="43">
        <v>0</v>
      </c>
      <c r="AP36" s="43">
        <v>0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0</v>
      </c>
      <c r="AW36" s="43">
        <v>0</v>
      </c>
      <c r="AX36" s="43">
        <v>1</v>
      </c>
      <c r="AY36" s="43">
        <v>0</v>
      </c>
      <c r="AZ36" s="43">
        <v>0</v>
      </c>
      <c r="BA36" s="43">
        <v>0</v>
      </c>
      <c r="BB36" s="43">
        <v>0</v>
      </c>
      <c r="BC36" s="43">
        <v>0</v>
      </c>
      <c r="BD36" s="43">
        <v>0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 t="s">
        <v>2090</v>
      </c>
      <c r="BK36" s="43" t="s">
        <v>2090</v>
      </c>
      <c r="BL36" s="43" t="s">
        <v>2090</v>
      </c>
      <c r="BM36" s="43" t="s">
        <v>2090</v>
      </c>
      <c r="BN36" s="43" t="s">
        <v>2090</v>
      </c>
      <c r="BO36" s="43" t="s">
        <v>2090</v>
      </c>
      <c r="BP36" s="43" t="s">
        <v>2090</v>
      </c>
      <c r="BQ36" s="43" t="s">
        <v>2090</v>
      </c>
      <c r="BR36" s="43" t="s">
        <v>2090</v>
      </c>
      <c r="BS36" s="43" t="s">
        <v>2090</v>
      </c>
      <c r="BT36" s="43" t="s">
        <v>2090</v>
      </c>
      <c r="BU36" s="43" t="s">
        <v>2090</v>
      </c>
      <c r="BV36" s="43" t="s">
        <v>2090</v>
      </c>
      <c r="BW36" s="43" t="s">
        <v>2090</v>
      </c>
    </row>
    <row r="37" spans="1:75" ht="193.7" customHeight="1" x14ac:dyDescent="0.25">
      <c r="A37" s="38" t="s">
        <v>576</v>
      </c>
      <c r="B37" s="38" t="s">
        <v>1613</v>
      </c>
      <c r="C37" s="39" t="s">
        <v>577</v>
      </c>
      <c r="D37" s="40" t="s">
        <v>578</v>
      </c>
      <c r="E37" s="41">
        <v>54374.627540000001</v>
      </c>
      <c r="F37" s="41">
        <v>2848577.4131</v>
      </c>
      <c r="G37" s="41">
        <v>225299</v>
      </c>
      <c r="H37" s="41">
        <v>200329.4</v>
      </c>
      <c r="I37" s="42">
        <v>1.0985180801542318</v>
      </c>
      <c r="J37" s="41">
        <v>58476.318760000002</v>
      </c>
      <c r="K37" s="41">
        <v>2463310.21184</v>
      </c>
      <c r="L37" s="41">
        <v>79138.100000000006</v>
      </c>
      <c r="M37" s="41">
        <v>58102.5</v>
      </c>
      <c r="N37" s="42">
        <v>1.2537861499522842</v>
      </c>
      <c r="O37" s="41">
        <v>94483.822799999994</v>
      </c>
      <c r="P37" s="41">
        <v>3421235.6816500002</v>
      </c>
      <c r="Q37" s="41">
        <v>195733.7</v>
      </c>
      <c r="R37" s="41">
        <v>121784.7</v>
      </c>
      <c r="S37" s="42">
        <v>1.5278550978209002</v>
      </c>
      <c r="T37" s="41">
        <v>74387.882540000006</v>
      </c>
      <c r="U37" s="41">
        <v>2960625.77825</v>
      </c>
      <c r="V37" s="41">
        <v>102098.3</v>
      </c>
      <c r="W37" s="41">
        <v>65981.5</v>
      </c>
      <c r="X37" s="42">
        <v>1.2517188512541688</v>
      </c>
      <c r="Y37" s="43">
        <v>1</v>
      </c>
      <c r="Z37" s="43" t="s">
        <v>2090</v>
      </c>
      <c r="AA37" s="43" t="s">
        <v>2090</v>
      </c>
      <c r="AB37" s="43" t="s">
        <v>2090</v>
      </c>
      <c r="AC37" s="43" t="s">
        <v>2090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3">
        <v>0</v>
      </c>
      <c r="AJ37" s="43">
        <v>0</v>
      </c>
      <c r="AK37" s="43">
        <v>0</v>
      </c>
      <c r="AL37" s="43">
        <v>0</v>
      </c>
      <c r="AM37" s="43">
        <v>0</v>
      </c>
      <c r="AN37" s="43">
        <v>0</v>
      </c>
      <c r="AO37" s="43">
        <v>0</v>
      </c>
      <c r="AP37" s="43">
        <v>0</v>
      </c>
      <c r="AQ37" s="43">
        <v>0</v>
      </c>
      <c r="AR37" s="43">
        <v>0</v>
      </c>
      <c r="AS37" s="43">
        <v>0</v>
      </c>
      <c r="AT37" s="43">
        <v>0</v>
      </c>
      <c r="AU37" s="43">
        <v>0</v>
      </c>
      <c r="AV37" s="43">
        <v>0</v>
      </c>
      <c r="AW37" s="43">
        <v>0</v>
      </c>
      <c r="AX37" s="43">
        <v>1</v>
      </c>
      <c r="AY37" s="43">
        <v>0</v>
      </c>
      <c r="AZ37" s="43">
        <v>0</v>
      </c>
      <c r="BA37" s="43">
        <v>0</v>
      </c>
      <c r="BB37" s="43">
        <v>0</v>
      </c>
      <c r="BC37" s="43">
        <v>0</v>
      </c>
      <c r="BD37" s="43">
        <v>0</v>
      </c>
      <c r="BE37" s="43">
        <v>0</v>
      </c>
      <c r="BF37" s="43">
        <v>0</v>
      </c>
      <c r="BG37" s="43">
        <v>0</v>
      </c>
      <c r="BH37" s="43">
        <v>0</v>
      </c>
      <c r="BI37" s="43">
        <v>0</v>
      </c>
      <c r="BJ37" s="43" t="s">
        <v>2090</v>
      </c>
      <c r="BK37" s="43" t="s">
        <v>2090</v>
      </c>
      <c r="BL37" s="43" t="s">
        <v>2090</v>
      </c>
      <c r="BM37" s="43" t="s">
        <v>2090</v>
      </c>
      <c r="BN37" s="43" t="s">
        <v>2090</v>
      </c>
      <c r="BO37" s="43" t="s">
        <v>2090</v>
      </c>
      <c r="BP37" s="43" t="s">
        <v>2090</v>
      </c>
      <c r="BQ37" s="43" t="s">
        <v>2090</v>
      </c>
      <c r="BR37" s="43" t="s">
        <v>2090</v>
      </c>
      <c r="BS37" s="43" t="s">
        <v>2090</v>
      </c>
      <c r="BT37" s="43" t="s">
        <v>2090</v>
      </c>
      <c r="BU37" s="43" t="s">
        <v>2090</v>
      </c>
      <c r="BV37" s="43" t="s">
        <v>2090</v>
      </c>
      <c r="BW37" s="43" t="s">
        <v>2090</v>
      </c>
    </row>
    <row r="38" spans="1:75" ht="168.2" customHeight="1" x14ac:dyDescent="0.25">
      <c r="A38" s="38" t="s">
        <v>579</v>
      </c>
      <c r="B38" s="38" t="s">
        <v>1614</v>
      </c>
      <c r="C38" s="39" t="s">
        <v>580</v>
      </c>
      <c r="D38" s="40" t="s">
        <v>581</v>
      </c>
      <c r="E38" s="41">
        <v>52134.93103</v>
      </c>
      <c r="F38" s="41">
        <v>2706615.10041</v>
      </c>
      <c r="G38" s="41">
        <v>150257.79999999999</v>
      </c>
      <c r="H38" s="41">
        <v>128587.3</v>
      </c>
      <c r="I38" s="42">
        <v>1.1356008256304406</v>
      </c>
      <c r="J38" s="41">
        <v>2112.5199600000001</v>
      </c>
      <c r="K38" s="41">
        <v>45825.989549999998</v>
      </c>
      <c r="L38" s="41">
        <v>33286</v>
      </c>
      <c r="M38" s="41">
        <v>191596.6</v>
      </c>
      <c r="N38" s="42">
        <v>0.16355609601353496</v>
      </c>
      <c r="O38" s="41">
        <v>6080.2079599999997</v>
      </c>
      <c r="P38" s="41">
        <v>840680.05602000002</v>
      </c>
      <c r="Q38" s="41">
        <v>174580.7</v>
      </c>
      <c r="R38" s="41">
        <v>359837.2</v>
      </c>
      <c r="S38" s="42">
        <v>0.45139475908706678</v>
      </c>
      <c r="T38" s="41">
        <v>6554.2008599999999</v>
      </c>
      <c r="U38" s="41">
        <v>795880.06064000004</v>
      </c>
      <c r="V38" s="41">
        <v>89994.6</v>
      </c>
      <c r="W38" s="41">
        <v>219202.9</v>
      </c>
      <c r="X38" s="42">
        <v>0.38400789733464952</v>
      </c>
      <c r="Y38" s="43">
        <v>2</v>
      </c>
      <c r="Z38" s="43" t="s">
        <v>2090</v>
      </c>
      <c r="AA38" s="43" t="s">
        <v>2090</v>
      </c>
      <c r="AB38" s="43" t="s">
        <v>2090</v>
      </c>
      <c r="AC38" s="43" t="s">
        <v>2090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3">
        <v>0</v>
      </c>
      <c r="AJ38" s="43">
        <v>0</v>
      </c>
      <c r="AK38" s="43">
        <v>0</v>
      </c>
      <c r="AL38" s="43">
        <v>0</v>
      </c>
      <c r="AM38" s="43">
        <v>0</v>
      </c>
      <c r="AN38" s="43">
        <v>0</v>
      </c>
      <c r="AO38" s="43">
        <v>0</v>
      </c>
      <c r="AP38" s="43">
        <v>0</v>
      </c>
      <c r="AQ38" s="43">
        <v>0</v>
      </c>
      <c r="AR38" s="43">
        <v>1</v>
      </c>
      <c r="AS38" s="43">
        <v>0</v>
      </c>
      <c r="AT38" s="43">
        <v>0</v>
      </c>
      <c r="AU38" s="43">
        <v>0</v>
      </c>
      <c r="AV38" s="43">
        <v>0</v>
      </c>
      <c r="AW38" s="43">
        <v>1</v>
      </c>
      <c r="AX38" s="43">
        <v>0</v>
      </c>
      <c r="AY38" s="43">
        <v>0</v>
      </c>
      <c r="AZ38" s="43">
        <v>0</v>
      </c>
      <c r="BA38" s="43">
        <v>0</v>
      </c>
      <c r="BB38" s="43">
        <v>0</v>
      </c>
      <c r="BC38" s="43">
        <v>0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 t="s">
        <v>2090</v>
      </c>
      <c r="BK38" s="43" t="s">
        <v>2090</v>
      </c>
      <c r="BL38" s="43" t="s">
        <v>2090</v>
      </c>
      <c r="BM38" s="43" t="s">
        <v>2090</v>
      </c>
      <c r="BN38" s="43" t="s">
        <v>2090</v>
      </c>
      <c r="BO38" s="43" t="s">
        <v>2090</v>
      </c>
      <c r="BP38" s="43" t="s">
        <v>2090</v>
      </c>
      <c r="BQ38" s="43" t="s">
        <v>2090</v>
      </c>
      <c r="BR38" s="43" t="s">
        <v>2090</v>
      </c>
      <c r="BS38" s="43" t="s">
        <v>2090</v>
      </c>
      <c r="BT38" s="43" t="s">
        <v>2090</v>
      </c>
      <c r="BU38" s="43" t="s">
        <v>2090</v>
      </c>
      <c r="BV38" s="43" t="s">
        <v>2090</v>
      </c>
      <c r="BW38" s="43" t="s">
        <v>2090</v>
      </c>
    </row>
    <row r="39" spans="1:75" ht="108.95" customHeight="1" x14ac:dyDescent="0.25">
      <c r="A39" s="38" t="s">
        <v>582</v>
      </c>
      <c r="B39" s="38" t="s">
        <v>1615</v>
      </c>
      <c r="C39" s="39" t="s">
        <v>583</v>
      </c>
      <c r="D39" s="40" t="s">
        <v>584</v>
      </c>
      <c r="E39" s="41">
        <v>49616.133800000003</v>
      </c>
      <c r="F39" s="41">
        <v>2697589.9303600001</v>
      </c>
      <c r="G39" s="41">
        <v>278817.09999999998</v>
      </c>
      <c r="H39" s="41">
        <v>277848.2</v>
      </c>
      <c r="I39" s="42">
        <v>0.96920103549771275</v>
      </c>
      <c r="J39" s="41">
        <v>10908.357470000001</v>
      </c>
      <c r="K39" s="41">
        <v>1076716.7456</v>
      </c>
      <c r="L39" s="41">
        <v>164502.5</v>
      </c>
      <c r="M39" s="41">
        <v>328986.59999999998</v>
      </c>
      <c r="N39" s="42">
        <v>0.46374336098292268</v>
      </c>
      <c r="O39" s="41">
        <v>43383.307130000001</v>
      </c>
      <c r="P39" s="41">
        <v>2661412.1303699999</v>
      </c>
      <c r="Q39" s="41">
        <v>370652</v>
      </c>
      <c r="R39" s="41">
        <v>292956</v>
      </c>
      <c r="S39" s="42">
        <v>1.1857066476563891</v>
      </c>
      <c r="T39" s="41">
        <v>56731.207950000004</v>
      </c>
      <c r="U39" s="41">
        <v>2594673.1635199999</v>
      </c>
      <c r="V39" s="41">
        <v>78935.899999999994</v>
      </c>
      <c r="W39" s="41">
        <v>54500.1</v>
      </c>
      <c r="X39" s="42">
        <v>1.0911044422214813</v>
      </c>
      <c r="Y39" s="43">
        <v>1</v>
      </c>
      <c r="Z39" s="43" t="s">
        <v>2090</v>
      </c>
      <c r="AA39" s="43" t="s">
        <v>2090</v>
      </c>
      <c r="AB39" s="43" t="s">
        <v>2090</v>
      </c>
      <c r="AC39" s="43" t="s">
        <v>2090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3">
        <v>0</v>
      </c>
      <c r="AJ39" s="43">
        <v>0</v>
      </c>
      <c r="AK39" s="43">
        <v>1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0</v>
      </c>
      <c r="AU39" s="43">
        <v>0</v>
      </c>
      <c r="AV39" s="43">
        <v>0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43">
        <v>0</v>
      </c>
      <c r="BC39" s="43">
        <v>0</v>
      </c>
      <c r="BD39" s="43">
        <v>0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 t="s">
        <v>2090</v>
      </c>
      <c r="BK39" s="43" t="s">
        <v>2091</v>
      </c>
      <c r="BL39" s="43" t="s">
        <v>2090</v>
      </c>
      <c r="BM39" s="43" t="s">
        <v>2090</v>
      </c>
      <c r="BN39" s="43" t="s">
        <v>2090</v>
      </c>
      <c r="BO39" s="43" t="s">
        <v>2090</v>
      </c>
      <c r="BP39" s="43" t="s">
        <v>2090</v>
      </c>
      <c r="BQ39" s="43" t="s">
        <v>2090</v>
      </c>
      <c r="BR39" s="43" t="s">
        <v>2090</v>
      </c>
      <c r="BS39" s="43" t="s">
        <v>2090</v>
      </c>
      <c r="BT39" s="43" t="s">
        <v>2090</v>
      </c>
      <c r="BU39" s="43" t="s">
        <v>2090</v>
      </c>
      <c r="BV39" s="43" t="s">
        <v>2090</v>
      </c>
      <c r="BW39" s="43" t="s">
        <v>2090</v>
      </c>
    </row>
    <row r="40" spans="1:75" ht="114.2" customHeight="1" x14ac:dyDescent="0.25">
      <c r="A40" s="38" t="s">
        <v>585</v>
      </c>
      <c r="B40" s="38" t="s">
        <v>1616</v>
      </c>
      <c r="C40" s="39" t="s">
        <v>586</v>
      </c>
      <c r="D40" s="40" t="s">
        <v>587</v>
      </c>
      <c r="E40" s="41">
        <v>52751.550810000001</v>
      </c>
      <c r="F40" s="41">
        <v>2738706.61686</v>
      </c>
      <c r="G40" s="41">
        <v>133817.79999999999</v>
      </c>
      <c r="H40" s="41">
        <v>106582.7</v>
      </c>
      <c r="I40" s="42">
        <v>1.1550378856215047</v>
      </c>
      <c r="J40" s="41">
        <v>0</v>
      </c>
      <c r="K40" s="41">
        <v>6167.7539399999996</v>
      </c>
      <c r="L40" s="41">
        <v>33025.599999999999</v>
      </c>
      <c r="M40" s="41">
        <v>239913.1</v>
      </c>
      <c r="N40" s="42">
        <v>0.12812068253539366</v>
      </c>
      <c r="O40" s="41">
        <v>6302.99892</v>
      </c>
      <c r="P40" s="41">
        <v>1168840.30544</v>
      </c>
      <c r="Q40" s="41">
        <v>66977.8</v>
      </c>
      <c r="R40" s="41">
        <v>117696.7</v>
      </c>
      <c r="S40" s="42">
        <v>0.54813701277783744</v>
      </c>
      <c r="T40" s="41">
        <v>25836.306850000001</v>
      </c>
      <c r="U40" s="41">
        <v>1863878.1871199999</v>
      </c>
      <c r="V40" s="41">
        <v>224990.2</v>
      </c>
      <c r="W40" s="41">
        <v>266994.7</v>
      </c>
      <c r="X40" s="42">
        <v>0.76574674820724564</v>
      </c>
      <c r="Y40" s="43">
        <v>1</v>
      </c>
      <c r="Z40" s="43" t="s">
        <v>2090</v>
      </c>
      <c r="AA40" s="43" t="s">
        <v>2090</v>
      </c>
      <c r="AB40" s="43" t="s">
        <v>2090</v>
      </c>
      <c r="AC40" s="43" t="s">
        <v>2090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3">
        <v>0</v>
      </c>
      <c r="AJ40" s="43">
        <v>0</v>
      </c>
      <c r="AK40" s="43">
        <v>1</v>
      </c>
      <c r="AL40" s="43">
        <v>0</v>
      </c>
      <c r="AM40" s="43">
        <v>0</v>
      </c>
      <c r="AN40" s="43">
        <v>0</v>
      </c>
      <c r="AO40" s="43">
        <v>0</v>
      </c>
      <c r="AP40" s="43">
        <v>0</v>
      </c>
      <c r="AQ40" s="43">
        <v>0</v>
      </c>
      <c r="AR40" s="43">
        <v>0</v>
      </c>
      <c r="AS40" s="43">
        <v>0</v>
      </c>
      <c r="AT40" s="43">
        <v>0</v>
      </c>
      <c r="AU40" s="43">
        <v>0</v>
      </c>
      <c r="AV40" s="43">
        <v>0</v>
      </c>
      <c r="AW40" s="43">
        <v>0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 t="s">
        <v>2090</v>
      </c>
      <c r="BK40" s="43" t="s">
        <v>2091</v>
      </c>
      <c r="BL40" s="43" t="s">
        <v>2090</v>
      </c>
      <c r="BM40" s="43" t="s">
        <v>2090</v>
      </c>
      <c r="BN40" s="43" t="s">
        <v>2090</v>
      </c>
      <c r="BO40" s="43" t="s">
        <v>2090</v>
      </c>
      <c r="BP40" s="43" t="s">
        <v>2090</v>
      </c>
      <c r="BQ40" s="43" t="s">
        <v>2090</v>
      </c>
      <c r="BR40" s="43" t="s">
        <v>2090</v>
      </c>
      <c r="BS40" s="43" t="s">
        <v>2090</v>
      </c>
      <c r="BT40" s="43" t="s">
        <v>2090</v>
      </c>
      <c r="BU40" s="43" t="s">
        <v>2090</v>
      </c>
      <c r="BV40" s="43" t="s">
        <v>2090</v>
      </c>
      <c r="BW40" s="43" t="s">
        <v>2090</v>
      </c>
    </row>
    <row r="41" spans="1:75" ht="121.7" customHeight="1" x14ac:dyDescent="0.25">
      <c r="A41" s="38" t="s">
        <v>588</v>
      </c>
      <c r="B41" s="38" t="s">
        <v>1617</v>
      </c>
      <c r="C41" s="39" t="s">
        <v>589</v>
      </c>
      <c r="D41" s="40" t="s">
        <v>590</v>
      </c>
      <c r="E41" s="41">
        <v>48739.285660000001</v>
      </c>
      <c r="F41" s="41">
        <v>2625262.2081499998</v>
      </c>
      <c r="G41" s="41">
        <v>281078.7</v>
      </c>
      <c r="H41" s="41">
        <v>237327.1</v>
      </c>
      <c r="I41" s="42">
        <v>1.1365935743889646</v>
      </c>
      <c r="J41" s="41">
        <v>72125.504220000003</v>
      </c>
      <c r="K41" s="41">
        <v>2711656.1925499998</v>
      </c>
      <c r="L41" s="41">
        <v>340561.5</v>
      </c>
      <c r="M41" s="41">
        <v>234095.3</v>
      </c>
      <c r="N41" s="42">
        <v>1.3177698407171212</v>
      </c>
      <c r="O41" s="41">
        <v>20420.010920000001</v>
      </c>
      <c r="P41" s="41">
        <v>2104429.77807</v>
      </c>
      <c r="Q41" s="41">
        <v>96160.5</v>
      </c>
      <c r="R41" s="41">
        <v>100629</v>
      </c>
      <c r="S41" s="42">
        <v>0.92708829054477149</v>
      </c>
      <c r="T41" s="41">
        <v>52853.505319999997</v>
      </c>
      <c r="U41" s="41">
        <v>2626054.9538699999</v>
      </c>
      <c r="V41" s="41">
        <v>283557.09999999998</v>
      </c>
      <c r="W41" s="41">
        <v>258942.4</v>
      </c>
      <c r="X41" s="42">
        <v>1.0103403200360606</v>
      </c>
      <c r="Y41" s="43">
        <v>1</v>
      </c>
      <c r="Z41" s="43" t="s">
        <v>2090</v>
      </c>
      <c r="AA41" s="43" t="s">
        <v>2090</v>
      </c>
      <c r="AB41" s="43" t="s">
        <v>2090</v>
      </c>
      <c r="AC41" s="43" t="s">
        <v>2090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3">
        <v>0</v>
      </c>
      <c r="AJ41" s="43">
        <v>0</v>
      </c>
      <c r="AK41" s="43">
        <v>1</v>
      </c>
      <c r="AL41" s="43">
        <v>0</v>
      </c>
      <c r="AM41" s="43">
        <v>0</v>
      </c>
      <c r="AN41" s="43">
        <v>0</v>
      </c>
      <c r="AO41" s="43">
        <v>0</v>
      </c>
      <c r="AP41" s="43">
        <v>0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0</v>
      </c>
      <c r="AW41" s="43">
        <v>0</v>
      </c>
      <c r="AX41" s="43">
        <v>0</v>
      </c>
      <c r="AY41" s="43">
        <v>0</v>
      </c>
      <c r="AZ41" s="43">
        <v>0</v>
      </c>
      <c r="BA41" s="43">
        <v>0</v>
      </c>
      <c r="BB41" s="43">
        <v>0</v>
      </c>
      <c r="BC41" s="43">
        <v>0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0</v>
      </c>
      <c r="BJ41" s="43" t="s">
        <v>2090</v>
      </c>
      <c r="BK41" s="43" t="s">
        <v>2091</v>
      </c>
      <c r="BL41" s="43" t="s">
        <v>2090</v>
      </c>
      <c r="BM41" s="43" t="s">
        <v>2090</v>
      </c>
      <c r="BN41" s="43" t="s">
        <v>2090</v>
      </c>
      <c r="BO41" s="43" t="s">
        <v>2090</v>
      </c>
      <c r="BP41" s="43" t="s">
        <v>2090</v>
      </c>
      <c r="BQ41" s="43" t="s">
        <v>2090</v>
      </c>
      <c r="BR41" s="43" t="s">
        <v>2090</v>
      </c>
      <c r="BS41" s="43" t="s">
        <v>2090</v>
      </c>
      <c r="BT41" s="43" t="s">
        <v>2090</v>
      </c>
      <c r="BU41" s="43" t="s">
        <v>2090</v>
      </c>
      <c r="BV41" s="43" t="s">
        <v>2090</v>
      </c>
      <c r="BW41" s="43" t="s">
        <v>2090</v>
      </c>
    </row>
    <row r="42" spans="1:75" ht="122.45" customHeight="1" x14ac:dyDescent="0.25">
      <c r="A42" s="38" t="s">
        <v>591</v>
      </c>
      <c r="B42" s="38" t="s">
        <v>1618</v>
      </c>
      <c r="C42" s="39" t="s">
        <v>592</v>
      </c>
      <c r="D42" s="40" t="s">
        <v>593</v>
      </c>
      <c r="E42" s="41">
        <v>52718.833960000004</v>
      </c>
      <c r="F42" s="41">
        <v>2672687.5555699999</v>
      </c>
      <c r="G42" s="41">
        <v>41939.1</v>
      </c>
      <c r="H42" s="41">
        <v>42423.8</v>
      </c>
      <c r="I42" s="42">
        <v>0.94293757946358303</v>
      </c>
      <c r="J42" s="41">
        <v>46373.251320000003</v>
      </c>
      <c r="K42" s="41">
        <v>2283084.1844799998</v>
      </c>
      <c r="L42" s="41">
        <v>153487.6</v>
      </c>
      <c r="M42" s="41">
        <v>136219.6</v>
      </c>
      <c r="N42" s="42">
        <v>1.0457007417811526</v>
      </c>
      <c r="O42" s="41">
        <v>17914.927970000001</v>
      </c>
      <c r="P42" s="41">
        <v>1997437.2117099999</v>
      </c>
      <c r="Q42" s="41">
        <v>40787.199999999997</v>
      </c>
      <c r="R42" s="41">
        <v>37231.199999999997</v>
      </c>
      <c r="S42" s="42">
        <v>1.0495760633452456</v>
      </c>
      <c r="T42" s="41">
        <v>50998.438920000001</v>
      </c>
      <c r="U42" s="41">
        <v>2515690.7936200001</v>
      </c>
      <c r="V42" s="41">
        <v>253003.1</v>
      </c>
      <c r="W42" s="41">
        <v>204814.4</v>
      </c>
      <c r="X42" s="42">
        <v>1.1399732767247215</v>
      </c>
      <c r="Y42" s="43">
        <v>1</v>
      </c>
      <c r="Z42" s="43" t="s">
        <v>2090</v>
      </c>
      <c r="AA42" s="43" t="s">
        <v>2090</v>
      </c>
      <c r="AB42" s="43" t="s">
        <v>2090</v>
      </c>
      <c r="AC42" s="43" t="s">
        <v>2090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3">
        <v>0</v>
      </c>
      <c r="AJ42" s="43">
        <v>0</v>
      </c>
      <c r="AK42" s="43">
        <v>1</v>
      </c>
      <c r="AL42" s="43">
        <v>0</v>
      </c>
      <c r="AM42" s="43">
        <v>0</v>
      </c>
      <c r="AN42" s="43">
        <v>0</v>
      </c>
      <c r="AO42" s="43">
        <v>0</v>
      </c>
      <c r="AP42" s="43">
        <v>0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0</v>
      </c>
      <c r="AW42" s="43">
        <v>0</v>
      </c>
      <c r="AX42" s="43">
        <v>0</v>
      </c>
      <c r="AY42" s="43">
        <v>0</v>
      </c>
      <c r="AZ42" s="43">
        <v>0</v>
      </c>
      <c r="BA42" s="43">
        <v>0</v>
      </c>
      <c r="BB42" s="43">
        <v>0</v>
      </c>
      <c r="BC42" s="43">
        <v>0</v>
      </c>
      <c r="BD42" s="43">
        <v>0</v>
      </c>
      <c r="BE42" s="43">
        <v>0</v>
      </c>
      <c r="BF42" s="43">
        <v>0</v>
      </c>
      <c r="BG42" s="43">
        <v>0</v>
      </c>
      <c r="BH42" s="43">
        <v>0</v>
      </c>
      <c r="BI42" s="43">
        <v>0</v>
      </c>
      <c r="BJ42" s="43" t="s">
        <v>2090</v>
      </c>
      <c r="BK42" s="43" t="s">
        <v>2091</v>
      </c>
      <c r="BL42" s="43" t="s">
        <v>2090</v>
      </c>
      <c r="BM42" s="43" t="s">
        <v>2090</v>
      </c>
      <c r="BN42" s="43" t="s">
        <v>2090</v>
      </c>
      <c r="BO42" s="43" t="s">
        <v>2090</v>
      </c>
      <c r="BP42" s="43" t="s">
        <v>2090</v>
      </c>
      <c r="BQ42" s="43" t="s">
        <v>2090</v>
      </c>
      <c r="BR42" s="43" t="s">
        <v>2090</v>
      </c>
      <c r="BS42" s="43" t="s">
        <v>2090</v>
      </c>
      <c r="BT42" s="43" t="s">
        <v>2090</v>
      </c>
      <c r="BU42" s="43" t="s">
        <v>2090</v>
      </c>
      <c r="BV42" s="43" t="s">
        <v>2090</v>
      </c>
      <c r="BW42" s="43" t="s">
        <v>2090</v>
      </c>
    </row>
    <row r="43" spans="1:75" ht="121.7" customHeight="1" x14ac:dyDescent="0.25">
      <c r="A43" s="38" t="s">
        <v>594</v>
      </c>
      <c r="B43" s="38" t="s">
        <v>1619</v>
      </c>
      <c r="C43" s="39" t="s">
        <v>595</v>
      </c>
      <c r="D43" s="40" t="s">
        <v>596</v>
      </c>
      <c r="E43" s="41">
        <v>47151.257140000002</v>
      </c>
      <c r="F43" s="41">
        <v>2600230.9330000002</v>
      </c>
      <c r="G43" s="41">
        <v>225761.6</v>
      </c>
      <c r="H43" s="41">
        <v>190010.4</v>
      </c>
      <c r="I43" s="42">
        <v>1.1580687612006428</v>
      </c>
      <c r="J43" s="41">
        <v>39698.155749999998</v>
      </c>
      <c r="K43" s="41">
        <v>2090782.4402600001</v>
      </c>
      <c r="L43" s="41">
        <v>170719.1</v>
      </c>
      <c r="M43" s="41">
        <v>159071.5</v>
      </c>
      <c r="N43" s="42">
        <v>1.0154337246145502</v>
      </c>
      <c r="O43" s="41">
        <v>99076.495899999994</v>
      </c>
      <c r="P43" s="41">
        <v>3413704.8295999998</v>
      </c>
      <c r="Q43" s="41">
        <v>144309.29999999999</v>
      </c>
      <c r="R43" s="41">
        <v>88999.5</v>
      </c>
      <c r="S43" s="42">
        <v>1.5798547835990888</v>
      </c>
      <c r="T43" s="41">
        <v>71929.814169999998</v>
      </c>
      <c r="U43" s="41">
        <v>2935016.5226199999</v>
      </c>
      <c r="V43" s="41">
        <v>98299</v>
      </c>
      <c r="W43" s="41">
        <v>67054.600000000006</v>
      </c>
      <c r="X43" s="42">
        <v>1.3325976199672609</v>
      </c>
      <c r="Y43" s="43">
        <v>1</v>
      </c>
      <c r="Z43" s="43" t="s">
        <v>2090</v>
      </c>
      <c r="AA43" s="43" t="s">
        <v>2090</v>
      </c>
      <c r="AB43" s="43" t="s">
        <v>2090</v>
      </c>
      <c r="AC43" s="43" t="s">
        <v>2090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3">
        <v>0</v>
      </c>
      <c r="AJ43" s="43">
        <v>0</v>
      </c>
      <c r="AK43" s="43">
        <v>1</v>
      </c>
      <c r="AL43" s="43">
        <v>0</v>
      </c>
      <c r="AM43" s="43">
        <v>0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0</v>
      </c>
      <c r="AW43" s="43">
        <v>0</v>
      </c>
      <c r="AX43" s="43">
        <v>0</v>
      </c>
      <c r="AY43" s="43">
        <v>0</v>
      </c>
      <c r="AZ43" s="43">
        <v>0</v>
      </c>
      <c r="BA43" s="43">
        <v>0</v>
      </c>
      <c r="BB43" s="43">
        <v>0</v>
      </c>
      <c r="BC43" s="43">
        <v>0</v>
      </c>
      <c r="BD43" s="43">
        <v>0</v>
      </c>
      <c r="BE43" s="43">
        <v>0</v>
      </c>
      <c r="BF43" s="43">
        <v>0</v>
      </c>
      <c r="BG43" s="43">
        <v>0</v>
      </c>
      <c r="BH43" s="43">
        <v>0</v>
      </c>
      <c r="BI43" s="43">
        <v>0</v>
      </c>
      <c r="BJ43" s="43" t="s">
        <v>2090</v>
      </c>
      <c r="BK43" s="43" t="s">
        <v>2091</v>
      </c>
      <c r="BL43" s="43" t="s">
        <v>2090</v>
      </c>
      <c r="BM43" s="43" t="s">
        <v>2090</v>
      </c>
      <c r="BN43" s="43" t="s">
        <v>2090</v>
      </c>
      <c r="BO43" s="43" t="s">
        <v>2090</v>
      </c>
      <c r="BP43" s="43" t="s">
        <v>2090</v>
      </c>
      <c r="BQ43" s="43" t="s">
        <v>2090</v>
      </c>
      <c r="BR43" s="43" t="s">
        <v>2090</v>
      </c>
      <c r="BS43" s="43" t="s">
        <v>2090</v>
      </c>
      <c r="BT43" s="43" t="s">
        <v>2090</v>
      </c>
      <c r="BU43" s="43" t="s">
        <v>2090</v>
      </c>
      <c r="BV43" s="43" t="s">
        <v>2090</v>
      </c>
      <c r="BW43" s="43" t="s">
        <v>2090</v>
      </c>
    </row>
    <row r="44" spans="1:75" ht="111.95" customHeight="1" x14ac:dyDescent="0.25">
      <c r="A44" s="38" t="s">
        <v>597</v>
      </c>
      <c r="B44" s="38" t="s">
        <v>1620</v>
      </c>
      <c r="C44" s="39" t="s">
        <v>598</v>
      </c>
      <c r="D44" s="40" t="s">
        <v>599</v>
      </c>
      <c r="E44" s="41">
        <v>51178.796739999998</v>
      </c>
      <c r="F44" s="41">
        <v>2709811.0662799999</v>
      </c>
      <c r="G44" s="41">
        <v>57663.1</v>
      </c>
      <c r="H44" s="41">
        <v>46321</v>
      </c>
      <c r="I44" s="42">
        <v>1.1871660761486982</v>
      </c>
      <c r="J44" s="41">
        <v>46963.191529999996</v>
      </c>
      <c r="K44" s="41">
        <v>2237950.1153500001</v>
      </c>
      <c r="L44" s="41">
        <v>185708.6</v>
      </c>
      <c r="M44" s="41">
        <v>158019.29999999999</v>
      </c>
      <c r="N44" s="42">
        <v>1.1057214126710977</v>
      </c>
      <c r="O44" s="41">
        <v>7879.3268200000002</v>
      </c>
      <c r="P44" s="41">
        <v>1343736.9002</v>
      </c>
      <c r="Q44" s="41">
        <v>185215.2</v>
      </c>
      <c r="R44" s="41">
        <v>277548.59999999998</v>
      </c>
      <c r="S44" s="42">
        <v>0.62635156489959798</v>
      </c>
      <c r="T44" s="41">
        <v>66351.971049999993</v>
      </c>
      <c r="U44" s="41">
        <v>2857529.8561900002</v>
      </c>
      <c r="V44" s="41">
        <v>91630</v>
      </c>
      <c r="W44" s="41">
        <v>74658.100000000006</v>
      </c>
      <c r="X44" s="42">
        <v>1.1380447030727057</v>
      </c>
      <c r="Y44" s="43">
        <v>1</v>
      </c>
      <c r="Z44" s="43" t="s">
        <v>2090</v>
      </c>
      <c r="AA44" s="43" t="s">
        <v>2090</v>
      </c>
      <c r="AB44" s="43" t="s">
        <v>2090</v>
      </c>
      <c r="AC44" s="43" t="s">
        <v>2090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3">
        <v>1</v>
      </c>
      <c r="AJ44" s="43">
        <v>0</v>
      </c>
      <c r="AK44" s="43">
        <v>0</v>
      </c>
      <c r="AL44" s="43">
        <v>0</v>
      </c>
      <c r="AM44" s="43">
        <v>0</v>
      </c>
      <c r="AN44" s="43">
        <v>0</v>
      </c>
      <c r="AO44" s="43">
        <v>0</v>
      </c>
      <c r="AP44" s="43">
        <v>0</v>
      </c>
      <c r="AQ44" s="43">
        <v>0</v>
      </c>
      <c r="AR44" s="43">
        <v>0</v>
      </c>
      <c r="AS44" s="43">
        <v>0</v>
      </c>
      <c r="AT44" s="43">
        <v>0</v>
      </c>
      <c r="AU44" s="43">
        <v>0</v>
      </c>
      <c r="AV44" s="43">
        <v>0</v>
      </c>
      <c r="AW44" s="43">
        <v>0</v>
      </c>
      <c r="AX44" s="43">
        <v>0</v>
      </c>
      <c r="AY44" s="43">
        <v>0</v>
      </c>
      <c r="AZ44" s="43">
        <v>0</v>
      </c>
      <c r="BA44" s="43">
        <v>0</v>
      </c>
      <c r="BB44" s="43">
        <v>0</v>
      </c>
      <c r="BC44" s="43">
        <v>0</v>
      </c>
      <c r="BD44" s="43">
        <v>0</v>
      </c>
      <c r="BE44" s="43">
        <v>0</v>
      </c>
      <c r="BF44" s="43">
        <v>0</v>
      </c>
      <c r="BG44" s="43">
        <v>0</v>
      </c>
      <c r="BH44" s="43">
        <v>0</v>
      </c>
      <c r="BI44" s="43">
        <v>0</v>
      </c>
      <c r="BJ44" s="43" t="s">
        <v>2090</v>
      </c>
      <c r="BK44" s="43" t="s">
        <v>2090</v>
      </c>
      <c r="BL44" s="43" t="s">
        <v>2090</v>
      </c>
      <c r="BM44" s="43" t="s">
        <v>2090</v>
      </c>
      <c r="BN44" s="43" t="s">
        <v>2090</v>
      </c>
      <c r="BO44" s="43" t="s">
        <v>2090</v>
      </c>
      <c r="BP44" s="43" t="s">
        <v>2090</v>
      </c>
      <c r="BQ44" s="43" t="s">
        <v>2090</v>
      </c>
      <c r="BR44" s="43" t="s">
        <v>2090</v>
      </c>
      <c r="BS44" s="43" t="s">
        <v>2090</v>
      </c>
      <c r="BT44" s="43" t="s">
        <v>2090</v>
      </c>
      <c r="BU44" s="43" t="s">
        <v>2091</v>
      </c>
      <c r="BV44" s="43" t="s">
        <v>2090</v>
      </c>
      <c r="BW44" s="43" t="s">
        <v>2090</v>
      </c>
    </row>
    <row r="45" spans="1:75" ht="119.45" customHeight="1" x14ac:dyDescent="0.25">
      <c r="A45" s="38" t="s">
        <v>600</v>
      </c>
      <c r="B45" s="38" t="s">
        <v>1621</v>
      </c>
      <c r="C45" s="39" t="s">
        <v>601</v>
      </c>
      <c r="D45" s="40" t="s">
        <v>602</v>
      </c>
      <c r="E45" s="41">
        <v>48428.524720000001</v>
      </c>
      <c r="F45" s="41">
        <v>2623963.5854799999</v>
      </c>
      <c r="G45" s="41">
        <v>386844.6</v>
      </c>
      <c r="H45" s="41">
        <v>342761.7</v>
      </c>
      <c r="I45" s="42">
        <v>1.1089662070443667</v>
      </c>
      <c r="J45" s="41">
        <v>54589.281159999999</v>
      </c>
      <c r="K45" s="41">
        <v>2453872.07993</v>
      </c>
      <c r="L45" s="41">
        <v>143589.6</v>
      </c>
      <c r="M45" s="41">
        <v>112514.2</v>
      </c>
      <c r="N45" s="42">
        <v>1.1943811693242219</v>
      </c>
      <c r="O45" s="41">
        <v>5697.6874200000002</v>
      </c>
      <c r="P45" s="41">
        <v>1069567.1788699999</v>
      </c>
      <c r="Q45" s="41">
        <v>109153.1</v>
      </c>
      <c r="R45" s="41">
        <v>236830.9</v>
      </c>
      <c r="S45" s="42">
        <v>0.43631158081911947</v>
      </c>
      <c r="T45" s="41">
        <v>63630.813240000003</v>
      </c>
      <c r="U45" s="41">
        <v>2763085.6327</v>
      </c>
      <c r="V45" s="41">
        <v>83135.399999999994</v>
      </c>
      <c r="W45" s="41">
        <v>64515.4</v>
      </c>
      <c r="X45" s="42">
        <v>1.2089892947103273</v>
      </c>
      <c r="Y45" s="43">
        <v>1</v>
      </c>
      <c r="Z45" s="43" t="s">
        <v>2090</v>
      </c>
      <c r="AA45" s="43" t="s">
        <v>2090</v>
      </c>
      <c r="AB45" s="43" t="s">
        <v>2090</v>
      </c>
      <c r="AC45" s="43" t="s">
        <v>2090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3">
        <v>1</v>
      </c>
      <c r="AJ45" s="43">
        <v>0</v>
      </c>
      <c r="AK45" s="43">
        <v>0</v>
      </c>
      <c r="AL45" s="43">
        <v>0</v>
      </c>
      <c r="AM45" s="43">
        <v>0</v>
      </c>
      <c r="AN45" s="43">
        <v>0</v>
      </c>
      <c r="AO45" s="43">
        <v>0</v>
      </c>
      <c r="AP45" s="43">
        <v>0</v>
      </c>
      <c r="AQ45" s="43">
        <v>0</v>
      </c>
      <c r="AR45" s="43">
        <v>0</v>
      </c>
      <c r="AS45" s="43">
        <v>0</v>
      </c>
      <c r="AT45" s="43">
        <v>0</v>
      </c>
      <c r="AU45" s="43">
        <v>0</v>
      </c>
      <c r="AV45" s="43">
        <v>0</v>
      </c>
      <c r="AW45" s="43">
        <v>0</v>
      </c>
      <c r="AX45" s="43">
        <v>0</v>
      </c>
      <c r="AY45" s="43">
        <v>0</v>
      </c>
      <c r="AZ45" s="43">
        <v>0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0</v>
      </c>
      <c r="BJ45" s="43" t="s">
        <v>2090</v>
      </c>
      <c r="BK45" s="43" t="s">
        <v>2090</v>
      </c>
      <c r="BL45" s="43" t="s">
        <v>2090</v>
      </c>
      <c r="BM45" s="43" t="s">
        <v>2090</v>
      </c>
      <c r="BN45" s="43" t="s">
        <v>2090</v>
      </c>
      <c r="BO45" s="43" t="s">
        <v>2090</v>
      </c>
      <c r="BP45" s="43" t="s">
        <v>2090</v>
      </c>
      <c r="BQ45" s="43" t="s">
        <v>2090</v>
      </c>
      <c r="BR45" s="43" t="s">
        <v>2090</v>
      </c>
      <c r="BS45" s="43" t="s">
        <v>2090</v>
      </c>
      <c r="BT45" s="43" t="s">
        <v>2090</v>
      </c>
      <c r="BU45" s="43" t="s">
        <v>2091</v>
      </c>
      <c r="BV45" s="43" t="s">
        <v>2090</v>
      </c>
      <c r="BW45" s="43" t="s">
        <v>2090</v>
      </c>
    </row>
    <row r="46" spans="1:75" ht="146.44999999999999" customHeight="1" x14ac:dyDescent="0.25">
      <c r="A46" s="38" t="s">
        <v>603</v>
      </c>
      <c r="B46" s="38" t="s">
        <v>1622</v>
      </c>
      <c r="C46" s="39" t="s">
        <v>604</v>
      </c>
      <c r="D46" s="40" t="s">
        <v>605</v>
      </c>
      <c r="E46" s="41">
        <v>2145.7337299999999</v>
      </c>
      <c r="F46" s="41">
        <v>468832.92945</v>
      </c>
      <c r="G46" s="41">
        <v>316801.90000000002</v>
      </c>
      <c r="H46" s="41">
        <v>389857.8</v>
      </c>
      <c r="I46" s="42">
        <v>0.77243452785352196</v>
      </c>
      <c r="J46" s="41">
        <v>6733.0951699999996</v>
      </c>
      <c r="K46" s="41">
        <v>762699.20666999999</v>
      </c>
      <c r="L46" s="41">
        <v>130761.8</v>
      </c>
      <c r="M46" s="41">
        <v>294502.59999999998</v>
      </c>
      <c r="N46" s="42">
        <v>0.41828770515601243</v>
      </c>
      <c r="O46" s="41">
        <v>0</v>
      </c>
      <c r="P46" s="41">
        <v>399661.32126</v>
      </c>
      <c r="Q46" s="41">
        <v>61812.1</v>
      </c>
      <c r="R46" s="41">
        <v>188512.9</v>
      </c>
      <c r="S46" s="42">
        <v>0.29922023583111446</v>
      </c>
      <c r="T46" s="41">
        <v>15006.547790000001</v>
      </c>
      <c r="U46" s="41">
        <v>1386197.3892699999</v>
      </c>
      <c r="V46" s="41">
        <v>17770.5</v>
      </c>
      <c r="W46" s="41">
        <v>38490.199999999997</v>
      </c>
      <c r="X46" s="42">
        <v>0.44499683026926029</v>
      </c>
      <c r="Y46" s="43">
        <v>2</v>
      </c>
      <c r="Z46" s="43" t="s">
        <v>2090</v>
      </c>
      <c r="AA46" s="43" t="s">
        <v>2090</v>
      </c>
      <c r="AB46" s="43" t="s">
        <v>2090</v>
      </c>
      <c r="AC46" s="43" t="s">
        <v>2091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3"/>
      <c r="AJ46" s="43">
        <v>0</v>
      </c>
      <c r="AK46" s="43">
        <v>0</v>
      </c>
      <c r="AL46" s="43">
        <v>1</v>
      </c>
      <c r="AM46" s="43">
        <v>0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0</v>
      </c>
      <c r="AW46" s="43">
        <v>0</v>
      </c>
      <c r="AX46" s="43">
        <v>0</v>
      </c>
      <c r="AY46" s="43">
        <v>0</v>
      </c>
      <c r="AZ46" s="43">
        <v>0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</v>
      </c>
      <c r="BG46" s="43">
        <v>0</v>
      </c>
      <c r="BH46" s="43">
        <v>0</v>
      </c>
      <c r="BI46" s="43">
        <v>0</v>
      </c>
      <c r="BJ46" s="43" t="s">
        <v>2090</v>
      </c>
      <c r="BK46" s="43" t="s">
        <v>2090</v>
      </c>
      <c r="BL46" s="43" t="s">
        <v>2090</v>
      </c>
      <c r="BM46" s="43" t="s">
        <v>2090</v>
      </c>
      <c r="BN46" s="43" t="s">
        <v>2090</v>
      </c>
      <c r="BO46" s="43" t="s">
        <v>2090</v>
      </c>
      <c r="BP46" s="43" t="s">
        <v>2090</v>
      </c>
      <c r="BQ46" s="43" t="s">
        <v>2090</v>
      </c>
      <c r="BR46" s="43" t="s">
        <v>2090</v>
      </c>
      <c r="BS46" s="43" t="s">
        <v>2090</v>
      </c>
      <c r="BT46" s="43" t="s">
        <v>2090</v>
      </c>
      <c r="BU46" s="43" t="s">
        <v>2090</v>
      </c>
      <c r="BV46" s="43" t="s">
        <v>2090</v>
      </c>
      <c r="BW46" s="43" t="s">
        <v>2090</v>
      </c>
    </row>
    <row r="47" spans="1:75" ht="105.2" customHeight="1" x14ac:dyDescent="0.25">
      <c r="A47" s="38" t="s">
        <v>606</v>
      </c>
      <c r="B47" s="38" t="s">
        <v>1623</v>
      </c>
      <c r="C47" s="39" t="s">
        <v>607</v>
      </c>
      <c r="D47" s="40" t="s">
        <v>608</v>
      </c>
      <c r="E47" s="41">
        <v>46629.091379999998</v>
      </c>
      <c r="F47" s="41">
        <v>2597091.6232799999</v>
      </c>
      <c r="G47" s="41">
        <v>152768</v>
      </c>
      <c r="H47" s="41">
        <v>131509.29999999999</v>
      </c>
      <c r="I47" s="42">
        <v>1.132089495349901</v>
      </c>
      <c r="J47" s="41">
        <v>58552.224699999999</v>
      </c>
      <c r="K47" s="41">
        <v>2503053.3821</v>
      </c>
      <c r="L47" s="41">
        <v>210158.9</v>
      </c>
      <c r="M47" s="41">
        <v>141664.20000000001</v>
      </c>
      <c r="N47" s="42">
        <v>1.3441840098482283</v>
      </c>
      <c r="O47" s="41">
        <v>97581.077390000006</v>
      </c>
      <c r="P47" s="41">
        <v>3200298.1445900002</v>
      </c>
      <c r="Q47" s="41">
        <v>232048.4</v>
      </c>
      <c r="R47" s="41">
        <v>136236.70000000001</v>
      </c>
      <c r="S47" s="42">
        <v>1.6320699655279334</v>
      </c>
      <c r="T47" s="41">
        <v>59983.895340000003</v>
      </c>
      <c r="U47" s="41">
        <v>2775763.9688599999</v>
      </c>
      <c r="V47" s="41">
        <v>125767.1</v>
      </c>
      <c r="W47" s="41">
        <v>78108.399999999994</v>
      </c>
      <c r="X47" s="42">
        <v>1.3994067709931473</v>
      </c>
      <c r="Y47" s="43">
        <v>1</v>
      </c>
      <c r="Z47" s="43" t="s">
        <v>2090</v>
      </c>
      <c r="AA47" s="43" t="s">
        <v>2090</v>
      </c>
      <c r="AB47" s="43" t="s">
        <v>2090</v>
      </c>
      <c r="AC47" s="43" t="s">
        <v>2090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3">
        <v>1</v>
      </c>
      <c r="AJ47" s="43">
        <v>0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0</v>
      </c>
      <c r="AW47" s="43">
        <v>0</v>
      </c>
      <c r="AX47" s="43">
        <v>0</v>
      </c>
      <c r="AY47" s="43">
        <v>0</v>
      </c>
      <c r="AZ47" s="43">
        <v>0</v>
      </c>
      <c r="BA47" s="43">
        <v>0</v>
      </c>
      <c r="BB47" s="43">
        <v>0</v>
      </c>
      <c r="BC47" s="43">
        <v>0</v>
      </c>
      <c r="BD47" s="43">
        <v>0</v>
      </c>
      <c r="BE47" s="43">
        <v>0</v>
      </c>
      <c r="BF47" s="43">
        <v>0</v>
      </c>
      <c r="BG47" s="43">
        <v>0</v>
      </c>
      <c r="BH47" s="43">
        <v>0</v>
      </c>
      <c r="BI47" s="43">
        <v>0</v>
      </c>
      <c r="BJ47" s="43" t="s">
        <v>2090</v>
      </c>
      <c r="BK47" s="43" t="s">
        <v>2090</v>
      </c>
      <c r="BL47" s="43" t="s">
        <v>2090</v>
      </c>
      <c r="BM47" s="43" t="s">
        <v>2090</v>
      </c>
      <c r="BN47" s="43" t="s">
        <v>2090</v>
      </c>
      <c r="BO47" s="43" t="s">
        <v>2090</v>
      </c>
      <c r="BP47" s="43" t="s">
        <v>2090</v>
      </c>
      <c r="BQ47" s="43" t="s">
        <v>2090</v>
      </c>
      <c r="BR47" s="43" t="s">
        <v>2090</v>
      </c>
      <c r="BS47" s="43" t="s">
        <v>2090</v>
      </c>
      <c r="BT47" s="43" t="s">
        <v>2090</v>
      </c>
      <c r="BU47" s="43" t="s">
        <v>2090</v>
      </c>
      <c r="BV47" s="43" t="s">
        <v>2091</v>
      </c>
      <c r="BW47" s="43" t="s">
        <v>2090</v>
      </c>
    </row>
    <row r="48" spans="1:75" ht="110.45" customHeight="1" x14ac:dyDescent="0.25">
      <c r="A48" s="38" t="s">
        <v>609</v>
      </c>
      <c r="B48" s="38" t="s">
        <v>1624</v>
      </c>
      <c r="C48" s="39" t="s">
        <v>610</v>
      </c>
      <c r="D48" s="40" t="s">
        <v>611</v>
      </c>
      <c r="E48" s="41">
        <v>46411.702559999998</v>
      </c>
      <c r="F48" s="41">
        <v>2607605.79544</v>
      </c>
      <c r="G48" s="41">
        <v>247877.9</v>
      </c>
      <c r="H48" s="41">
        <v>198706.3</v>
      </c>
      <c r="I48" s="42">
        <v>1.2248242821571531</v>
      </c>
      <c r="J48" s="41">
        <v>70645.315570000006</v>
      </c>
      <c r="K48" s="41">
        <v>2708101.2974299998</v>
      </c>
      <c r="L48" s="41">
        <v>223672.1</v>
      </c>
      <c r="M48" s="41">
        <v>138576.1</v>
      </c>
      <c r="N48" s="42">
        <v>1.4368677499938167</v>
      </c>
      <c r="O48" s="41">
        <v>101663.16013</v>
      </c>
      <c r="P48" s="41">
        <v>3404843.7780599999</v>
      </c>
      <c r="Q48" s="41">
        <v>460672.8</v>
      </c>
      <c r="R48" s="41">
        <v>291306.40000000002</v>
      </c>
      <c r="S48" s="42">
        <v>1.5230875862398621</v>
      </c>
      <c r="T48" s="41">
        <v>58230.418310000001</v>
      </c>
      <c r="U48" s="41">
        <v>2688559.5503600002</v>
      </c>
      <c r="V48" s="41">
        <v>183546</v>
      </c>
      <c r="W48" s="41">
        <v>121619.8</v>
      </c>
      <c r="X48" s="42">
        <v>1.3462234733240448</v>
      </c>
      <c r="Y48" s="43">
        <v>1</v>
      </c>
      <c r="Z48" s="43" t="s">
        <v>2090</v>
      </c>
      <c r="AA48" s="43" t="s">
        <v>2090</v>
      </c>
      <c r="AB48" s="43" t="s">
        <v>2090</v>
      </c>
      <c r="AC48" s="43" t="s">
        <v>2090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3">
        <v>1</v>
      </c>
      <c r="AJ48" s="43">
        <v>0</v>
      </c>
      <c r="AK48" s="43">
        <v>0</v>
      </c>
      <c r="AL48" s="43">
        <v>0</v>
      </c>
      <c r="AM48" s="43">
        <v>0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0</v>
      </c>
      <c r="AT48" s="43">
        <v>0</v>
      </c>
      <c r="AU48" s="43">
        <v>0</v>
      </c>
      <c r="AV48" s="43">
        <v>0</v>
      </c>
      <c r="AW48" s="43">
        <v>0</v>
      </c>
      <c r="AX48" s="43">
        <v>0</v>
      </c>
      <c r="AY48" s="43">
        <v>0</v>
      </c>
      <c r="AZ48" s="43">
        <v>0</v>
      </c>
      <c r="BA48" s="43">
        <v>0</v>
      </c>
      <c r="BB48" s="43">
        <v>0</v>
      </c>
      <c r="BC48" s="43">
        <v>0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 t="s">
        <v>2090</v>
      </c>
      <c r="BK48" s="43" t="s">
        <v>2090</v>
      </c>
      <c r="BL48" s="43" t="s">
        <v>2090</v>
      </c>
      <c r="BM48" s="43" t="s">
        <v>2090</v>
      </c>
      <c r="BN48" s="43" t="s">
        <v>2090</v>
      </c>
      <c r="BO48" s="43" t="s">
        <v>2090</v>
      </c>
      <c r="BP48" s="43" t="s">
        <v>2090</v>
      </c>
      <c r="BQ48" s="43" t="s">
        <v>2090</v>
      </c>
      <c r="BR48" s="43" t="s">
        <v>2090</v>
      </c>
      <c r="BS48" s="43" t="s">
        <v>2090</v>
      </c>
      <c r="BT48" s="43" t="s">
        <v>2090</v>
      </c>
      <c r="BU48" s="43" t="s">
        <v>2090</v>
      </c>
      <c r="BV48" s="43" t="s">
        <v>2091</v>
      </c>
      <c r="BW48" s="43" t="s">
        <v>2090</v>
      </c>
    </row>
    <row r="49" spans="1:75" ht="102.2" customHeight="1" x14ac:dyDescent="0.25">
      <c r="A49" s="38" t="s">
        <v>612</v>
      </c>
      <c r="B49" s="38" t="s">
        <v>1625</v>
      </c>
      <c r="C49" s="39" t="s">
        <v>613</v>
      </c>
      <c r="D49" s="40" t="s">
        <v>614</v>
      </c>
      <c r="E49" s="41">
        <v>37366.470809999999</v>
      </c>
      <c r="F49" s="41">
        <v>2392757.6663799998</v>
      </c>
      <c r="G49" s="41">
        <v>22459</v>
      </c>
      <c r="H49" s="41">
        <v>22574.1</v>
      </c>
      <c r="I49" s="42">
        <v>0.9554166885469727</v>
      </c>
      <c r="J49" s="41">
        <v>52921.602120000003</v>
      </c>
      <c r="K49" s="41">
        <v>2364916.23477</v>
      </c>
      <c r="L49" s="41">
        <v>292178.7</v>
      </c>
      <c r="M49" s="41">
        <v>228251</v>
      </c>
      <c r="N49" s="42">
        <v>1.1891210337102067</v>
      </c>
      <c r="O49" s="41">
        <v>17675.890820000001</v>
      </c>
      <c r="P49" s="41">
        <v>1823558.0691500001</v>
      </c>
      <c r="Q49" s="41">
        <v>144911.6</v>
      </c>
      <c r="R49" s="41">
        <v>179505.5</v>
      </c>
      <c r="S49" s="42">
        <v>0.76969573068929087</v>
      </c>
      <c r="T49" s="41">
        <v>69612.894440000004</v>
      </c>
      <c r="U49" s="41">
        <v>2836335.2365999999</v>
      </c>
      <c r="V49" s="41">
        <v>267023</v>
      </c>
      <c r="W49" s="41">
        <v>158237.5</v>
      </c>
      <c r="X49" s="42">
        <v>1.4748873890080159</v>
      </c>
      <c r="Y49" s="43">
        <v>1</v>
      </c>
      <c r="Z49" s="43" t="s">
        <v>2090</v>
      </c>
      <c r="AA49" s="43" t="s">
        <v>2090</v>
      </c>
      <c r="AB49" s="43" t="s">
        <v>2090</v>
      </c>
      <c r="AC49" s="43" t="s">
        <v>2090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3">
        <v>1</v>
      </c>
      <c r="AJ49" s="43">
        <v>0</v>
      </c>
      <c r="AK49" s="43">
        <v>0</v>
      </c>
      <c r="AL49" s="43">
        <v>0</v>
      </c>
      <c r="AM49" s="43">
        <v>0</v>
      </c>
      <c r="AN49" s="43">
        <v>0</v>
      </c>
      <c r="AO49" s="43">
        <v>0</v>
      </c>
      <c r="AP49" s="43">
        <v>0</v>
      </c>
      <c r="AQ49" s="43">
        <v>0</v>
      </c>
      <c r="AR49" s="43">
        <v>0</v>
      </c>
      <c r="AS49" s="43">
        <v>0</v>
      </c>
      <c r="AT49" s="43">
        <v>0</v>
      </c>
      <c r="AU49" s="43">
        <v>0</v>
      </c>
      <c r="AV49" s="43">
        <v>0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 t="s">
        <v>2090</v>
      </c>
      <c r="BK49" s="43" t="s">
        <v>2090</v>
      </c>
      <c r="BL49" s="43" t="s">
        <v>2090</v>
      </c>
      <c r="BM49" s="43" t="s">
        <v>2090</v>
      </c>
      <c r="BN49" s="43" t="s">
        <v>2090</v>
      </c>
      <c r="BO49" s="43" t="s">
        <v>2090</v>
      </c>
      <c r="BP49" s="43" t="s">
        <v>2090</v>
      </c>
      <c r="BQ49" s="43" t="s">
        <v>2090</v>
      </c>
      <c r="BR49" s="43" t="s">
        <v>2090</v>
      </c>
      <c r="BS49" s="43" t="s">
        <v>2090</v>
      </c>
      <c r="BT49" s="43" t="s">
        <v>2090</v>
      </c>
      <c r="BU49" s="43" t="s">
        <v>2090</v>
      </c>
      <c r="BV49" s="43" t="s">
        <v>2091</v>
      </c>
      <c r="BW49" s="43" t="s">
        <v>2090</v>
      </c>
    </row>
    <row r="50" spans="1:75" ht="164.45" customHeight="1" x14ac:dyDescent="0.25">
      <c r="A50" s="38" t="s">
        <v>615</v>
      </c>
      <c r="B50" s="38" t="s">
        <v>1626</v>
      </c>
      <c r="C50" s="39" t="s">
        <v>616</v>
      </c>
      <c r="D50" s="40" t="s">
        <v>617</v>
      </c>
      <c r="E50" s="41">
        <v>49947.447229999998</v>
      </c>
      <c r="F50" s="41">
        <v>2636820.9074300001</v>
      </c>
      <c r="G50" s="41">
        <v>348682.4</v>
      </c>
      <c r="H50" s="41">
        <v>295026.59999999998</v>
      </c>
      <c r="I50" s="42">
        <v>1.1558509954509075</v>
      </c>
      <c r="J50" s="41">
        <v>60931.831050000001</v>
      </c>
      <c r="K50" s="41">
        <v>0</v>
      </c>
      <c r="L50" s="41">
        <v>48458.8</v>
      </c>
      <c r="M50" s="41">
        <v>31631.9</v>
      </c>
      <c r="N50" s="42">
        <v>1.377003536759726</v>
      </c>
      <c r="O50" s="41">
        <v>95179.354399999997</v>
      </c>
      <c r="P50" s="41">
        <v>3226306.591</v>
      </c>
      <c r="Q50" s="41">
        <v>76866.5</v>
      </c>
      <c r="R50" s="41">
        <v>41674.199999999997</v>
      </c>
      <c r="S50" s="42">
        <v>1.7603607345219376</v>
      </c>
      <c r="T50" s="41">
        <v>76765.966839999994</v>
      </c>
      <c r="U50" s="41">
        <v>3000863.3124199999</v>
      </c>
      <c r="V50" s="41">
        <v>174701.3</v>
      </c>
      <c r="W50" s="41">
        <v>108562.3</v>
      </c>
      <c r="X50" s="42">
        <v>1.446687615685937</v>
      </c>
      <c r="Y50" s="43">
        <v>1</v>
      </c>
      <c r="Z50" s="43" t="s">
        <v>2090</v>
      </c>
      <c r="AA50" s="43" t="s">
        <v>2090</v>
      </c>
      <c r="AB50" s="43" t="s">
        <v>2090</v>
      </c>
      <c r="AC50" s="43" t="s">
        <v>2090</v>
      </c>
      <c r="AD50" s="43">
        <v>0</v>
      </c>
      <c r="AE50" s="43">
        <v>0</v>
      </c>
      <c r="AF50" s="43">
        <v>0</v>
      </c>
      <c r="AG50" s="43">
        <v>0</v>
      </c>
      <c r="AH50" s="43">
        <v>0</v>
      </c>
      <c r="AI50" s="43">
        <v>1</v>
      </c>
      <c r="AJ50" s="43">
        <v>0</v>
      </c>
      <c r="AK50" s="43">
        <v>0</v>
      </c>
      <c r="AL50" s="43">
        <v>0</v>
      </c>
      <c r="AM50" s="43">
        <v>0</v>
      </c>
      <c r="AN50" s="43">
        <v>0</v>
      </c>
      <c r="AO50" s="43">
        <v>0</v>
      </c>
      <c r="AP50" s="43">
        <v>0</v>
      </c>
      <c r="AQ50" s="43">
        <v>0</v>
      </c>
      <c r="AR50" s="43">
        <v>0</v>
      </c>
      <c r="AS50" s="43">
        <v>0</v>
      </c>
      <c r="AT50" s="43">
        <v>0</v>
      </c>
      <c r="AU50" s="43">
        <v>0</v>
      </c>
      <c r="AV50" s="43">
        <v>0</v>
      </c>
      <c r="AW50" s="43">
        <v>0</v>
      </c>
      <c r="AX50" s="43">
        <v>0</v>
      </c>
      <c r="AY50" s="43">
        <v>0</v>
      </c>
      <c r="AZ50" s="43">
        <v>0</v>
      </c>
      <c r="BA50" s="43">
        <v>0</v>
      </c>
      <c r="BB50" s="43">
        <v>0</v>
      </c>
      <c r="BC50" s="43">
        <v>0</v>
      </c>
      <c r="BD50" s="43">
        <v>0</v>
      </c>
      <c r="BE50" s="43">
        <v>0</v>
      </c>
      <c r="BF50" s="43">
        <v>0</v>
      </c>
      <c r="BG50" s="43">
        <v>0</v>
      </c>
      <c r="BH50" s="43">
        <v>0</v>
      </c>
      <c r="BI50" s="43">
        <v>0</v>
      </c>
      <c r="BJ50" s="43" t="s">
        <v>2090</v>
      </c>
      <c r="BK50" s="43" t="s">
        <v>2090</v>
      </c>
      <c r="BL50" s="43" t="s">
        <v>2090</v>
      </c>
      <c r="BM50" s="43" t="s">
        <v>2090</v>
      </c>
      <c r="BN50" s="43" t="s">
        <v>2090</v>
      </c>
      <c r="BO50" s="43" t="s">
        <v>2090</v>
      </c>
      <c r="BP50" s="43" t="s">
        <v>2090</v>
      </c>
      <c r="BQ50" s="43" t="s">
        <v>2090</v>
      </c>
      <c r="BR50" s="43" t="s">
        <v>2090</v>
      </c>
      <c r="BS50" s="43" t="s">
        <v>2090</v>
      </c>
      <c r="BT50" s="43" t="s">
        <v>2090</v>
      </c>
      <c r="BU50" s="43" t="s">
        <v>2090</v>
      </c>
      <c r="BV50" s="43" t="s">
        <v>2091</v>
      </c>
      <c r="BW50" s="43" t="s">
        <v>2090</v>
      </c>
    </row>
    <row r="51" spans="1:75" ht="111.2" customHeight="1" x14ac:dyDescent="0.25">
      <c r="A51" s="38" t="s">
        <v>618</v>
      </c>
      <c r="B51" s="38" t="s">
        <v>1627</v>
      </c>
      <c r="C51" s="39" t="s">
        <v>619</v>
      </c>
      <c r="D51" s="40" t="s">
        <v>620</v>
      </c>
      <c r="E51" s="41">
        <v>51287.536070000002</v>
      </c>
      <c r="F51" s="41">
        <v>2748728.6444299999</v>
      </c>
      <c r="G51" s="41">
        <v>298040.59999999998</v>
      </c>
      <c r="H51" s="41">
        <v>248492.4</v>
      </c>
      <c r="I51" s="42">
        <v>1.174282218476824</v>
      </c>
      <c r="J51" s="41">
        <v>64479.649160000001</v>
      </c>
      <c r="K51" s="41">
        <v>2619073.3770499998</v>
      </c>
      <c r="L51" s="41">
        <v>205948.4</v>
      </c>
      <c r="M51" s="41">
        <v>136408.79999999999</v>
      </c>
      <c r="N51" s="42">
        <v>1.3718884717007369</v>
      </c>
      <c r="O51" s="41">
        <v>53783.746769999998</v>
      </c>
      <c r="P51" s="41">
        <v>2787287.3553900002</v>
      </c>
      <c r="Q51" s="41">
        <v>386027.6</v>
      </c>
      <c r="R51" s="41">
        <v>304314.59999999998</v>
      </c>
      <c r="S51" s="42">
        <v>1.2422595624114592</v>
      </c>
      <c r="T51" s="41">
        <v>65709.753360000002</v>
      </c>
      <c r="U51" s="41">
        <v>2837731.9409099999</v>
      </c>
      <c r="V51" s="41">
        <v>161902.39999999999</v>
      </c>
      <c r="W51" s="41">
        <v>99877.9</v>
      </c>
      <c r="X51" s="42">
        <v>1.4583014176457418</v>
      </c>
      <c r="Y51" s="43">
        <v>1</v>
      </c>
      <c r="Z51" s="43" t="s">
        <v>2090</v>
      </c>
      <c r="AA51" s="43" t="s">
        <v>2090</v>
      </c>
      <c r="AB51" s="43" t="s">
        <v>2090</v>
      </c>
      <c r="AC51" s="43" t="s">
        <v>2090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3">
        <v>1</v>
      </c>
      <c r="AJ51" s="43">
        <v>0</v>
      </c>
      <c r="AK51" s="43">
        <v>0</v>
      </c>
      <c r="AL51" s="43">
        <v>0</v>
      </c>
      <c r="AM51" s="43">
        <v>0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43">
        <v>0</v>
      </c>
      <c r="AU51" s="43">
        <v>0</v>
      </c>
      <c r="AV51" s="43">
        <v>0</v>
      </c>
      <c r="AW51" s="43">
        <v>0</v>
      </c>
      <c r="AX51" s="43">
        <v>0</v>
      </c>
      <c r="AY51" s="43">
        <v>0</v>
      </c>
      <c r="AZ51" s="43">
        <v>0</v>
      </c>
      <c r="BA51" s="43">
        <v>0</v>
      </c>
      <c r="BB51" s="43">
        <v>0</v>
      </c>
      <c r="BC51" s="43">
        <v>0</v>
      </c>
      <c r="BD51" s="43">
        <v>0</v>
      </c>
      <c r="BE51" s="43">
        <v>0</v>
      </c>
      <c r="BF51" s="43">
        <v>0</v>
      </c>
      <c r="BG51" s="43">
        <v>0</v>
      </c>
      <c r="BH51" s="43">
        <v>0</v>
      </c>
      <c r="BI51" s="43">
        <v>0</v>
      </c>
      <c r="BJ51" s="43" t="s">
        <v>2090</v>
      </c>
      <c r="BK51" s="43" t="s">
        <v>2090</v>
      </c>
      <c r="BL51" s="43" t="s">
        <v>2090</v>
      </c>
      <c r="BM51" s="43" t="s">
        <v>2090</v>
      </c>
      <c r="BN51" s="43" t="s">
        <v>2090</v>
      </c>
      <c r="BO51" s="43" t="s">
        <v>2090</v>
      </c>
      <c r="BP51" s="43" t="s">
        <v>2090</v>
      </c>
      <c r="BQ51" s="43" t="s">
        <v>2090</v>
      </c>
      <c r="BR51" s="43" t="s">
        <v>2090</v>
      </c>
      <c r="BS51" s="43" t="s">
        <v>2090</v>
      </c>
      <c r="BT51" s="43" t="s">
        <v>2090</v>
      </c>
      <c r="BU51" s="43" t="s">
        <v>2090</v>
      </c>
      <c r="BV51" s="43" t="s">
        <v>2091</v>
      </c>
      <c r="BW51" s="43" t="s">
        <v>2090</v>
      </c>
    </row>
    <row r="52" spans="1:75" ht="121.7" customHeight="1" x14ac:dyDescent="0.25">
      <c r="A52" s="38" t="s">
        <v>621</v>
      </c>
      <c r="B52" s="38" t="s">
        <v>1628</v>
      </c>
      <c r="C52" s="39" t="s">
        <v>622</v>
      </c>
      <c r="D52" s="40" t="s">
        <v>623</v>
      </c>
      <c r="E52" s="41">
        <v>52415.299209999997</v>
      </c>
      <c r="F52" s="41">
        <v>2822463.0946999998</v>
      </c>
      <c r="G52" s="41">
        <v>40795.800000000003</v>
      </c>
      <c r="H52" s="41">
        <v>31413.599999999999</v>
      </c>
      <c r="I52" s="42">
        <v>1.2719798111364375</v>
      </c>
      <c r="J52" s="41">
        <v>57170.515099999997</v>
      </c>
      <c r="K52" s="41">
        <v>2422823.0160099999</v>
      </c>
      <c r="L52" s="41">
        <v>198859</v>
      </c>
      <c r="M52" s="41">
        <v>151275.70000000001</v>
      </c>
      <c r="N52" s="42">
        <v>1.2538743898995603</v>
      </c>
      <c r="O52" s="41">
        <v>0</v>
      </c>
      <c r="P52" s="41">
        <v>266441.09782999998</v>
      </c>
      <c r="Q52" s="41">
        <v>38148.300000000003</v>
      </c>
      <c r="R52" s="41">
        <v>45691</v>
      </c>
      <c r="S52" s="42">
        <v>0.80408835231170261</v>
      </c>
      <c r="T52" s="41">
        <v>73357.559670000002</v>
      </c>
      <c r="U52" s="41">
        <v>2908750.1444100002</v>
      </c>
      <c r="V52" s="41">
        <v>78670.399999999994</v>
      </c>
      <c r="W52" s="41">
        <v>48885.5</v>
      </c>
      <c r="X52" s="42">
        <v>1.4271989046787215</v>
      </c>
      <c r="Y52" s="43">
        <v>1</v>
      </c>
      <c r="Z52" s="43" t="s">
        <v>2090</v>
      </c>
      <c r="AA52" s="43" t="s">
        <v>2090</v>
      </c>
      <c r="AB52" s="43" t="s">
        <v>2090</v>
      </c>
      <c r="AC52" s="43" t="s">
        <v>2090</v>
      </c>
      <c r="AD52" s="43">
        <v>0</v>
      </c>
      <c r="AE52" s="43">
        <v>0</v>
      </c>
      <c r="AF52" s="43">
        <v>0</v>
      </c>
      <c r="AG52" s="43">
        <v>0</v>
      </c>
      <c r="AH52" s="43">
        <v>0</v>
      </c>
      <c r="AI52" s="43">
        <v>1</v>
      </c>
      <c r="AJ52" s="43">
        <v>0</v>
      </c>
      <c r="AK52" s="43">
        <v>0</v>
      </c>
      <c r="AL52" s="43">
        <v>0</v>
      </c>
      <c r="AM52" s="43">
        <v>0</v>
      </c>
      <c r="AN52" s="43">
        <v>0</v>
      </c>
      <c r="AO52" s="43">
        <v>0</v>
      </c>
      <c r="AP52" s="43">
        <v>0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0</v>
      </c>
      <c r="AW52" s="43">
        <v>0</v>
      </c>
      <c r="AX52" s="43">
        <v>0</v>
      </c>
      <c r="AY52" s="43">
        <v>0</v>
      </c>
      <c r="AZ52" s="43">
        <v>0</v>
      </c>
      <c r="BA52" s="43">
        <v>0</v>
      </c>
      <c r="BB52" s="43">
        <v>0</v>
      </c>
      <c r="BC52" s="43">
        <v>0</v>
      </c>
      <c r="BD52" s="43">
        <v>0</v>
      </c>
      <c r="BE52" s="43">
        <v>0</v>
      </c>
      <c r="BF52" s="43">
        <v>0</v>
      </c>
      <c r="BG52" s="43">
        <v>0</v>
      </c>
      <c r="BH52" s="43">
        <v>0</v>
      </c>
      <c r="BI52" s="43">
        <v>0</v>
      </c>
      <c r="BJ52" s="43" t="s">
        <v>2090</v>
      </c>
      <c r="BK52" s="43" t="s">
        <v>2090</v>
      </c>
      <c r="BL52" s="43" t="s">
        <v>2090</v>
      </c>
      <c r="BM52" s="43" t="s">
        <v>2090</v>
      </c>
      <c r="BN52" s="43" t="s">
        <v>2090</v>
      </c>
      <c r="BO52" s="43" t="s">
        <v>2090</v>
      </c>
      <c r="BP52" s="43" t="s">
        <v>2090</v>
      </c>
      <c r="BQ52" s="43" t="s">
        <v>2090</v>
      </c>
      <c r="BR52" s="43" t="s">
        <v>2090</v>
      </c>
      <c r="BS52" s="43" t="s">
        <v>2090</v>
      </c>
      <c r="BT52" s="43" t="s">
        <v>2090</v>
      </c>
      <c r="BU52" s="43" t="s">
        <v>2090</v>
      </c>
      <c r="BV52" s="43" t="s">
        <v>2091</v>
      </c>
      <c r="BW52" s="43" t="s">
        <v>2090</v>
      </c>
    </row>
    <row r="53" spans="1:75" ht="211.7" customHeight="1" x14ac:dyDescent="0.25">
      <c r="A53" s="38" t="s">
        <v>624</v>
      </c>
      <c r="B53" s="38" t="s">
        <v>1629</v>
      </c>
      <c r="C53" s="39" t="s">
        <v>625</v>
      </c>
      <c r="D53" s="40" t="s">
        <v>626</v>
      </c>
      <c r="E53" s="41">
        <v>52676.708290000002</v>
      </c>
      <c r="F53" s="41">
        <v>2694447.4950899999</v>
      </c>
      <c r="G53" s="41">
        <v>150505.70000000001</v>
      </c>
      <c r="H53" s="41">
        <v>113852</v>
      </c>
      <c r="I53" s="42">
        <v>1.2900508705626794</v>
      </c>
      <c r="J53" s="41">
        <v>52720.05242</v>
      </c>
      <c r="K53" s="41">
        <v>2365950.8923300002</v>
      </c>
      <c r="L53" s="41">
        <v>145611</v>
      </c>
      <c r="M53" s="41">
        <v>109514.4</v>
      </c>
      <c r="N53" s="42">
        <v>1.2315832226478887</v>
      </c>
      <c r="O53" s="41">
        <v>96929.647549999994</v>
      </c>
      <c r="P53" s="41">
        <v>3309630.1141499998</v>
      </c>
      <c r="Q53" s="41">
        <v>227023.7</v>
      </c>
      <c r="R53" s="41">
        <v>133016.4</v>
      </c>
      <c r="S53" s="42">
        <v>1.6601777322849298</v>
      </c>
      <c r="T53" s="41">
        <v>71081.959659999993</v>
      </c>
      <c r="U53" s="41">
        <v>2922697.0189999999</v>
      </c>
      <c r="V53" s="41">
        <v>96938.8</v>
      </c>
      <c r="W53" s="41">
        <v>60650.8</v>
      </c>
      <c r="X53" s="42">
        <v>1.395150733271358</v>
      </c>
      <c r="Y53" s="43">
        <v>1</v>
      </c>
      <c r="Z53" s="43" t="s">
        <v>2090</v>
      </c>
      <c r="AA53" s="43" t="s">
        <v>2090</v>
      </c>
      <c r="AB53" s="43" t="s">
        <v>2090</v>
      </c>
      <c r="AC53" s="43" t="s">
        <v>2090</v>
      </c>
      <c r="AD53" s="43">
        <v>0</v>
      </c>
      <c r="AE53" s="43">
        <v>0</v>
      </c>
      <c r="AF53" s="43">
        <v>0</v>
      </c>
      <c r="AG53" s="43">
        <v>0</v>
      </c>
      <c r="AH53" s="43">
        <v>0</v>
      </c>
      <c r="AI53" s="43">
        <v>1</v>
      </c>
      <c r="AJ53" s="43">
        <v>0</v>
      </c>
      <c r="AK53" s="43">
        <v>0</v>
      </c>
      <c r="AL53" s="43">
        <v>0</v>
      </c>
      <c r="AM53" s="43">
        <v>0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0</v>
      </c>
      <c r="AW53" s="43">
        <v>0</v>
      </c>
      <c r="AX53" s="43">
        <v>0</v>
      </c>
      <c r="AY53" s="43">
        <v>0</v>
      </c>
      <c r="AZ53" s="43">
        <v>0</v>
      </c>
      <c r="BA53" s="43">
        <v>0</v>
      </c>
      <c r="BB53" s="43">
        <v>0</v>
      </c>
      <c r="BC53" s="43">
        <v>0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43">
        <v>0</v>
      </c>
      <c r="BJ53" s="43" t="s">
        <v>2090</v>
      </c>
      <c r="BK53" s="43" t="s">
        <v>2090</v>
      </c>
      <c r="BL53" s="43" t="s">
        <v>2090</v>
      </c>
      <c r="BM53" s="43" t="s">
        <v>2090</v>
      </c>
      <c r="BN53" s="43" t="s">
        <v>2090</v>
      </c>
      <c r="BO53" s="43" t="s">
        <v>2090</v>
      </c>
      <c r="BP53" s="43" t="s">
        <v>2090</v>
      </c>
      <c r="BQ53" s="43" t="s">
        <v>2090</v>
      </c>
      <c r="BR53" s="43" t="s">
        <v>2090</v>
      </c>
      <c r="BS53" s="43" t="s">
        <v>2090</v>
      </c>
      <c r="BT53" s="43" t="s">
        <v>2090</v>
      </c>
      <c r="BU53" s="43" t="s">
        <v>2090</v>
      </c>
      <c r="BV53" s="43" t="s">
        <v>2091</v>
      </c>
      <c r="BW53" s="43" t="s">
        <v>2090</v>
      </c>
    </row>
    <row r="54" spans="1:75" ht="105.95" customHeight="1" x14ac:dyDescent="0.25">
      <c r="A54" s="38" t="s">
        <v>627</v>
      </c>
      <c r="B54" s="38" t="s">
        <v>1630</v>
      </c>
      <c r="C54" s="39" t="s">
        <v>628</v>
      </c>
      <c r="D54" s="40" t="s">
        <v>629</v>
      </c>
      <c r="E54" s="41">
        <v>52508.147850000001</v>
      </c>
      <c r="F54" s="41">
        <v>2681587.9193899999</v>
      </c>
      <c r="G54" s="41">
        <v>216990.3</v>
      </c>
      <c r="H54" s="41">
        <v>176247.6</v>
      </c>
      <c r="I54" s="42">
        <v>1.1976431346172325</v>
      </c>
      <c r="J54" s="41">
        <v>59100.747459999999</v>
      </c>
      <c r="K54" s="41">
        <v>2503840.5313200001</v>
      </c>
      <c r="L54" s="41">
        <v>99860.3</v>
      </c>
      <c r="M54" s="41">
        <v>78980.3</v>
      </c>
      <c r="N54" s="42">
        <v>1.1820041214283517</v>
      </c>
      <c r="O54" s="41">
        <v>117011.56774</v>
      </c>
      <c r="P54" s="41">
        <v>3437738.6120099998</v>
      </c>
      <c r="Q54" s="41">
        <v>441600.1</v>
      </c>
      <c r="R54" s="41">
        <v>257621.5</v>
      </c>
      <c r="S54" s="42">
        <v>1.6805539365397617</v>
      </c>
      <c r="T54" s="41">
        <v>72096.832559999995</v>
      </c>
      <c r="U54" s="41">
        <v>2956166.7041699998</v>
      </c>
      <c r="V54" s="41">
        <v>163456</v>
      </c>
      <c r="W54" s="41">
        <v>97809.5</v>
      </c>
      <c r="X54" s="42">
        <v>1.4756528122487502</v>
      </c>
      <c r="Y54" s="43">
        <v>1</v>
      </c>
      <c r="Z54" s="43" t="s">
        <v>2090</v>
      </c>
      <c r="AA54" s="43" t="s">
        <v>2090</v>
      </c>
      <c r="AB54" s="43" t="s">
        <v>2090</v>
      </c>
      <c r="AC54" s="43" t="s">
        <v>2090</v>
      </c>
      <c r="AD54" s="43">
        <v>0</v>
      </c>
      <c r="AE54" s="43">
        <v>0</v>
      </c>
      <c r="AF54" s="43">
        <v>0</v>
      </c>
      <c r="AG54" s="43">
        <v>0</v>
      </c>
      <c r="AH54" s="43">
        <v>0</v>
      </c>
      <c r="AI54" s="43">
        <v>1</v>
      </c>
      <c r="AJ54" s="43">
        <v>0</v>
      </c>
      <c r="AK54" s="43">
        <v>0</v>
      </c>
      <c r="AL54" s="43">
        <v>0</v>
      </c>
      <c r="AM54" s="43">
        <v>0</v>
      </c>
      <c r="AN54" s="43">
        <v>0</v>
      </c>
      <c r="AO54" s="43">
        <v>0</v>
      </c>
      <c r="AP54" s="43">
        <v>0</v>
      </c>
      <c r="AQ54" s="43">
        <v>0</v>
      </c>
      <c r="AR54" s="43">
        <v>0</v>
      </c>
      <c r="AS54" s="43">
        <v>0</v>
      </c>
      <c r="AT54" s="43">
        <v>0</v>
      </c>
      <c r="AU54" s="43">
        <v>0</v>
      </c>
      <c r="AV54" s="43">
        <v>0</v>
      </c>
      <c r="AW54" s="43">
        <v>0</v>
      </c>
      <c r="AX54" s="43">
        <v>0</v>
      </c>
      <c r="AY54" s="43">
        <v>0</v>
      </c>
      <c r="AZ54" s="43">
        <v>0</v>
      </c>
      <c r="BA54" s="43">
        <v>0</v>
      </c>
      <c r="BB54" s="43">
        <v>0</v>
      </c>
      <c r="BC54" s="43">
        <v>0</v>
      </c>
      <c r="BD54" s="43">
        <v>0</v>
      </c>
      <c r="BE54" s="43">
        <v>0</v>
      </c>
      <c r="BF54" s="43">
        <v>0</v>
      </c>
      <c r="BG54" s="43">
        <v>0</v>
      </c>
      <c r="BH54" s="43">
        <v>0</v>
      </c>
      <c r="BI54" s="43">
        <v>0</v>
      </c>
      <c r="BJ54" s="43" t="s">
        <v>2090</v>
      </c>
      <c r="BK54" s="43" t="s">
        <v>2090</v>
      </c>
      <c r="BL54" s="43" t="s">
        <v>2090</v>
      </c>
      <c r="BM54" s="43" t="s">
        <v>2090</v>
      </c>
      <c r="BN54" s="43" t="s">
        <v>2090</v>
      </c>
      <c r="BO54" s="43" t="s">
        <v>2090</v>
      </c>
      <c r="BP54" s="43" t="s">
        <v>2090</v>
      </c>
      <c r="BQ54" s="43" t="s">
        <v>2090</v>
      </c>
      <c r="BR54" s="43" t="s">
        <v>2090</v>
      </c>
      <c r="BS54" s="43" t="s">
        <v>2090</v>
      </c>
      <c r="BT54" s="43" t="s">
        <v>2090</v>
      </c>
      <c r="BU54" s="43" t="s">
        <v>2090</v>
      </c>
      <c r="BV54" s="43" t="s">
        <v>2091</v>
      </c>
      <c r="BW54" s="43" t="s">
        <v>2090</v>
      </c>
    </row>
    <row r="55" spans="1:75" ht="169.7" customHeight="1" x14ac:dyDescent="0.25">
      <c r="A55" s="38" t="s">
        <v>630</v>
      </c>
      <c r="B55" s="38" t="s">
        <v>1631</v>
      </c>
      <c r="C55" s="39" t="s">
        <v>631</v>
      </c>
      <c r="D55" s="40" t="s">
        <v>632</v>
      </c>
      <c r="E55" s="41">
        <v>49475.80328</v>
      </c>
      <c r="F55" s="41">
        <v>2688988.93248</v>
      </c>
      <c r="G55" s="41">
        <v>102375.2</v>
      </c>
      <c r="H55" s="41">
        <v>82811.600000000006</v>
      </c>
      <c r="I55" s="42">
        <v>1.1930017540208699</v>
      </c>
      <c r="J55" s="41">
        <v>50909.045839999999</v>
      </c>
      <c r="K55" s="41">
        <v>2351722.6856999998</v>
      </c>
      <c r="L55" s="41">
        <v>67568.899999999994</v>
      </c>
      <c r="M55" s="41">
        <v>55235.9</v>
      </c>
      <c r="N55" s="42">
        <v>1.1232784609712192</v>
      </c>
      <c r="O55" s="41">
        <v>101302.15336</v>
      </c>
      <c r="P55" s="41">
        <v>3338452.6460299999</v>
      </c>
      <c r="Q55" s="41">
        <v>143995.70000000001</v>
      </c>
      <c r="R55" s="41">
        <v>74126.3</v>
      </c>
      <c r="S55" s="42">
        <v>1.852741177867087</v>
      </c>
      <c r="T55" s="41">
        <v>75327.605769999995</v>
      </c>
      <c r="U55" s="41">
        <v>2946345.8675299999</v>
      </c>
      <c r="V55" s="41">
        <v>72112.5</v>
      </c>
      <c r="W55" s="41">
        <v>36937.199999999997</v>
      </c>
      <c r="X55" s="42">
        <v>1.6691476219888819</v>
      </c>
      <c r="Y55" s="43">
        <v>1</v>
      </c>
      <c r="Z55" s="43" t="s">
        <v>2090</v>
      </c>
      <c r="AA55" s="43" t="s">
        <v>2090</v>
      </c>
      <c r="AB55" s="43" t="s">
        <v>2090</v>
      </c>
      <c r="AC55" s="43" t="s">
        <v>2090</v>
      </c>
      <c r="AD55" s="43">
        <v>0</v>
      </c>
      <c r="AE55" s="43">
        <v>0</v>
      </c>
      <c r="AF55" s="43">
        <v>0</v>
      </c>
      <c r="AG55" s="43">
        <v>0</v>
      </c>
      <c r="AH55" s="43">
        <v>0</v>
      </c>
      <c r="AI55" s="43">
        <v>1</v>
      </c>
      <c r="AJ55" s="43">
        <v>0</v>
      </c>
      <c r="AK55" s="43">
        <v>0</v>
      </c>
      <c r="AL55" s="43">
        <v>0</v>
      </c>
      <c r="AM55" s="43">
        <v>0</v>
      </c>
      <c r="AN55" s="43">
        <v>0</v>
      </c>
      <c r="AO55" s="43">
        <v>0</v>
      </c>
      <c r="AP55" s="43">
        <v>0</v>
      </c>
      <c r="AQ55" s="43">
        <v>0</v>
      </c>
      <c r="AR55" s="43">
        <v>0</v>
      </c>
      <c r="AS55" s="43">
        <v>0</v>
      </c>
      <c r="AT55" s="43">
        <v>0</v>
      </c>
      <c r="AU55" s="43">
        <v>0</v>
      </c>
      <c r="AV55" s="43">
        <v>0</v>
      </c>
      <c r="AW55" s="43">
        <v>0</v>
      </c>
      <c r="AX55" s="43">
        <v>0</v>
      </c>
      <c r="AY55" s="43">
        <v>0</v>
      </c>
      <c r="AZ55" s="43">
        <v>0</v>
      </c>
      <c r="BA55" s="43">
        <v>0</v>
      </c>
      <c r="BB55" s="43">
        <v>0</v>
      </c>
      <c r="BC55" s="43">
        <v>0</v>
      </c>
      <c r="BD55" s="43">
        <v>0</v>
      </c>
      <c r="BE55" s="43">
        <v>0</v>
      </c>
      <c r="BF55" s="43">
        <v>0</v>
      </c>
      <c r="BG55" s="43">
        <v>0</v>
      </c>
      <c r="BH55" s="43">
        <v>0</v>
      </c>
      <c r="BI55" s="43">
        <v>0</v>
      </c>
      <c r="BJ55" s="43" t="s">
        <v>2090</v>
      </c>
      <c r="BK55" s="43" t="s">
        <v>2090</v>
      </c>
      <c r="BL55" s="43" t="s">
        <v>2090</v>
      </c>
      <c r="BM55" s="43" t="s">
        <v>2090</v>
      </c>
      <c r="BN55" s="43" t="s">
        <v>2090</v>
      </c>
      <c r="BO55" s="43" t="s">
        <v>2090</v>
      </c>
      <c r="BP55" s="43" t="s">
        <v>2090</v>
      </c>
      <c r="BQ55" s="43" t="s">
        <v>2090</v>
      </c>
      <c r="BR55" s="43" t="s">
        <v>2090</v>
      </c>
      <c r="BS55" s="43" t="s">
        <v>2090</v>
      </c>
      <c r="BT55" s="43" t="s">
        <v>2090</v>
      </c>
      <c r="BU55" s="43" t="s">
        <v>2090</v>
      </c>
      <c r="BV55" s="43" t="s">
        <v>2090</v>
      </c>
      <c r="BW55" s="43" t="s">
        <v>2091</v>
      </c>
    </row>
    <row r="56" spans="1:75" ht="122.45" customHeight="1" x14ac:dyDescent="0.25">
      <c r="A56" s="38" t="s">
        <v>633</v>
      </c>
      <c r="B56" s="38" t="s">
        <v>1632</v>
      </c>
      <c r="C56" s="39" t="s">
        <v>634</v>
      </c>
      <c r="D56" s="40" t="s">
        <v>635</v>
      </c>
      <c r="E56" s="41">
        <v>59680.01597</v>
      </c>
      <c r="F56" s="41">
        <v>2873319.2104799999</v>
      </c>
      <c r="G56" s="41">
        <v>241629.3</v>
      </c>
      <c r="H56" s="41">
        <v>182411.6</v>
      </c>
      <c r="I56" s="42">
        <v>1.2841996184410984</v>
      </c>
      <c r="J56" s="41">
        <v>103821.41015</v>
      </c>
      <c r="K56" s="41">
        <v>3187857.43004</v>
      </c>
      <c r="L56" s="41">
        <v>126220.6</v>
      </c>
      <c r="M56" s="41">
        <v>65182.400000000001</v>
      </c>
      <c r="N56" s="42">
        <v>1.7319034368111021</v>
      </c>
      <c r="O56" s="41">
        <v>11405.586600000001</v>
      </c>
      <c r="P56" s="41">
        <v>1379081.6939300001</v>
      </c>
      <c r="Q56" s="41">
        <v>145461.29999999999</v>
      </c>
      <c r="R56" s="41">
        <v>188424.2</v>
      </c>
      <c r="S56" s="42">
        <v>0.74287706584641044</v>
      </c>
      <c r="T56" s="41">
        <v>103877.78246</v>
      </c>
      <c r="U56" s="41">
        <v>3393608.2648399998</v>
      </c>
      <c r="V56" s="41">
        <v>88823.4</v>
      </c>
      <c r="W56" s="41">
        <v>42560.7</v>
      </c>
      <c r="X56" s="42">
        <v>1.6412544126892015</v>
      </c>
      <c r="Y56" s="43">
        <v>1</v>
      </c>
      <c r="Z56" s="43" t="s">
        <v>2090</v>
      </c>
      <c r="AA56" s="43" t="s">
        <v>2090</v>
      </c>
      <c r="AB56" s="43" t="s">
        <v>2090</v>
      </c>
      <c r="AC56" s="43" t="s">
        <v>2090</v>
      </c>
      <c r="AD56" s="43">
        <v>0</v>
      </c>
      <c r="AE56" s="43">
        <v>0</v>
      </c>
      <c r="AF56" s="43">
        <v>0</v>
      </c>
      <c r="AG56" s="43">
        <v>0</v>
      </c>
      <c r="AH56" s="43">
        <v>0</v>
      </c>
      <c r="AI56" s="43">
        <v>1</v>
      </c>
      <c r="AJ56" s="43">
        <v>0</v>
      </c>
      <c r="AK56" s="43">
        <v>0</v>
      </c>
      <c r="AL56" s="43">
        <v>0</v>
      </c>
      <c r="AM56" s="43">
        <v>0</v>
      </c>
      <c r="AN56" s="43">
        <v>0</v>
      </c>
      <c r="AO56" s="43">
        <v>0</v>
      </c>
      <c r="AP56" s="43">
        <v>0</v>
      </c>
      <c r="AQ56" s="43">
        <v>0</v>
      </c>
      <c r="AR56" s="43">
        <v>0</v>
      </c>
      <c r="AS56" s="43">
        <v>0</v>
      </c>
      <c r="AT56" s="43">
        <v>0</v>
      </c>
      <c r="AU56" s="43">
        <v>0</v>
      </c>
      <c r="AV56" s="43">
        <v>0</v>
      </c>
      <c r="AW56" s="43">
        <v>0</v>
      </c>
      <c r="AX56" s="43">
        <v>0</v>
      </c>
      <c r="AY56" s="43">
        <v>0</v>
      </c>
      <c r="AZ56" s="43">
        <v>0</v>
      </c>
      <c r="BA56" s="43">
        <v>0</v>
      </c>
      <c r="BB56" s="43">
        <v>0</v>
      </c>
      <c r="BC56" s="43">
        <v>0</v>
      </c>
      <c r="BD56" s="43">
        <v>0</v>
      </c>
      <c r="BE56" s="43">
        <v>0</v>
      </c>
      <c r="BF56" s="43">
        <v>0</v>
      </c>
      <c r="BG56" s="43">
        <v>0</v>
      </c>
      <c r="BH56" s="43">
        <v>0</v>
      </c>
      <c r="BI56" s="43">
        <v>0</v>
      </c>
      <c r="BJ56" s="43" t="s">
        <v>2090</v>
      </c>
      <c r="BK56" s="43" t="s">
        <v>2090</v>
      </c>
      <c r="BL56" s="43" t="s">
        <v>2090</v>
      </c>
      <c r="BM56" s="43" t="s">
        <v>2090</v>
      </c>
      <c r="BN56" s="43" t="s">
        <v>2090</v>
      </c>
      <c r="BO56" s="43" t="s">
        <v>2090</v>
      </c>
      <c r="BP56" s="43" t="s">
        <v>2090</v>
      </c>
      <c r="BQ56" s="43" t="s">
        <v>2090</v>
      </c>
      <c r="BR56" s="43" t="s">
        <v>2090</v>
      </c>
      <c r="BS56" s="43" t="s">
        <v>2090</v>
      </c>
      <c r="BT56" s="43" t="s">
        <v>2090</v>
      </c>
      <c r="BU56" s="43" t="s">
        <v>2091</v>
      </c>
      <c r="BV56" s="43" t="s">
        <v>2090</v>
      </c>
      <c r="BW56" s="43" t="s">
        <v>2090</v>
      </c>
    </row>
    <row r="57" spans="1:75" ht="217.7" customHeight="1" x14ac:dyDescent="0.25">
      <c r="A57" s="38" t="s">
        <v>636</v>
      </c>
      <c r="B57" s="38" t="s">
        <v>1633</v>
      </c>
      <c r="C57" s="39" t="s">
        <v>637</v>
      </c>
      <c r="D57" s="40" t="s">
        <v>638</v>
      </c>
      <c r="E57" s="41">
        <v>102249.1456</v>
      </c>
      <c r="F57" s="41">
        <v>2554295.1953699999</v>
      </c>
      <c r="G57" s="41">
        <v>197688.1</v>
      </c>
      <c r="H57" s="41">
        <v>162389.29999999999</v>
      </c>
      <c r="I57" s="42">
        <v>1.180730540460877</v>
      </c>
      <c r="J57" s="41">
        <v>56765.94</v>
      </c>
      <c r="K57" s="41">
        <v>2374303.4983399999</v>
      </c>
      <c r="L57" s="41">
        <v>212526.8</v>
      </c>
      <c r="M57" s="41">
        <v>159251.6</v>
      </c>
      <c r="N57" s="42">
        <v>1.2331184787398517</v>
      </c>
      <c r="O57" s="41">
        <v>79583.699269999997</v>
      </c>
      <c r="P57" s="41">
        <v>3168340.5181300002</v>
      </c>
      <c r="Q57" s="41">
        <v>281083.90000000002</v>
      </c>
      <c r="R57" s="41">
        <v>169908.6</v>
      </c>
      <c r="S57" s="42">
        <v>1.6001973688984348</v>
      </c>
      <c r="T57" s="41">
        <v>123975.33441</v>
      </c>
      <c r="U57" s="41">
        <v>2864017.5795800001</v>
      </c>
      <c r="V57" s="41">
        <v>211376.1</v>
      </c>
      <c r="W57" s="41">
        <v>136276.4</v>
      </c>
      <c r="X57" s="42">
        <v>1.2623622578961906</v>
      </c>
      <c r="Y57" s="43">
        <v>1</v>
      </c>
      <c r="Z57" s="43" t="s">
        <v>2090</v>
      </c>
      <c r="AA57" s="43" t="s">
        <v>2090</v>
      </c>
      <c r="AB57" s="43" t="s">
        <v>2090</v>
      </c>
      <c r="AC57" s="43" t="s">
        <v>2090</v>
      </c>
      <c r="AD57" s="43">
        <v>0</v>
      </c>
      <c r="AE57" s="43">
        <v>0</v>
      </c>
      <c r="AF57" s="43">
        <v>0</v>
      </c>
      <c r="AG57" s="43">
        <v>0</v>
      </c>
      <c r="AH57" s="43">
        <v>0</v>
      </c>
      <c r="AI57" s="43">
        <v>1</v>
      </c>
      <c r="AJ57" s="43">
        <v>0</v>
      </c>
      <c r="AK57" s="43">
        <v>0</v>
      </c>
      <c r="AL57" s="43">
        <v>0</v>
      </c>
      <c r="AM57" s="43">
        <v>0</v>
      </c>
      <c r="AN57" s="43">
        <v>0</v>
      </c>
      <c r="AO57" s="43">
        <v>0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0</v>
      </c>
      <c r="AW57" s="43">
        <v>0</v>
      </c>
      <c r="AX57" s="43">
        <v>0</v>
      </c>
      <c r="AY57" s="43">
        <v>0</v>
      </c>
      <c r="AZ57" s="43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0</v>
      </c>
      <c r="BG57" s="43">
        <v>0</v>
      </c>
      <c r="BH57" s="43">
        <v>0</v>
      </c>
      <c r="BI57" s="43">
        <v>0</v>
      </c>
      <c r="BJ57" s="43" t="s">
        <v>2090</v>
      </c>
      <c r="BK57" s="43" t="s">
        <v>2090</v>
      </c>
      <c r="BL57" s="43" t="s">
        <v>2090</v>
      </c>
      <c r="BM57" s="43" t="s">
        <v>2090</v>
      </c>
      <c r="BN57" s="43" t="s">
        <v>2090</v>
      </c>
      <c r="BO57" s="43" t="s">
        <v>2090</v>
      </c>
      <c r="BP57" s="43" t="s">
        <v>2090</v>
      </c>
      <c r="BQ57" s="43" t="s">
        <v>2090</v>
      </c>
      <c r="BR57" s="43" t="s">
        <v>2090</v>
      </c>
      <c r="BS57" s="43" t="s">
        <v>2090</v>
      </c>
      <c r="BT57" s="43" t="s">
        <v>2090</v>
      </c>
      <c r="BU57" s="43" t="s">
        <v>2090</v>
      </c>
      <c r="BV57" s="43" t="s">
        <v>2091</v>
      </c>
      <c r="BW57" s="43" t="s">
        <v>2090</v>
      </c>
    </row>
    <row r="58" spans="1:75" ht="102.2" customHeight="1" x14ac:dyDescent="0.25">
      <c r="A58" s="38" t="s">
        <v>639</v>
      </c>
      <c r="B58" s="38" t="s">
        <v>1634</v>
      </c>
      <c r="C58" s="39" t="s">
        <v>640</v>
      </c>
      <c r="D58" s="40" t="s">
        <v>641</v>
      </c>
      <c r="E58" s="41">
        <v>56180.262069999997</v>
      </c>
      <c r="F58" s="41">
        <v>2797293.4652900002</v>
      </c>
      <c r="G58" s="41">
        <v>78701</v>
      </c>
      <c r="H58" s="41">
        <v>63126.8</v>
      </c>
      <c r="I58" s="42">
        <v>1.1805232614939722</v>
      </c>
      <c r="J58" s="41">
        <v>50732.59734</v>
      </c>
      <c r="K58" s="41">
        <v>2330743.7600799999</v>
      </c>
      <c r="L58" s="41">
        <v>253451.2</v>
      </c>
      <c r="M58" s="41">
        <v>219288.2</v>
      </c>
      <c r="N58" s="42">
        <v>1.0933462549885393</v>
      </c>
      <c r="O58" s="41">
        <v>0</v>
      </c>
      <c r="P58" s="41">
        <v>464134.96535000001</v>
      </c>
      <c r="Q58" s="41">
        <v>140887.20000000001</v>
      </c>
      <c r="R58" s="41">
        <v>303500.3</v>
      </c>
      <c r="S58" s="42">
        <v>0.42818849384968777</v>
      </c>
      <c r="T58" s="41">
        <v>60789.377659999998</v>
      </c>
      <c r="U58" s="41">
        <v>2736293.0269499999</v>
      </c>
      <c r="V58" s="41">
        <v>64497.7</v>
      </c>
      <c r="W58" s="41">
        <v>46431.5</v>
      </c>
      <c r="X58" s="42">
        <v>1.2565168214219953</v>
      </c>
      <c r="Y58" s="43">
        <v>1</v>
      </c>
      <c r="Z58" s="43" t="s">
        <v>2090</v>
      </c>
      <c r="AA58" s="43" t="s">
        <v>2090</v>
      </c>
      <c r="AB58" s="43" t="s">
        <v>2090</v>
      </c>
      <c r="AC58" s="43" t="s">
        <v>2091</v>
      </c>
      <c r="AD58" s="43">
        <v>0</v>
      </c>
      <c r="AE58" s="43">
        <v>0</v>
      </c>
      <c r="AF58" s="43">
        <v>0</v>
      </c>
      <c r="AG58" s="43">
        <v>0</v>
      </c>
      <c r="AH58" s="43">
        <v>0</v>
      </c>
      <c r="AI58" s="43">
        <v>0</v>
      </c>
      <c r="AJ58" s="43">
        <v>0</v>
      </c>
      <c r="AK58" s="43">
        <v>0</v>
      </c>
      <c r="AL58" s="43">
        <v>0</v>
      </c>
      <c r="AM58" s="43">
        <v>0</v>
      </c>
      <c r="AN58" s="43">
        <v>0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0</v>
      </c>
      <c r="AW58" s="43">
        <v>0</v>
      </c>
      <c r="AX58" s="43">
        <v>0</v>
      </c>
      <c r="AY58" s="43">
        <v>0</v>
      </c>
      <c r="AZ58" s="43">
        <v>0</v>
      </c>
      <c r="BA58" s="43">
        <v>0</v>
      </c>
      <c r="BB58" s="43">
        <v>0</v>
      </c>
      <c r="BC58" s="43">
        <v>0</v>
      </c>
      <c r="BD58" s="43">
        <v>0</v>
      </c>
      <c r="BE58" s="43">
        <v>0</v>
      </c>
      <c r="BF58" s="43">
        <v>0</v>
      </c>
      <c r="BG58" s="43">
        <v>0</v>
      </c>
      <c r="BH58" s="43">
        <v>0</v>
      </c>
      <c r="BI58" s="43">
        <v>0</v>
      </c>
      <c r="BJ58" s="43" t="s">
        <v>2090</v>
      </c>
      <c r="BK58" s="43" t="s">
        <v>2090</v>
      </c>
      <c r="BL58" s="43" t="s">
        <v>2090</v>
      </c>
      <c r="BM58" s="43" t="s">
        <v>2090</v>
      </c>
      <c r="BN58" s="43" t="s">
        <v>2090</v>
      </c>
      <c r="BO58" s="43" t="s">
        <v>2090</v>
      </c>
      <c r="BP58" s="43" t="s">
        <v>2090</v>
      </c>
      <c r="BQ58" s="43" t="s">
        <v>2090</v>
      </c>
      <c r="BR58" s="43" t="s">
        <v>2090</v>
      </c>
      <c r="BS58" s="43" t="s">
        <v>2090</v>
      </c>
      <c r="BT58" s="43" t="s">
        <v>2090</v>
      </c>
      <c r="BU58" s="43" t="s">
        <v>2090</v>
      </c>
      <c r="BV58" s="43" t="s">
        <v>2090</v>
      </c>
      <c r="BW58" s="43" t="s">
        <v>2090</v>
      </c>
    </row>
    <row r="59" spans="1:75" ht="121.7" customHeight="1" x14ac:dyDescent="0.25">
      <c r="A59" s="38" t="s">
        <v>642</v>
      </c>
      <c r="B59" s="38" t="s">
        <v>1635</v>
      </c>
      <c r="C59" s="39" t="s">
        <v>643</v>
      </c>
      <c r="D59" s="40" t="s">
        <v>644</v>
      </c>
      <c r="E59" s="41">
        <v>59768.04017</v>
      </c>
      <c r="F59" s="41">
        <v>2897903.5829799999</v>
      </c>
      <c r="G59" s="41">
        <v>144249.79999999999</v>
      </c>
      <c r="H59" s="41">
        <v>112592.4</v>
      </c>
      <c r="I59" s="42">
        <v>1.2296707253944317</v>
      </c>
      <c r="J59" s="41">
        <v>0</v>
      </c>
      <c r="K59" s="41">
        <v>112357.60625</v>
      </c>
      <c r="L59" s="41">
        <v>237340.4</v>
      </c>
      <c r="M59" s="41">
        <v>374743.1</v>
      </c>
      <c r="N59" s="42">
        <v>0.58270059319388079</v>
      </c>
      <c r="O59" s="41">
        <v>17601.049930000001</v>
      </c>
      <c r="P59" s="41">
        <v>1577125.1943600001</v>
      </c>
      <c r="Q59" s="41">
        <v>61698.5</v>
      </c>
      <c r="R59" s="41">
        <v>73709.8</v>
      </c>
      <c r="S59" s="42">
        <v>0.79358418588520896</v>
      </c>
      <c r="T59" s="41">
        <v>39901.722020000001</v>
      </c>
      <c r="U59" s="41">
        <v>2269453.6154200002</v>
      </c>
      <c r="V59" s="41">
        <v>12788.2</v>
      </c>
      <c r="W59" s="41">
        <v>12364.4</v>
      </c>
      <c r="X59" s="42">
        <v>0.85279422649888981</v>
      </c>
      <c r="Y59" s="43">
        <v>1</v>
      </c>
      <c r="Z59" s="43" t="s">
        <v>2090</v>
      </c>
      <c r="AA59" s="43" t="s">
        <v>2090</v>
      </c>
      <c r="AB59" s="43" t="s">
        <v>2090</v>
      </c>
      <c r="AC59" s="43" t="s">
        <v>2090</v>
      </c>
      <c r="AD59" s="43">
        <v>0</v>
      </c>
      <c r="AE59" s="43">
        <v>0</v>
      </c>
      <c r="AF59" s="43">
        <v>0</v>
      </c>
      <c r="AG59" s="43">
        <v>0</v>
      </c>
      <c r="AH59" s="43">
        <v>0</v>
      </c>
      <c r="AI59" s="43">
        <v>0</v>
      </c>
      <c r="AJ59" s="43">
        <v>0</v>
      </c>
      <c r="AK59" s="43">
        <v>0</v>
      </c>
      <c r="AL59" s="43">
        <v>0</v>
      </c>
      <c r="AM59" s="43">
        <v>0</v>
      </c>
      <c r="AN59" s="43">
        <v>0</v>
      </c>
      <c r="AO59" s="43">
        <v>0</v>
      </c>
      <c r="AP59" s="43">
        <v>1</v>
      </c>
      <c r="AQ59" s="43">
        <v>0</v>
      </c>
      <c r="AR59" s="43">
        <v>0</v>
      </c>
      <c r="AS59" s="43">
        <v>0</v>
      </c>
      <c r="AT59" s="43">
        <v>0</v>
      </c>
      <c r="AU59" s="43">
        <v>0</v>
      </c>
      <c r="AV59" s="43">
        <v>0</v>
      </c>
      <c r="AW59" s="43">
        <v>0</v>
      </c>
      <c r="AX59" s="43">
        <v>0</v>
      </c>
      <c r="AY59" s="43">
        <v>0</v>
      </c>
      <c r="AZ59" s="43">
        <v>0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</v>
      </c>
      <c r="BG59" s="43">
        <v>0</v>
      </c>
      <c r="BH59" s="43">
        <v>0</v>
      </c>
      <c r="BI59" s="43">
        <v>0</v>
      </c>
      <c r="BJ59" s="43" t="s">
        <v>2090</v>
      </c>
      <c r="BK59" s="43" t="s">
        <v>2090</v>
      </c>
      <c r="BL59" s="43" t="s">
        <v>2090</v>
      </c>
      <c r="BM59" s="43" t="s">
        <v>2090</v>
      </c>
      <c r="BN59" s="43" t="s">
        <v>2090</v>
      </c>
      <c r="BO59" s="43" t="s">
        <v>2090</v>
      </c>
      <c r="BP59" s="43" t="s">
        <v>2090</v>
      </c>
      <c r="BQ59" s="43" t="s">
        <v>2090</v>
      </c>
      <c r="BR59" s="43" t="s">
        <v>2090</v>
      </c>
      <c r="BS59" s="43" t="s">
        <v>2090</v>
      </c>
      <c r="BT59" s="43" t="s">
        <v>2090</v>
      </c>
      <c r="BU59" s="43" t="s">
        <v>2090</v>
      </c>
      <c r="BV59" s="43" t="s">
        <v>2090</v>
      </c>
      <c r="BW59" s="43" t="s">
        <v>2090</v>
      </c>
    </row>
    <row r="60" spans="1:75" ht="109.7" customHeight="1" x14ac:dyDescent="0.25">
      <c r="A60" s="38" t="s">
        <v>645</v>
      </c>
      <c r="B60" s="38" t="s">
        <v>1636</v>
      </c>
      <c r="C60" s="39" t="s">
        <v>646</v>
      </c>
      <c r="D60" s="40" t="s">
        <v>647</v>
      </c>
      <c r="E60" s="41">
        <v>52217.317300000002</v>
      </c>
      <c r="F60" s="41">
        <v>2777057.4117200002</v>
      </c>
      <c r="G60" s="41">
        <v>308367.90000000002</v>
      </c>
      <c r="H60" s="41">
        <v>293216.5</v>
      </c>
      <c r="I60" s="42">
        <v>1.0545102176891683</v>
      </c>
      <c r="J60" s="41">
        <v>2782.1774799999998</v>
      </c>
      <c r="K60" s="41">
        <v>401661.25527999998</v>
      </c>
      <c r="L60" s="41">
        <v>97729.600000000006</v>
      </c>
      <c r="M60" s="41">
        <v>254305.6</v>
      </c>
      <c r="N60" s="42">
        <v>0.35628892931874606</v>
      </c>
      <c r="O60" s="41">
        <v>0</v>
      </c>
      <c r="P60" s="41">
        <v>618933.55526000005</v>
      </c>
      <c r="Q60" s="41">
        <v>25169.9</v>
      </c>
      <c r="R60" s="41">
        <v>66889.5</v>
      </c>
      <c r="S60" s="42">
        <v>0.36015559004380882</v>
      </c>
      <c r="T60" s="41">
        <v>28374.469870000001</v>
      </c>
      <c r="U60" s="41">
        <v>1967523.0313299999</v>
      </c>
      <c r="V60" s="41">
        <v>72574.7</v>
      </c>
      <c r="W60" s="41">
        <v>85772.2</v>
      </c>
      <c r="X60" s="42">
        <v>0.80444417914011557</v>
      </c>
      <c r="Y60" s="43">
        <v>1</v>
      </c>
      <c r="Z60" s="43" t="s">
        <v>2090</v>
      </c>
      <c r="AA60" s="43" t="s">
        <v>2090</v>
      </c>
      <c r="AB60" s="43" t="s">
        <v>2090</v>
      </c>
      <c r="AC60" s="43" t="s">
        <v>2090</v>
      </c>
      <c r="AD60" s="43">
        <v>0</v>
      </c>
      <c r="AE60" s="43">
        <v>0</v>
      </c>
      <c r="AF60" s="43">
        <v>0</v>
      </c>
      <c r="AG60" s="43">
        <v>0</v>
      </c>
      <c r="AH60" s="43">
        <v>0</v>
      </c>
      <c r="AI60" s="43">
        <v>0</v>
      </c>
      <c r="AJ60" s="43">
        <v>0</v>
      </c>
      <c r="AK60" s="43">
        <v>0</v>
      </c>
      <c r="AL60" s="43">
        <v>0</v>
      </c>
      <c r="AM60" s="43">
        <v>0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1</v>
      </c>
      <c r="AW60" s="43">
        <v>0</v>
      </c>
      <c r="AX60" s="43">
        <v>0</v>
      </c>
      <c r="AY60" s="43">
        <v>0</v>
      </c>
      <c r="AZ60" s="43">
        <v>0</v>
      </c>
      <c r="BA60" s="43">
        <v>0</v>
      </c>
      <c r="BB60" s="43">
        <v>0</v>
      </c>
      <c r="BC60" s="43">
        <v>0</v>
      </c>
      <c r="BD60" s="43">
        <v>0</v>
      </c>
      <c r="BE60" s="43">
        <v>0</v>
      </c>
      <c r="BF60" s="43">
        <v>0</v>
      </c>
      <c r="BG60" s="43">
        <v>0</v>
      </c>
      <c r="BH60" s="43">
        <v>0</v>
      </c>
      <c r="BI60" s="43">
        <v>0</v>
      </c>
      <c r="BJ60" s="43" t="s">
        <v>2090</v>
      </c>
      <c r="BK60" s="43" t="s">
        <v>2090</v>
      </c>
      <c r="BL60" s="43" t="s">
        <v>2090</v>
      </c>
      <c r="BM60" s="43" t="s">
        <v>2090</v>
      </c>
      <c r="BN60" s="43" t="s">
        <v>2090</v>
      </c>
      <c r="BO60" s="43" t="s">
        <v>2090</v>
      </c>
      <c r="BP60" s="43" t="s">
        <v>2090</v>
      </c>
      <c r="BQ60" s="43" t="s">
        <v>2090</v>
      </c>
      <c r="BR60" s="43" t="s">
        <v>2090</v>
      </c>
      <c r="BS60" s="43" t="s">
        <v>2090</v>
      </c>
      <c r="BT60" s="43" t="s">
        <v>2090</v>
      </c>
      <c r="BU60" s="43" t="s">
        <v>2090</v>
      </c>
      <c r="BV60" s="43" t="s">
        <v>2090</v>
      </c>
      <c r="BW60" s="43" t="s">
        <v>2090</v>
      </c>
    </row>
    <row r="61" spans="1:75" ht="117.95" customHeight="1" x14ac:dyDescent="0.25">
      <c r="A61" s="38" t="s">
        <v>648</v>
      </c>
      <c r="B61" s="38" t="s">
        <v>1637</v>
      </c>
      <c r="C61" s="39" t="s">
        <v>649</v>
      </c>
      <c r="D61" s="40" t="s">
        <v>650</v>
      </c>
      <c r="E61" s="41">
        <v>49864.196109999997</v>
      </c>
      <c r="F61" s="41">
        <v>2664725.6822700002</v>
      </c>
      <c r="G61" s="41">
        <v>239694.2</v>
      </c>
      <c r="H61" s="41">
        <v>204201.1</v>
      </c>
      <c r="I61" s="42">
        <v>1.1392323183010922</v>
      </c>
      <c r="J61" s="41">
        <v>17494.06194</v>
      </c>
      <c r="K61" s="41">
        <v>1378791.36039</v>
      </c>
      <c r="L61" s="41">
        <v>242665.5</v>
      </c>
      <c r="M61" s="41">
        <v>320199.90000000002</v>
      </c>
      <c r="N61" s="42">
        <v>0.70540689417416436</v>
      </c>
      <c r="O61" s="41">
        <v>0</v>
      </c>
      <c r="P61" s="41">
        <v>345547.59761</v>
      </c>
      <c r="Q61" s="41">
        <v>26419.200000000001</v>
      </c>
      <c r="R61" s="41">
        <v>73367.199999999997</v>
      </c>
      <c r="S61" s="42">
        <v>0.34965303875128906</v>
      </c>
      <c r="T61" s="41">
        <v>56799.112330000004</v>
      </c>
      <c r="U61" s="41">
        <v>2662994.4301300002</v>
      </c>
      <c r="V61" s="41">
        <v>143850.5</v>
      </c>
      <c r="W61" s="41">
        <v>111752.6</v>
      </c>
      <c r="X61" s="42">
        <v>1.1800632258204691</v>
      </c>
      <c r="Y61" s="43">
        <v>1</v>
      </c>
      <c r="Z61" s="43" t="s">
        <v>2090</v>
      </c>
      <c r="AA61" s="43" t="s">
        <v>2090</v>
      </c>
      <c r="AB61" s="43" t="s">
        <v>2090</v>
      </c>
      <c r="AC61" s="43" t="s">
        <v>2090</v>
      </c>
      <c r="AD61" s="43">
        <v>0</v>
      </c>
      <c r="AE61" s="43">
        <v>0</v>
      </c>
      <c r="AF61" s="43">
        <v>0</v>
      </c>
      <c r="AG61" s="43">
        <v>0</v>
      </c>
      <c r="AH61" s="43">
        <v>0</v>
      </c>
      <c r="AI61" s="43">
        <v>0</v>
      </c>
      <c r="AJ61" s="43">
        <v>0</v>
      </c>
      <c r="AK61" s="43">
        <v>0</v>
      </c>
      <c r="AL61" s="43">
        <v>0</v>
      </c>
      <c r="AM61" s="43">
        <v>0</v>
      </c>
      <c r="AN61" s="43">
        <v>0</v>
      </c>
      <c r="AO61" s="43">
        <v>0</v>
      </c>
      <c r="AP61" s="43">
        <v>0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1</v>
      </c>
      <c r="AW61" s="43">
        <v>0</v>
      </c>
      <c r="AX61" s="43">
        <v>0</v>
      </c>
      <c r="AY61" s="43">
        <v>0</v>
      </c>
      <c r="AZ61" s="43">
        <v>0</v>
      </c>
      <c r="BA61" s="43">
        <v>0</v>
      </c>
      <c r="BB61" s="43">
        <v>0</v>
      </c>
      <c r="BC61" s="43">
        <v>0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 t="s">
        <v>2090</v>
      </c>
      <c r="BK61" s="43" t="s">
        <v>2090</v>
      </c>
      <c r="BL61" s="43" t="s">
        <v>2090</v>
      </c>
      <c r="BM61" s="43" t="s">
        <v>2090</v>
      </c>
      <c r="BN61" s="43" t="s">
        <v>2090</v>
      </c>
      <c r="BO61" s="43" t="s">
        <v>2090</v>
      </c>
      <c r="BP61" s="43" t="s">
        <v>2090</v>
      </c>
      <c r="BQ61" s="43" t="s">
        <v>2090</v>
      </c>
      <c r="BR61" s="43" t="s">
        <v>2090</v>
      </c>
      <c r="BS61" s="43" t="s">
        <v>2090</v>
      </c>
      <c r="BT61" s="43" t="s">
        <v>2090</v>
      </c>
      <c r="BU61" s="43" t="s">
        <v>2090</v>
      </c>
      <c r="BV61" s="43" t="s">
        <v>2090</v>
      </c>
      <c r="BW61" s="43" t="s">
        <v>2090</v>
      </c>
    </row>
    <row r="62" spans="1:75" ht="126.95" customHeight="1" x14ac:dyDescent="0.25">
      <c r="A62" s="38" t="s">
        <v>651</v>
      </c>
      <c r="B62" s="38" t="s">
        <v>1638</v>
      </c>
      <c r="C62" s="39" t="s">
        <v>652</v>
      </c>
      <c r="D62" s="40" t="s">
        <v>653</v>
      </c>
      <c r="E62" s="41">
        <v>45981.683340000003</v>
      </c>
      <c r="F62" s="41">
        <v>2586869.7409600001</v>
      </c>
      <c r="G62" s="41">
        <v>238005.8</v>
      </c>
      <c r="H62" s="41">
        <v>213644.6</v>
      </c>
      <c r="I62" s="42">
        <v>1.0915473637651378</v>
      </c>
      <c r="J62" s="41">
        <v>0</v>
      </c>
      <c r="K62" s="41">
        <v>1566.6033</v>
      </c>
      <c r="L62" s="41">
        <v>84692.7</v>
      </c>
      <c r="M62" s="41">
        <v>383949.6</v>
      </c>
      <c r="N62" s="42">
        <v>0.20070768686871818</v>
      </c>
      <c r="O62" s="41">
        <v>0</v>
      </c>
      <c r="P62" s="41">
        <v>108080.98489000001</v>
      </c>
      <c r="Q62" s="41">
        <v>200830.1</v>
      </c>
      <c r="R62" s="41">
        <v>436364.79999999999</v>
      </c>
      <c r="S62" s="42">
        <v>0.42680169649094818</v>
      </c>
      <c r="T62" s="41">
        <v>2986.18541</v>
      </c>
      <c r="U62" s="41">
        <v>471316.70845999999</v>
      </c>
      <c r="V62" s="41">
        <v>115077.6</v>
      </c>
      <c r="W62" s="41">
        <v>353644.9</v>
      </c>
      <c r="X62" s="42">
        <v>0.30790082899340515</v>
      </c>
      <c r="Y62" s="43">
        <v>1</v>
      </c>
      <c r="Z62" s="43" t="s">
        <v>2090</v>
      </c>
      <c r="AA62" s="43" t="s">
        <v>2090</v>
      </c>
      <c r="AB62" s="43" t="s">
        <v>2090</v>
      </c>
      <c r="AC62" s="43" t="s">
        <v>2090</v>
      </c>
      <c r="AD62" s="43">
        <v>0</v>
      </c>
      <c r="AE62" s="43">
        <v>0</v>
      </c>
      <c r="AF62" s="43">
        <v>0</v>
      </c>
      <c r="AG62" s="43">
        <v>0</v>
      </c>
      <c r="AH62" s="43">
        <v>0</v>
      </c>
      <c r="AI62" s="43">
        <v>0</v>
      </c>
      <c r="AJ62" s="43">
        <v>0</v>
      </c>
      <c r="AK62" s="43">
        <v>0</v>
      </c>
      <c r="AL62" s="43">
        <v>0</v>
      </c>
      <c r="AM62" s="43">
        <v>0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1</v>
      </c>
      <c r="AW62" s="43">
        <v>0</v>
      </c>
      <c r="AX62" s="43">
        <v>0</v>
      </c>
      <c r="AY62" s="43">
        <v>0</v>
      </c>
      <c r="AZ62" s="43">
        <v>0</v>
      </c>
      <c r="BA62" s="43">
        <v>0</v>
      </c>
      <c r="BB62" s="43">
        <v>0</v>
      </c>
      <c r="BC62" s="43">
        <v>0</v>
      </c>
      <c r="BD62" s="43">
        <v>0</v>
      </c>
      <c r="BE62" s="43">
        <v>0</v>
      </c>
      <c r="BF62" s="43">
        <v>0</v>
      </c>
      <c r="BG62" s="43">
        <v>0</v>
      </c>
      <c r="BH62" s="43">
        <v>0</v>
      </c>
      <c r="BI62" s="43">
        <v>0</v>
      </c>
      <c r="BJ62" s="43" t="s">
        <v>2090</v>
      </c>
      <c r="BK62" s="43" t="s">
        <v>2090</v>
      </c>
      <c r="BL62" s="43" t="s">
        <v>2090</v>
      </c>
      <c r="BM62" s="43" t="s">
        <v>2090</v>
      </c>
      <c r="BN62" s="43" t="s">
        <v>2090</v>
      </c>
      <c r="BO62" s="43" t="s">
        <v>2090</v>
      </c>
      <c r="BP62" s="43" t="s">
        <v>2090</v>
      </c>
      <c r="BQ62" s="43" t="s">
        <v>2090</v>
      </c>
      <c r="BR62" s="43" t="s">
        <v>2090</v>
      </c>
      <c r="BS62" s="43" t="s">
        <v>2090</v>
      </c>
      <c r="BT62" s="43" t="s">
        <v>2090</v>
      </c>
      <c r="BU62" s="43" t="s">
        <v>2090</v>
      </c>
      <c r="BV62" s="43" t="s">
        <v>2090</v>
      </c>
      <c r="BW62" s="43" t="s">
        <v>2090</v>
      </c>
    </row>
    <row r="63" spans="1:75" ht="109.7" customHeight="1" x14ac:dyDescent="0.25">
      <c r="A63" s="38" t="s">
        <v>654</v>
      </c>
      <c r="B63" s="38" t="s">
        <v>1639</v>
      </c>
      <c r="C63" s="39" t="s">
        <v>655</v>
      </c>
      <c r="D63" s="40" t="s">
        <v>656</v>
      </c>
      <c r="E63" s="41">
        <v>52307.491390000003</v>
      </c>
      <c r="F63" s="41">
        <v>2715851.19881</v>
      </c>
      <c r="G63" s="41">
        <v>372171.9</v>
      </c>
      <c r="H63" s="41">
        <v>282496</v>
      </c>
      <c r="I63" s="42">
        <v>1.288398508627417</v>
      </c>
      <c r="J63" s="41">
        <v>51188.253409999998</v>
      </c>
      <c r="K63" s="41">
        <v>2333166.0664400002</v>
      </c>
      <c r="L63" s="41">
        <v>217796.5</v>
      </c>
      <c r="M63" s="41">
        <v>165221.9</v>
      </c>
      <c r="N63" s="42">
        <v>1.2193054136874362</v>
      </c>
      <c r="O63" s="41">
        <v>88812.909010000003</v>
      </c>
      <c r="P63" s="41">
        <v>3102750.5486400002</v>
      </c>
      <c r="Q63" s="41">
        <v>348335.1</v>
      </c>
      <c r="R63" s="41">
        <v>225613.7</v>
      </c>
      <c r="S63" s="42">
        <v>1.5146560669364182</v>
      </c>
      <c r="T63" s="41">
        <v>71961.984429999997</v>
      </c>
      <c r="U63" s="41">
        <v>2898228.5160599998</v>
      </c>
      <c r="V63" s="41">
        <v>241851.9</v>
      </c>
      <c r="W63" s="41">
        <v>149629.70000000001</v>
      </c>
      <c r="X63" s="42">
        <v>1.3828346523339965</v>
      </c>
      <c r="Y63" s="43">
        <v>1</v>
      </c>
      <c r="Z63" s="43" t="s">
        <v>2090</v>
      </c>
      <c r="AA63" s="43" t="s">
        <v>2090</v>
      </c>
      <c r="AB63" s="43" t="s">
        <v>2090</v>
      </c>
      <c r="AC63" s="43" t="s">
        <v>2090</v>
      </c>
      <c r="AD63" s="43">
        <v>0</v>
      </c>
      <c r="AE63" s="43">
        <v>0</v>
      </c>
      <c r="AF63" s="43">
        <v>0</v>
      </c>
      <c r="AG63" s="43">
        <v>0</v>
      </c>
      <c r="AH63" s="43">
        <v>0</v>
      </c>
      <c r="AI63" s="43">
        <v>0</v>
      </c>
      <c r="AJ63" s="43">
        <v>0</v>
      </c>
      <c r="AK63" s="43">
        <v>0</v>
      </c>
      <c r="AL63" s="43">
        <v>1</v>
      </c>
      <c r="AM63" s="43">
        <v>0</v>
      </c>
      <c r="AN63" s="43">
        <v>0</v>
      </c>
      <c r="AO63" s="43">
        <v>0</v>
      </c>
      <c r="AP63" s="43">
        <v>0</v>
      </c>
      <c r="AQ63" s="43">
        <v>0</v>
      </c>
      <c r="AR63" s="43">
        <v>0</v>
      </c>
      <c r="AS63" s="43">
        <v>0</v>
      </c>
      <c r="AT63" s="43">
        <v>0</v>
      </c>
      <c r="AU63" s="43">
        <v>0</v>
      </c>
      <c r="AV63" s="43">
        <v>0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 t="s">
        <v>2090</v>
      </c>
      <c r="BK63" s="43" t="s">
        <v>2090</v>
      </c>
      <c r="BL63" s="43" t="s">
        <v>2090</v>
      </c>
      <c r="BM63" s="43" t="s">
        <v>2090</v>
      </c>
      <c r="BN63" s="43" t="s">
        <v>2090</v>
      </c>
      <c r="BO63" s="43" t="s">
        <v>2090</v>
      </c>
      <c r="BP63" s="43" t="s">
        <v>2090</v>
      </c>
      <c r="BQ63" s="43" t="s">
        <v>2090</v>
      </c>
      <c r="BR63" s="43" t="s">
        <v>2090</v>
      </c>
      <c r="BS63" s="43" t="s">
        <v>2090</v>
      </c>
      <c r="BT63" s="43" t="s">
        <v>2090</v>
      </c>
      <c r="BU63" s="43" t="s">
        <v>2090</v>
      </c>
      <c r="BV63" s="43" t="s">
        <v>2090</v>
      </c>
      <c r="BW63" s="43" t="s">
        <v>2090</v>
      </c>
    </row>
    <row r="64" spans="1:75" ht="135.94999999999999" customHeight="1" x14ac:dyDescent="0.25">
      <c r="A64" s="38" t="s">
        <v>657</v>
      </c>
      <c r="B64" s="38" t="s">
        <v>1640</v>
      </c>
      <c r="C64" s="39" t="s">
        <v>658</v>
      </c>
      <c r="D64" s="40" t="s">
        <v>659</v>
      </c>
      <c r="E64" s="41">
        <v>21630.08757</v>
      </c>
      <c r="F64" s="41">
        <v>1739251.38698</v>
      </c>
      <c r="G64" s="41">
        <v>407429.5</v>
      </c>
      <c r="H64" s="41">
        <v>510180.5</v>
      </c>
      <c r="I64" s="42">
        <v>0.75733755069240694</v>
      </c>
      <c r="J64" s="41">
        <v>12267.725179999999</v>
      </c>
      <c r="K64" s="41">
        <v>839210.97297</v>
      </c>
      <c r="L64" s="41">
        <v>222933</v>
      </c>
      <c r="M64" s="41">
        <v>366277.5</v>
      </c>
      <c r="N64" s="42">
        <v>0.56088919105317703</v>
      </c>
      <c r="O64" s="41">
        <v>9441.4690200000005</v>
      </c>
      <c r="P64" s="41">
        <v>1319309.15066</v>
      </c>
      <c r="Q64" s="41">
        <v>250199.5</v>
      </c>
      <c r="R64" s="41">
        <v>364741.4</v>
      </c>
      <c r="S64" s="42">
        <v>0.60805703461750715</v>
      </c>
      <c r="T64" s="41">
        <v>11033.383260000001</v>
      </c>
      <c r="U64" s="41">
        <v>785250.20319000003</v>
      </c>
      <c r="V64" s="41">
        <v>103329.8</v>
      </c>
      <c r="W64" s="41">
        <v>243097.9</v>
      </c>
      <c r="X64" s="42">
        <v>0.40290177998428972</v>
      </c>
      <c r="Y64" s="43">
        <v>2</v>
      </c>
      <c r="Z64" s="43" t="s">
        <v>2090</v>
      </c>
      <c r="AA64" s="43" t="s">
        <v>2091</v>
      </c>
      <c r="AB64" s="43" t="s">
        <v>2090</v>
      </c>
      <c r="AC64" s="43" t="s">
        <v>2090</v>
      </c>
      <c r="AD64" s="43">
        <v>0</v>
      </c>
      <c r="AE64" s="43">
        <v>0</v>
      </c>
      <c r="AF64" s="43">
        <v>0</v>
      </c>
      <c r="AG64" s="43">
        <v>0</v>
      </c>
      <c r="AH64" s="43">
        <v>0</v>
      </c>
      <c r="AI64" s="43">
        <v>0</v>
      </c>
      <c r="AJ64" s="43">
        <v>0</v>
      </c>
      <c r="AK64" s="43">
        <v>0</v>
      </c>
      <c r="AL64" s="43">
        <v>1</v>
      </c>
      <c r="AM64" s="43">
        <v>0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0</v>
      </c>
      <c r="AW64" s="43">
        <v>0</v>
      </c>
      <c r="AX64" s="43">
        <v>0</v>
      </c>
      <c r="AY64" s="43">
        <v>0</v>
      </c>
      <c r="AZ64" s="43">
        <v>0</v>
      </c>
      <c r="BA64" s="43">
        <v>0</v>
      </c>
      <c r="BB64" s="43">
        <v>0</v>
      </c>
      <c r="BC64" s="43">
        <v>0</v>
      </c>
      <c r="BD64" s="43">
        <v>0</v>
      </c>
      <c r="BE64" s="43">
        <v>0</v>
      </c>
      <c r="BF64" s="43">
        <v>0</v>
      </c>
      <c r="BG64" s="43">
        <v>0</v>
      </c>
      <c r="BH64" s="43">
        <v>0</v>
      </c>
      <c r="BI64" s="43">
        <v>0</v>
      </c>
      <c r="BJ64" s="43" t="s">
        <v>2090</v>
      </c>
      <c r="BK64" s="43" t="s">
        <v>2090</v>
      </c>
      <c r="BL64" s="43" t="s">
        <v>2090</v>
      </c>
      <c r="BM64" s="43" t="s">
        <v>2090</v>
      </c>
      <c r="BN64" s="43" t="s">
        <v>2090</v>
      </c>
      <c r="BO64" s="43" t="s">
        <v>2090</v>
      </c>
      <c r="BP64" s="43" t="s">
        <v>2090</v>
      </c>
      <c r="BQ64" s="43" t="s">
        <v>2090</v>
      </c>
      <c r="BR64" s="43" t="s">
        <v>2091</v>
      </c>
      <c r="BS64" s="43" t="s">
        <v>2090</v>
      </c>
      <c r="BT64" s="43" t="s">
        <v>2091</v>
      </c>
      <c r="BU64" s="43" t="s">
        <v>2090</v>
      </c>
      <c r="BV64" s="43" t="s">
        <v>2090</v>
      </c>
      <c r="BW64" s="43" t="s">
        <v>2090</v>
      </c>
    </row>
    <row r="65" spans="1:75" ht="168.2" customHeight="1" x14ac:dyDescent="0.25">
      <c r="A65" s="38" t="s">
        <v>660</v>
      </c>
      <c r="B65" s="38" t="s">
        <v>1641</v>
      </c>
      <c r="C65" s="39" t="s">
        <v>661</v>
      </c>
      <c r="D65" s="40" t="s">
        <v>662</v>
      </c>
      <c r="E65" s="41">
        <v>49401.16431</v>
      </c>
      <c r="F65" s="41">
        <v>2702404.0857099998</v>
      </c>
      <c r="G65" s="41">
        <v>268583.7</v>
      </c>
      <c r="H65" s="41">
        <v>217006.5</v>
      </c>
      <c r="I65" s="42">
        <v>1.2138144955551311</v>
      </c>
      <c r="J65" s="41">
        <v>56773.970370000003</v>
      </c>
      <c r="K65" s="41">
        <v>2445620.9021600001</v>
      </c>
      <c r="L65" s="41">
        <v>142606.39999999999</v>
      </c>
      <c r="M65" s="41">
        <v>106845.9</v>
      </c>
      <c r="N65" s="42">
        <v>1.2599185122800627</v>
      </c>
      <c r="O65" s="41">
        <v>101080.78724000001</v>
      </c>
      <c r="P65" s="41">
        <v>3373279.5367000001</v>
      </c>
      <c r="Q65" s="41">
        <v>40087.5</v>
      </c>
      <c r="R65" s="41">
        <v>24595.1</v>
      </c>
      <c r="S65" s="42">
        <v>1.6129585368388237</v>
      </c>
      <c r="T65" s="41">
        <v>72291.660969999997</v>
      </c>
      <c r="U65" s="41">
        <v>2886425.7061600001</v>
      </c>
      <c r="V65" s="41">
        <v>192141.1</v>
      </c>
      <c r="W65" s="41">
        <v>124396.8</v>
      </c>
      <c r="X65" s="42">
        <v>1.4024576988558004</v>
      </c>
      <c r="Y65" s="43">
        <v>1</v>
      </c>
      <c r="Z65" s="43" t="s">
        <v>2090</v>
      </c>
      <c r="AA65" s="43" t="s">
        <v>2090</v>
      </c>
      <c r="AB65" s="43" t="s">
        <v>2090</v>
      </c>
      <c r="AC65" s="43" t="s">
        <v>2090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>
        <v>0</v>
      </c>
      <c r="AJ65" s="43">
        <v>0</v>
      </c>
      <c r="AK65" s="43">
        <v>0</v>
      </c>
      <c r="AL65" s="43">
        <v>1</v>
      </c>
      <c r="AM65" s="43">
        <v>0</v>
      </c>
      <c r="AN65" s="43">
        <v>0</v>
      </c>
      <c r="AO65" s="43">
        <v>0</v>
      </c>
      <c r="AP65" s="43">
        <v>0</v>
      </c>
      <c r="AQ65" s="43">
        <v>0</v>
      </c>
      <c r="AR65" s="43">
        <v>0</v>
      </c>
      <c r="AS65" s="43">
        <v>0</v>
      </c>
      <c r="AT65" s="43">
        <v>0</v>
      </c>
      <c r="AU65" s="43">
        <v>0</v>
      </c>
      <c r="AV65" s="43">
        <v>0</v>
      </c>
      <c r="AW65" s="43">
        <v>0</v>
      </c>
      <c r="AX65" s="43">
        <v>0</v>
      </c>
      <c r="AY65" s="43">
        <v>0</v>
      </c>
      <c r="AZ65" s="43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 t="s">
        <v>2090</v>
      </c>
      <c r="BK65" s="43" t="s">
        <v>2090</v>
      </c>
      <c r="BL65" s="43" t="s">
        <v>2090</v>
      </c>
      <c r="BM65" s="43" t="s">
        <v>2090</v>
      </c>
      <c r="BN65" s="43" t="s">
        <v>2090</v>
      </c>
      <c r="BO65" s="43" t="s">
        <v>2090</v>
      </c>
      <c r="BP65" s="43" t="s">
        <v>2090</v>
      </c>
      <c r="BQ65" s="43" t="s">
        <v>2090</v>
      </c>
      <c r="BR65" s="43" t="s">
        <v>2090</v>
      </c>
      <c r="BS65" s="43" t="s">
        <v>2090</v>
      </c>
      <c r="BT65" s="43" t="s">
        <v>2090</v>
      </c>
      <c r="BU65" s="43" t="s">
        <v>2090</v>
      </c>
      <c r="BV65" s="43" t="s">
        <v>2090</v>
      </c>
      <c r="BW65" s="43" t="s">
        <v>2090</v>
      </c>
    </row>
    <row r="66" spans="1:75" ht="118.7" customHeight="1" x14ac:dyDescent="0.25">
      <c r="A66" s="38" t="s">
        <v>663</v>
      </c>
      <c r="B66" s="38" t="s">
        <v>1642</v>
      </c>
      <c r="C66" s="39" t="s">
        <v>664</v>
      </c>
      <c r="D66" s="40" t="s">
        <v>665</v>
      </c>
      <c r="E66" s="41">
        <v>47846.416949999999</v>
      </c>
      <c r="F66" s="41">
        <v>2670740.34974</v>
      </c>
      <c r="G66" s="41">
        <v>323424.7</v>
      </c>
      <c r="H66" s="41">
        <v>268706.5</v>
      </c>
      <c r="I66" s="42">
        <v>1.1755774049460725</v>
      </c>
      <c r="J66" s="41">
        <v>58262.893239999998</v>
      </c>
      <c r="K66" s="41">
        <v>2458199.8325800002</v>
      </c>
      <c r="L66" s="41">
        <v>133823.20000000001</v>
      </c>
      <c r="M66" s="41">
        <v>97350.7</v>
      </c>
      <c r="N66" s="42">
        <v>1.2779044974463232</v>
      </c>
      <c r="O66" s="41">
        <v>93696.876409999997</v>
      </c>
      <c r="P66" s="41">
        <v>3270156.0970800002</v>
      </c>
      <c r="Q66" s="41">
        <v>426733.3</v>
      </c>
      <c r="R66" s="41">
        <v>266037.90000000002</v>
      </c>
      <c r="S66" s="42">
        <v>1.55280999836628</v>
      </c>
      <c r="T66" s="41">
        <v>71183.678690000001</v>
      </c>
      <c r="U66" s="41">
        <v>2921202.4269400002</v>
      </c>
      <c r="V66" s="41">
        <v>205561.5</v>
      </c>
      <c r="W66" s="41">
        <v>132381.20000000001</v>
      </c>
      <c r="X66" s="42">
        <v>1.3927975699260793</v>
      </c>
      <c r="Y66" s="43">
        <v>1</v>
      </c>
      <c r="Z66" s="43" t="s">
        <v>2090</v>
      </c>
      <c r="AA66" s="43" t="s">
        <v>2090</v>
      </c>
      <c r="AB66" s="43" t="s">
        <v>2090</v>
      </c>
      <c r="AC66" s="43" t="s">
        <v>2090</v>
      </c>
      <c r="AD66" s="43">
        <v>0</v>
      </c>
      <c r="AE66" s="43">
        <v>0</v>
      </c>
      <c r="AF66" s="43">
        <v>0</v>
      </c>
      <c r="AG66" s="43">
        <v>0</v>
      </c>
      <c r="AH66" s="43">
        <v>0</v>
      </c>
      <c r="AI66" s="43">
        <v>0</v>
      </c>
      <c r="AJ66" s="43">
        <v>0</v>
      </c>
      <c r="AK66" s="43">
        <v>0</v>
      </c>
      <c r="AL66" s="43">
        <v>1</v>
      </c>
      <c r="AM66" s="43">
        <v>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0</v>
      </c>
      <c r="AW66" s="43">
        <v>0</v>
      </c>
      <c r="AX66" s="43">
        <v>0</v>
      </c>
      <c r="AY66" s="43">
        <v>0</v>
      </c>
      <c r="AZ66" s="43">
        <v>0</v>
      </c>
      <c r="BA66" s="43">
        <v>0</v>
      </c>
      <c r="BB66" s="43">
        <v>0</v>
      </c>
      <c r="BC66" s="43">
        <v>0</v>
      </c>
      <c r="BD66" s="43">
        <v>0</v>
      </c>
      <c r="BE66" s="43">
        <v>0</v>
      </c>
      <c r="BF66" s="43">
        <v>0</v>
      </c>
      <c r="BG66" s="43">
        <v>0</v>
      </c>
      <c r="BH66" s="43">
        <v>0</v>
      </c>
      <c r="BI66" s="43">
        <v>0</v>
      </c>
      <c r="BJ66" s="43" t="s">
        <v>2090</v>
      </c>
      <c r="BK66" s="43" t="s">
        <v>2090</v>
      </c>
      <c r="BL66" s="43" t="s">
        <v>2090</v>
      </c>
      <c r="BM66" s="43" t="s">
        <v>2090</v>
      </c>
      <c r="BN66" s="43" t="s">
        <v>2090</v>
      </c>
      <c r="BO66" s="43" t="s">
        <v>2090</v>
      </c>
      <c r="BP66" s="43" t="s">
        <v>2090</v>
      </c>
      <c r="BQ66" s="43" t="s">
        <v>2090</v>
      </c>
      <c r="BR66" s="43" t="s">
        <v>2090</v>
      </c>
      <c r="BS66" s="43" t="s">
        <v>2090</v>
      </c>
      <c r="BT66" s="43" t="s">
        <v>2090</v>
      </c>
      <c r="BU66" s="43" t="s">
        <v>2090</v>
      </c>
      <c r="BV66" s="43" t="s">
        <v>2090</v>
      </c>
      <c r="BW66" s="43" t="s">
        <v>2090</v>
      </c>
    </row>
    <row r="67" spans="1:75" ht="114.95" customHeight="1" x14ac:dyDescent="0.25">
      <c r="A67" s="38" t="s">
        <v>666</v>
      </c>
      <c r="B67" s="38" t="s">
        <v>1643</v>
      </c>
      <c r="C67" s="39" t="s">
        <v>667</v>
      </c>
      <c r="D67" s="40" t="s">
        <v>668</v>
      </c>
      <c r="E67" s="41">
        <v>51029.506950000003</v>
      </c>
      <c r="F67" s="41">
        <v>2681261.87231</v>
      </c>
      <c r="G67" s="41">
        <v>221115.4</v>
      </c>
      <c r="H67" s="41">
        <v>178382</v>
      </c>
      <c r="I67" s="42">
        <v>1.1965760862095034</v>
      </c>
      <c r="J67" s="41">
        <v>66446.555689999994</v>
      </c>
      <c r="K67" s="41">
        <v>2614852.62897</v>
      </c>
      <c r="L67" s="41">
        <v>264376.2</v>
      </c>
      <c r="M67" s="41">
        <v>186175.1</v>
      </c>
      <c r="N67" s="42">
        <v>1.3080334891702787</v>
      </c>
      <c r="O67" s="41">
        <v>19442.389579999999</v>
      </c>
      <c r="P67" s="41">
        <v>2527665.1265799999</v>
      </c>
      <c r="Q67" s="41">
        <v>367225.1</v>
      </c>
      <c r="R67" s="41">
        <v>302187.09999999998</v>
      </c>
      <c r="S67" s="42">
        <v>1.1764972758869641</v>
      </c>
      <c r="T67" s="41">
        <v>77293.288459999996</v>
      </c>
      <c r="U67" s="41">
        <v>2976376.5763599998</v>
      </c>
      <c r="V67" s="41">
        <v>67944.3</v>
      </c>
      <c r="W67" s="41">
        <v>42694.400000000001</v>
      </c>
      <c r="X67" s="42">
        <v>1.3166455586182919</v>
      </c>
      <c r="Y67" s="43">
        <v>1</v>
      </c>
      <c r="Z67" s="43" t="s">
        <v>2090</v>
      </c>
      <c r="AA67" s="43" t="s">
        <v>2090</v>
      </c>
      <c r="AB67" s="43" t="s">
        <v>2090</v>
      </c>
      <c r="AC67" s="43" t="s">
        <v>2090</v>
      </c>
      <c r="AD67" s="43">
        <v>0</v>
      </c>
      <c r="AE67" s="43">
        <v>0</v>
      </c>
      <c r="AF67" s="43">
        <v>0</v>
      </c>
      <c r="AG67" s="43">
        <v>0</v>
      </c>
      <c r="AH67" s="43">
        <v>0</v>
      </c>
      <c r="AI67" s="43">
        <v>0</v>
      </c>
      <c r="AJ67" s="43">
        <v>0</v>
      </c>
      <c r="AK67" s="43">
        <v>0</v>
      </c>
      <c r="AL67" s="43">
        <v>1</v>
      </c>
      <c r="AM67" s="43">
        <v>0</v>
      </c>
      <c r="AN67" s="43">
        <v>0</v>
      </c>
      <c r="AO67" s="43">
        <v>0</v>
      </c>
      <c r="AP67" s="43">
        <v>0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0</v>
      </c>
      <c r="AW67" s="43">
        <v>0</v>
      </c>
      <c r="AX67" s="43">
        <v>0</v>
      </c>
      <c r="AY67" s="43">
        <v>0</v>
      </c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3" t="s">
        <v>2090</v>
      </c>
      <c r="BK67" s="43" t="s">
        <v>2090</v>
      </c>
      <c r="BL67" s="43" t="s">
        <v>2090</v>
      </c>
      <c r="BM67" s="43" t="s">
        <v>2090</v>
      </c>
      <c r="BN67" s="43" t="s">
        <v>2090</v>
      </c>
      <c r="BO67" s="43" t="s">
        <v>2090</v>
      </c>
      <c r="BP67" s="43" t="s">
        <v>2090</v>
      </c>
      <c r="BQ67" s="43" t="s">
        <v>2090</v>
      </c>
      <c r="BR67" s="43" t="s">
        <v>2090</v>
      </c>
      <c r="BS67" s="43" t="s">
        <v>2090</v>
      </c>
      <c r="BT67" s="43" t="s">
        <v>2090</v>
      </c>
      <c r="BU67" s="43" t="s">
        <v>2090</v>
      </c>
      <c r="BV67" s="43" t="s">
        <v>2090</v>
      </c>
      <c r="BW67" s="43" t="s">
        <v>2090</v>
      </c>
    </row>
    <row r="68" spans="1:75" ht="143.44999999999999" customHeight="1" x14ac:dyDescent="0.25">
      <c r="A68" s="38" t="s">
        <v>669</v>
      </c>
      <c r="B68" s="38" t="s">
        <v>1644</v>
      </c>
      <c r="C68" s="39" t="s">
        <v>670</v>
      </c>
      <c r="D68" s="40" t="s">
        <v>671</v>
      </c>
      <c r="E68" s="41">
        <v>49073.547680000003</v>
      </c>
      <c r="F68" s="41">
        <v>2720263.51333</v>
      </c>
      <c r="G68" s="41">
        <v>13159.2</v>
      </c>
      <c r="H68" s="41">
        <v>12594.2</v>
      </c>
      <c r="I68" s="42">
        <v>1.0244174265450861</v>
      </c>
      <c r="J68" s="41">
        <v>48344.844899999996</v>
      </c>
      <c r="K68" s="41">
        <v>2262582.3856899999</v>
      </c>
      <c r="L68" s="41">
        <v>199996.4</v>
      </c>
      <c r="M68" s="41">
        <v>168072.9</v>
      </c>
      <c r="N68" s="42">
        <v>1.1300426765440053</v>
      </c>
      <c r="O68" s="41">
        <v>38379.739090000003</v>
      </c>
      <c r="P68" s="41">
        <v>2475607.4933799999</v>
      </c>
      <c r="Q68" s="41">
        <v>69351.5</v>
      </c>
      <c r="R68" s="41">
        <v>57526.6</v>
      </c>
      <c r="S68" s="42">
        <v>1.1812453752494563</v>
      </c>
      <c r="T68" s="41">
        <v>73212.053199999995</v>
      </c>
      <c r="U68" s="41">
        <v>2977720.6247999999</v>
      </c>
      <c r="V68" s="41">
        <v>81881.8</v>
      </c>
      <c r="W68" s="41">
        <v>48736.800000000003</v>
      </c>
      <c r="X68" s="42">
        <v>1.2879965189283271</v>
      </c>
      <c r="Y68" s="43">
        <v>1</v>
      </c>
      <c r="Z68" s="43" t="s">
        <v>2090</v>
      </c>
      <c r="AA68" s="43" t="s">
        <v>2090</v>
      </c>
      <c r="AB68" s="43" t="s">
        <v>2090</v>
      </c>
      <c r="AC68" s="43" t="s">
        <v>2090</v>
      </c>
      <c r="AD68" s="43">
        <v>0</v>
      </c>
      <c r="AE68" s="43">
        <v>0</v>
      </c>
      <c r="AF68" s="43">
        <v>0</v>
      </c>
      <c r="AG68" s="43">
        <v>0</v>
      </c>
      <c r="AH68" s="43">
        <v>0</v>
      </c>
      <c r="AI68" s="43">
        <v>0</v>
      </c>
      <c r="AJ68" s="43">
        <v>0</v>
      </c>
      <c r="AK68" s="43">
        <v>0</v>
      </c>
      <c r="AL68" s="43">
        <v>0</v>
      </c>
      <c r="AM68" s="43">
        <v>0</v>
      </c>
      <c r="AN68" s="43">
        <v>0</v>
      </c>
      <c r="AO68" s="43">
        <v>1</v>
      </c>
      <c r="AP68" s="43">
        <v>0</v>
      </c>
      <c r="AQ68" s="43">
        <v>0</v>
      </c>
      <c r="AR68" s="43">
        <v>0</v>
      </c>
      <c r="AS68" s="43">
        <v>0</v>
      </c>
      <c r="AT68" s="43">
        <v>0</v>
      </c>
      <c r="AU68" s="43">
        <v>0</v>
      </c>
      <c r="AV68" s="43">
        <v>0</v>
      </c>
      <c r="AW68" s="43">
        <v>0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 t="s">
        <v>2090</v>
      </c>
      <c r="BK68" s="43" t="s">
        <v>2090</v>
      </c>
      <c r="BL68" s="43" t="s">
        <v>2090</v>
      </c>
      <c r="BM68" s="43" t="s">
        <v>2090</v>
      </c>
      <c r="BN68" s="43" t="s">
        <v>2090</v>
      </c>
      <c r="BO68" s="43" t="s">
        <v>2090</v>
      </c>
      <c r="BP68" s="43" t="s">
        <v>2090</v>
      </c>
      <c r="BQ68" s="43" t="s">
        <v>2090</v>
      </c>
      <c r="BR68" s="43" t="s">
        <v>2090</v>
      </c>
      <c r="BS68" s="43" t="s">
        <v>2090</v>
      </c>
      <c r="BT68" s="43" t="s">
        <v>2090</v>
      </c>
      <c r="BU68" s="43" t="s">
        <v>2090</v>
      </c>
      <c r="BV68" s="43" t="s">
        <v>2090</v>
      </c>
      <c r="BW68" s="43" t="s">
        <v>2090</v>
      </c>
    </row>
    <row r="69" spans="1:75" ht="160.69999999999999" customHeight="1" x14ac:dyDescent="0.25">
      <c r="A69" s="38" t="s">
        <v>672</v>
      </c>
      <c r="B69" s="38" t="s">
        <v>1645</v>
      </c>
      <c r="C69" s="39" t="s">
        <v>673</v>
      </c>
      <c r="D69" s="40" t="s">
        <v>674</v>
      </c>
      <c r="E69" s="41">
        <v>30163.516769999998</v>
      </c>
      <c r="F69" s="41">
        <v>1757379.6869600001</v>
      </c>
      <c r="G69" s="41">
        <v>43181.5</v>
      </c>
      <c r="H69" s="41">
        <v>51271.7</v>
      </c>
      <c r="I69" s="42">
        <v>0.8201528981616425</v>
      </c>
      <c r="J69" s="41">
        <v>0</v>
      </c>
      <c r="K69" s="41">
        <v>4138.1161499999998</v>
      </c>
      <c r="L69" s="41">
        <v>100270.8</v>
      </c>
      <c r="M69" s="41">
        <v>169613.1</v>
      </c>
      <c r="N69" s="42">
        <v>0.5594707150663083</v>
      </c>
      <c r="O69" s="41">
        <v>0</v>
      </c>
      <c r="P69" s="41">
        <v>39528.634160000001</v>
      </c>
      <c r="Q69" s="41">
        <v>28130.7</v>
      </c>
      <c r="R69" s="41">
        <v>65527.8</v>
      </c>
      <c r="S69" s="42">
        <v>0.45786511306408612</v>
      </c>
      <c r="T69" s="41">
        <v>3381.3722899999998</v>
      </c>
      <c r="U69" s="41">
        <v>546937.03052000003</v>
      </c>
      <c r="V69" s="41">
        <v>32273.200000000001</v>
      </c>
      <c r="W69" s="41">
        <v>90969.8</v>
      </c>
      <c r="X69" s="42">
        <v>0.35171477744973206</v>
      </c>
      <c r="Y69" s="43">
        <v>2</v>
      </c>
      <c r="Z69" s="43" t="s">
        <v>2091</v>
      </c>
      <c r="AA69" s="43" t="s">
        <v>2090</v>
      </c>
      <c r="AB69" s="43" t="s">
        <v>2090</v>
      </c>
      <c r="AC69" s="43" t="s">
        <v>2090</v>
      </c>
      <c r="AD69" s="43">
        <v>0</v>
      </c>
      <c r="AE69" s="43">
        <v>0</v>
      </c>
      <c r="AF69" s="43">
        <v>0</v>
      </c>
      <c r="AG69" s="43">
        <v>0</v>
      </c>
      <c r="AH69" s="43">
        <v>0</v>
      </c>
      <c r="AI69" s="43">
        <v>0</v>
      </c>
      <c r="AJ69" s="43">
        <v>0</v>
      </c>
      <c r="AK69" s="43">
        <v>0</v>
      </c>
      <c r="AL69" s="43">
        <v>0</v>
      </c>
      <c r="AM69" s="43">
        <v>0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43">
        <v>0</v>
      </c>
      <c r="AV69" s="43">
        <v>0</v>
      </c>
      <c r="AW69" s="43">
        <v>1</v>
      </c>
      <c r="AX69" s="43">
        <v>0</v>
      </c>
      <c r="AY69" s="43">
        <v>0</v>
      </c>
      <c r="AZ69" s="43">
        <v>0</v>
      </c>
      <c r="BA69" s="43">
        <v>0</v>
      </c>
      <c r="BB69" s="43">
        <v>0</v>
      </c>
      <c r="BC69" s="43">
        <v>0</v>
      </c>
      <c r="BD69" s="43">
        <v>0</v>
      </c>
      <c r="BE69" s="43">
        <v>0</v>
      </c>
      <c r="BF69" s="43">
        <v>0</v>
      </c>
      <c r="BG69" s="43">
        <v>0</v>
      </c>
      <c r="BH69" s="43">
        <v>0</v>
      </c>
      <c r="BI69" s="43">
        <v>0</v>
      </c>
      <c r="BJ69" s="43" t="s">
        <v>2090</v>
      </c>
      <c r="BK69" s="43" t="s">
        <v>2090</v>
      </c>
      <c r="BL69" s="43" t="s">
        <v>2090</v>
      </c>
      <c r="BM69" s="43" t="s">
        <v>2090</v>
      </c>
      <c r="BN69" s="43" t="s">
        <v>2090</v>
      </c>
      <c r="BO69" s="43" t="s">
        <v>2090</v>
      </c>
      <c r="BP69" s="43" t="s">
        <v>2090</v>
      </c>
      <c r="BQ69" s="43" t="s">
        <v>2090</v>
      </c>
      <c r="BR69" s="43" t="s">
        <v>2090</v>
      </c>
      <c r="BS69" s="43" t="s">
        <v>2090</v>
      </c>
      <c r="BT69" s="43" t="s">
        <v>2090</v>
      </c>
      <c r="BU69" s="43" t="s">
        <v>2090</v>
      </c>
      <c r="BV69" s="43" t="s">
        <v>2090</v>
      </c>
      <c r="BW69" s="43" t="s">
        <v>2090</v>
      </c>
    </row>
    <row r="70" spans="1:75" ht="121.7" customHeight="1" x14ac:dyDescent="0.25">
      <c r="A70" s="38" t="s">
        <v>675</v>
      </c>
      <c r="B70" s="38" t="s">
        <v>1646</v>
      </c>
      <c r="C70" s="39" t="s">
        <v>676</v>
      </c>
      <c r="D70" s="40" t="s">
        <v>677</v>
      </c>
      <c r="E70" s="41">
        <v>57642.896350000003</v>
      </c>
      <c r="F70" s="41">
        <v>2814382.6620100001</v>
      </c>
      <c r="G70" s="41">
        <v>177023.1</v>
      </c>
      <c r="H70" s="41">
        <v>129929</v>
      </c>
      <c r="I70" s="42">
        <v>1.3195717319833582</v>
      </c>
      <c r="J70" s="41">
        <v>13315.42049</v>
      </c>
      <c r="K70" s="41">
        <v>1182749.9673299999</v>
      </c>
      <c r="L70" s="41">
        <v>52042.9</v>
      </c>
      <c r="M70" s="41">
        <v>81648.899999999994</v>
      </c>
      <c r="N70" s="42">
        <v>0.61186844613918012</v>
      </c>
      <c r="O70" s="41">
        <v>0</v>
      </c>
      <c r="P70" s="41">
        <v>74699.363410000005</v>
      </c>
      <c r="Q70" s="41">
        <v>150409</v>
      </c>
      <c r="R70" s="41">
        <v>237976.6</v>
      </c>
      <c r="S70" s="42">
        <v>0.60356411888814643</v>
      </c>
      <c r="T70" s="41">
        <v>28564.115979999999</v>
      </c>
      <c r="U70" s="41">
        <v>1941897.1881299999</v>
      </c>
      <c r="V70" s="41">
        <v>28770</v>
      </c>
      <c r="W70" s="41">
        <v>31569.1</v>
      </c>
      <c r="X70" s="42">
        <v>0.84985970043077896</v>
      </c>
      <c r="Y70" s="43">
        <v>1</v>
      </c>
      <c r="Z70" s="43" t="s">
        <v>2090</v>
      </c>
      <c r="AA70" s="43" t="s">
        <v>2090</v>
      </c>
      <c r="AB70" s="43" t="s">
        <v>2090</v>
      </c>
      <c r="AC70" s="43" t="s">
        <v>2090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43">
        <v>0</v>
      </c>
      <c r="AM70" s="43">
        <v>0</v>
      </c>
      <c r="AN70" s="43">
        <v>0</v>
      </c>
      <c r="AO70" s="43">
        <v>1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0</v>
      </c>
      <c r="AW70" s="43">
        <v>0</v>
      </c>
      <c r="AX70" s="43">
        <v>0</v>
      </c>
      <c r="AY70" s="43">
        <v>0</v>
      </c>
      <c r="AZ70" s="43">
        <v>0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G70" s="43">
        <v>0</v>
      </c>
      <c r="BH70" s="43">
        <v>0</v>
      </c>
      <c r="BI70" s="43">
        <v>0</v>
      </c>
      <c r="BJ70" s="43" t="s">
        <v>2090</v>
      </c>
      <c r="BK70" s="43" t="s">
        <v>2090</v>
      </c>
      <c r="BL70" s="43" t="s">
        <v>2090</v>
      </c>
      <c r="BM70" s="43" t="s">
        <v>2090</v>
      </c>
      <c r="BN70" s="43" t="s">
        <v>2090</v>
      </c>
      <c r="BO70" s="43" t="s">
        <v>2090</v>
      </c>
      <c r="BP70" s="43" t="s">
        <v>2090</v>
      </c>
      <c r="BQ70" s="43" t="s">
        <v>2090</v>
      </c>
      <c r="BR70" s="43" t="s">
        <v>2090</v>
      </c>
      <c r="BS70" s="43" t="s">
        <v>2090</v>
      </c>
      <c r="BT70" s="43" t="s">
        <v>2090</v>
      </c>
      <c r="BU70" s="43" t="s">
        <v>2090</v>
      </c>
      <c r="BV70" s="43" t="s">
        <v>2090</v>
      </c>
      <c r="BW70" s="43" t="s">
        <v>2090</v>
      </c>
    </row>
    <row r="71" spans="1:75" ht="141.19999999999999" customHeight="1" x14ac:dyDescent="0.25">
      <c r="A71" s="38" t="s">
        <v>678</v>
      </c>
      <c r="B71" s="38" t="s">
        <v>1647</v>
      </c>
      <c r="C71" s="39" t="s">
        <v>679</v>
      </c>
      <c r="D71" s="40" t="s">
        <v>680</v>
      </c>
      <c r="E71" s="41">
        <v>47857.570319999999</v>
      </c>
      <c r="F71" s="41">
        <v>2614581.1902200002</v>
      </c>
      <c r="G71" s="41">
        <v>199172.4</v>
      </c>
      <c r="H71" s="41">
        <v>162538.1</v>
      </c>
      <c r="I71" s="42">
        <v>1.1747841052038555</v>
      </c>
      <c r="J71" s="41">
        <v>40142.683599999997</v>
      </c>
      <c r="K71" s="41">
        <v>2108263.3487200001</v>
      </c>
      <c r="L71" s="41">
        <v>126485.8</v>
      </c>
      <c r="M71" s="41">
        <v>111893.9</v>
      </c>
      <c r="N71" s="42">
        <v>1.0507601443727441</v>
      </c>
      <c r="O71" s="41">
        <v>8957.6646400000009</v>
      </c>
      <c r="P71" s="41">
        <v>1266034.47533</v>
      </c>
      <c r="Q71" s="41">
        <v>88450.2</v>
      </c>
      <c r="R71" s="41">
        <v>135296.29999999999</v>
      </c>
      <c r="S71" s="42">
        <v>0.63201980529754476</v>
      </c>
      <c r="T71" s="41">
        <v>42618.704729999998</v>
      </c>
      <c r="U71" s="41">
        <v>2348899.7322999998</v>
      </c>
      <c r="V71" s="41">
        <v>136466.4</v>
      </c>
      <c r="W71" s="41">
        <v>118054.2</v>
      </c>
      <c r="X71" s="42">
        <v>1.0622753755260437</v>
      </c>
      <c r="Y71" s="43">
        <v>1</v>
      </c>
      <c r="Z71" s="43" t="s">
        <v>2090</v>
      </c>
      <c r="AA71" s="43" t="s">
        <v>2090</v>
      </c>
      <c r="AB71" s="43" t="s">
        <v>2091</v>
      </c>
      <c r="AC71" s="43" t="s">
        <v>2090</v>
      </c>
      <c r="AD71" s="43">
        <v>0</v>
      </c>
      <c r="AE71" s="43">
        <v>0</v>
      </c>
      <c r="AF71" s="43">
        <v>0</v>
      </c>
      <c r="AG71" s="43">
        <v>0</v>
      </c>
      <c r="AH71" s="43">
        <v>0</v>
      </c>
      <c r="AI71" s="43">
        <v>0</v>
      </c>
      <c r="AJ71" s="43">
        <v>0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0</v>
      </c>
      <c r="AS71" s="43">
        <v>0</v>
      </c>
      <c r="AT71" s="43">
        <v>0</v>
      </c>
      <c r="AU71" s="43">
        <v>0</v>
      </c>
      <c r="AV71" s="43">
        <v>0</v>
      </c>
      <c r="AW71" s="43">
        <v>0</v>
      </c>
      <c r="AX71" s="43">
        <v>0</v>
      </c>
      <c r="AY71" s="43">
        <v>0</v>
      </c>
      <c r="AZ71" s="43">
        <v>0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 t="s">
        <v>2090</v>
      </c>
      <c r="BK71" s="43" t="s">
        <v>2090</v>
      </c>
      <c r="BL71" s="43" t="s">
        <v>2090</v>
      </c>
      <c r="BM71" s="43" t="s">
        <v>2090</v>
      </c>
      <c r="BN71" s="43" t="s">
        <v>2090</v>
      </c>
      <c r="BO71" s="43" t="s">
        <v>2090</v>
      </c>
      <c r="BP71" s="43" t="s">
        <v>2090</v>
      </c>
      <c r="BQ71" s="43" t="s">
        <v>2090</v>
      </c>
      <c r="BR71" s="43" t="s">
        <v>2090</v>
      </c>
      <c r="BS71" s="43" t="s">
        <v>2090</v>
      </c>
      <c r="BT71" s="43" t="s">
        <v>2090</v>
      </c>
      <c r="BU71" s="43" t="s">
        <v>2090</v>
      </c>
      <c r="BV71" s="43" t="s">
        <v>2090</v>
      </c>
      <c r="BW71" s="43" t="s">
        <v>2090</v>
      </c>
    </row>
    <row r="72" spans="1:75" ht="110.45" customHeight="1" x14ac:dyDescent="0.25">
      <c r="A72" s="38" t="s">
        <v>681</v>
      </c>
      <c r="B72" s="38" t="s">
        <v>1648</v>
      </c>
      <c r="C72" s="39" t="s">
        <v>682</v>
      </c>
      <c r="D72" s="40" t="s">
        <v>683</v>
      </c>
      <c r="E72" s="41">
        <v>51100.481390000001</v>
      </c>
      <c r="F72" s="41">
        <v>2649358.27458</v>
      </c>
      <c r="G72" s="41">
        <v>127677</v>
      </c>
      <c r="H72" s="41">
        <v>98653.6</v>
      </c>
      <c r="I72" s="42">
        <v>1.2355082609913188</v>
      </c>
      <c r="J72" s="41">
        <v>49023.283539999997</v>
      </c>
      <c r="K72" s="41">
        <v>2327260.31966</v>
      </c>
      <c r="L72" s="41">
        <v>314368.2</v>
      </c>
      <c r="M72" s="41">
        <v>246892</v>
      </c>
      <c r="N72" s="42">
        <v>1.2095356433865465</v>
      </c>
      <c r="O72" s="41">
        <v>83495.808940000003</v>
      </c>
      <c r="P72" s="41">
        <v>3217754.94514</v>
      </c>
      <c r="Q72" s="41">
        <v>380956.9</v>
      </c>
      <c r="R72" s="41">
        <v>253220.5</v>
      </c>
      <c r="S72" s="42">
        <v>1.4617958090481478</v>
      </c>
      <c r="T72" s="41">
        <v>62482.307229999999</v>
      </c>
      <c r="U72" s="41">
        <v>2761048.70151</v>
      </c>
      <c r="V72" s="41">
        <v>82435.199999999997</v>
      </c>
      <c r="W72" s="41">
        <v>53513.8</v>
      </c>
      <c r="X72" s="42">
        <v>1.3572520069732905</v>
      </c>
      <c r="Y72" s="43">
        <v>1</v>
      </c>
      <c r="Z72" s="43" t="s">
        <v>2090</v>
      </c>
      <c r="AA72" s="43" t="s">
        <v>2090</v>
      </c>
      <c r="AB72" s="43" t="s">
        <v>2090</v>
      </c>
      <c r="AC72" s="43" t="s">
        <v>2090</v>
      </c>
      <c r="AD72" s="43">
        <v>0</v>
      </c>
      <c r="AE72" s="43">
        <v>0</v>
      </c>
      <c r="AF72" s="43">
        <v>0</v>
      </c>
      <c r="AG72" s="43">
        <v>0</v>
      </c>
      <c r="AH72" s="43">
        <v>0</v>
      </c>
      <c r="AI72" s="43">
        <v>0</v>
      </c>
      <c r="AJ72" s="43">
        <v>0</v>
      </c>
      <c r="AK72" s="43">
        <v>0</v>
      </c>
      <c r="AL72" s="43">
        <v>0</v>
      </c>
      <c r="AM72" s="43">
        <v>0</v>
      </c>
      <c r="AN72" s="43">
        <v>0</v>
      </c>
      <c r="AO72" s="43">
        <v>0</v>
      </c>
      <c r="AP72" s="43">
        <v>0</v>
      </c>
      <c r="AQ72" s="43">
        <v>0</v>
      </c>
      <c r="AR72" s="43">
        <v>0</v>
      </c>
      <c r="AS72" s="43">
        <v>0</v>
      </c>
      <c r="AT72" s="43">
        <v>0</v>
      </c>
      <c r="AU72" s="43">
        <v>0</v>
      </c>
      <c r="AV72" s="43">
        <v>0</v>
      </c>
      <c r="AW72" s="43">
        <v>0</v>
      </c>
      <c r="AX72" s="43">
        <v>0</v>
      </c>
      <c r="AY72" s="43">
        <v>0</v>
      </c>
      <c r="AZ72" s="43">
        <v>0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0</v>
      </c>
      <c r="BG72" s="43">
        <v>0</v>
      </c>
      <c r="BH72" s="43">
        <v>0</v>
      </c>
      <c r="BI72" s="43">
        <v>1</v>
      </c>
      <c r="BJ72" s="43" t="s">
        <v>2090</v>
      </c>
      <c r="BK72" s="43" t="s">
        <v>2090</v>
      </c>
      <c r="BL72" s="43" t="s">
        <v>2090</v>
      </c>
      <c r="BM72" s="43" t="s">
        <v>2090</v>
      </c>
      <c r="BN72" s="43" t="s">
        <v>2090</v>
      </c>
      <c r="BO72" s="43" t="s">
        <v>2090</v>
      </c>
      <c r="BP72" s="43" t="s">
        <v>2090</v>
      </c>
      <c r="BQ72" s="43" t="s">
        <v>2090</v>
      </c>
      <c r="BR72" s="43" t="s">
        <v>2090</v>
      </c>
      <c r="BS72" s="43" t="s">
        <v>2090</v>
      </c>
      <c r="BT72" s="43" t="s">
        <v>2090</v>
      </c>
      <c r="BU72" s="43" t="s">
        <v>2090</v>
      </c>
      <c r="BV72" s="43" t="s">
        <v>2090</v>
      </c>
      <c r="BW72" s="43" t="s">
        <v>2090</v>
      </c>
    </row>
    <row r="73" spans="1:75" ht="114.95" customHeight="1" x14ac:dyDescent="0.25">
      <c r="A73" s="38" t="s">
        <v>684</v>
      </c>
      <c r="B73" s="38" t="s">
        <v>1649</v>
      </c>
      <c r="C73" s="39" t="s">
        <v>685</v>
      </c>
      <c r="D73" s="40" t="s">
        <v>686</v>
      </c>
      <c r="E73" s="41">
        <v>60023.495410000003</v>
      </c>
      <c r="F73" s="41">
        <v>2828337.8802</v>
      </c>
      <c r="G73" s="41">
        <v>164187.6</v>
      </c>
      <c r="H73" s="41">
        <v>122019.9</v>
      </c>
      <c r="I73" s="42">
        <v>1.3045316042720398</v>
      </c>
      <c r="J73" s="41">
        <v>53585.071920000002</v>
      </c>
      <c r="K73" s="41">
        <v>2402710.2105299998</v>
      </c>
      <c r="L73" s="41">
        <v>127254.1</v>
      </c>
      <c r="M73" s="41">
        <v>96664.6</v>
      </c>
      <c r="N73" s="42">
        <v>1.2027821509396832</v>
      </c>
      <c r="O73" s="41">
        <v>6577.7689300000002</v>
      </c>
      <c r="P73" s="41">
        <v>1078395.54351</v>
      </c>
      <c r="Q73" s="41">
        <v>39560.1</v>
      </c>
      <c r="R73" s="41">
        <v>57197.9</v>
      </c>
      <c r="S73" s="42">
        <v>0.65690527838033252</v>
      </c>
      <c r="T73" s="41">
        <v>64884.724679999999</v>
      </c>
      <c r="U73" s="41">
        <v>2810710.4481000002</v>
      </c>
      <c r="V73" s="41">
        <v>100534.9</v>
      </c>
      <c r="W73" s="41">
        <v>65628.899999999994</v>
      </c>
      <c r="X73" s="42">
        <v>1.2447304157830474</v>
      </c>
      <c r="Y73" s="43">
        <v>1</v>
      </c>
      <c r="Z73" s="43" t="s">
        <v>2090</v>
      </c>
      <c r="AA73" s="43" t="s">
        <v>2090</v>
      </c>
      <c r="AB73" s="43" t="s">
        <v>2090</v>
      </c>
      <c r="AC73" s="43" t="s">
        <v>2090</v>
      </c>
      <c r="AD73" s="43">
        <v>0</v>
      </c>
      <c r="AE73" s="43">
        <v>0</v>
      </c>
      <c r="AF73" s="43">
        <v>0</v>
      </c>
      <c r="AG73" s="43">
        <v>0</v>
      </c>
      <c r="AH73" s="43">
        <v>0</v>
      </c>
      <c r="AI73" s="43">
        <v>0</v>
      </c>
      <c r="AJ73" s="43">
        <v>0</v>
      </c>
      <c r="AK73" s="43">
        <v>0</v>
      </c>
      <c r="AL73" s="43">
        <v>0</v>
      </c>
      <c r="AM73" s="43">
        <v>0</v>
      </c>
      <c r="AN73" s="43">
        <v>0</v>
      </c>
      <c r="AO73" s="43">
        <v>0</v>
      </c>
      <c r="AP73" s="43">
        <v>0</v>
      </c>
      <c r="AQ73" s="43">
        <v>0</v>
      </c>
      <c r="AR73" s="43">
        <v>0</v>
      </c>
      <c r="AS73" s="43">
        <v>0</v>
      </c>
      <c r="AT73" s="43">
        <v>0</v>
      </c>
      <c r="AU73" s="43">
        <v>0</v>
      </c>
      <c r="AV73" s="43">
        <v>0</v>
      </c>
      <c r="AW73" s="43">
        <v>0</v>
      </c>
      <c r="AX73" s="43">
        <v>0</v>
      </c>
      <c r="AY73" s="43">
        <v>0</v>
      </c>
      <c r="AZ73" s="43">
        <v>0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0</v>
      </c>
      <c r="BG73" s="43">
        <v>0</v>
      </c>
      <c r="BH73" s="43">
        <v>0</v>
      </c>
      <c r="BI73" s="43">
        <v>1</v>
      </c>
      <c r="BJ73" s="43" t="s">
        <v>2090</v>
      </c>
      <c r="BK73" s="43" t="s">
        <v>2090</v>
      </c>
      <c r="BL73" s="43" t="s">
        <v>2090</v>
      </c>
      <c r="BM73" s="43" t="s">
        <v>2090</v>
      </c>
      <c r="BN73" s="43" t="s">
        <v>2090</v>
      </c>
      <c r="BO73" s="43" t="s">
        <v>2090</v>
      </c>
      <c r="BP73" s="43" t="s">
        <v>2090</v>
      </c>
      <c r="BQ73" s="43" t="s">
        <v>2090</v>
      </c>
      <c r="BR73" s="43" t="s">
        <v>2090</v>
      </c>
      <c r="BS73" s="43" t="s">
        <v>2090</v>
      </c>
      <c r="BT73" s="43" t="s">
        <v>2090</v>
      </c>
      <c r="BU73" s="43" t="s">
        <v>2090</v>
      </c>
      <c r="BV73" s="43" t="s">
        <v>2090</v>
      </c>
      <c r="BW73" s="43" t="s">
        <v>2090</v>
      </c>
    </row>
    <row r="74" spans="1:75" ht="120.2" customHeight="1" x14ac:dyDescent="0.25">
      <c r="A74" s="38" t="s">
        <v>687</v>
      </c>
      <c r="B74" s="38" t="s">
        <v>1650</v>
      </c>
      <c r="C74" s="39" t="s">
        <v>688</v>
      </c>
      <c r="D74" s="40" t="s">
        <v>689</v>
      </c>
      <c r="E74" s="41">
        <v>47103.452039999996</v>
      </c>
      <c r="F74" s="41">
        <v>2606174.36314</v>
      </c>
      <c r="G74" s="41">
        <v>83057.3</v>
      </c>
      <c r="H74" s="41">
        <v>67860</v>
      </c>
      <c r="I74" s="42">
        <v>1.1720758170931698</v>
      </c>
      <c r="J74" s="41">
        <v>51456.970780000003</v>
      </c>
      <c r="K74" s="41">
        <v>2343196.9517999999</v>
      </c>
      <c r="L74" s="41">
        <v>96418.7</v>
      </c>
      <c r="M74" s="41">
        <v>79249.899999999994</v>
      </c>
      <c r="N74" s="42">
        <v>1.1629089975448113</v>
      </c>
      <c r="O74" s="41">
        <v>99156.675719999999</v>
      </c>
      <c r="P74" s="41">
        <v>3390159.1722800001</v>
      </c>
      <c r="Q74" s="41">
        <v>178674</v>
      </c>
      <c r="R74" s="41">
        <v>102062.8</v>
      </c>
      <c r="S74" s="42">
        <v>1.703129027902238</v>
      </c>
      <c r="T74" s="41">
        <v>72738.623869999996</v>
      </c>
      <c r="U74" s="41">
        <v>2882970.1216199999</v>
      </c>
      <c r="V74" s="41">
        <v>57262.8</v>
      </c>
      <c r="W74" s="41">
        <v>37121.699999999997</v>
      </c>
      <c r="X74" s="42">
        <v>1.3955605768591746</v>
      </c>
      <c r="Y74" s="43">
        <v>1</v>
      </c>
      <c r="Z74" s="43" t="s">
        <v>2090</v>
      </c>
      <c r="AA74" s="43" t="s">
        <v>2090</v>
      </c>
      <c r="AB74" s="43" t="s">
        <v>2090</v>
      </c>
      <c r="AC74" s="43" t="s">
        <v>2090</v>
      </c>
      <c r="AD74" s="43">
        <v>0</v>
      </c>
      <c r="AE74" s="43">
        <v>0</v>
      </c>
      <c r="AF74" s="43">
        <v>0</v>
      </c>
      <c r="AG74" s="43">
        <v>0</v>
      </c>
      <c r="AH74" s="43">
        <v>0</v>
      </c>
      <c r="AI74" s="43">
        <v>0</v>
      </c>
      <c r="AJ74" s="43">
        <v>0</v>
      </c>
      <c r="AK74" s="43">
        <v>0</v>
      </c>
      <c r="AL74" s="43">
        <v>0</v>
      </c>
      <c r="AM74" s="43">
        <v>0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0</v>
      </c>
      <c r="AW74" s="43">
        <v>0</v>
      </c>
      <c r="AX74" s="43">
        <v>0</v>
      </c>
      <c r="AY74" s="43">
        <v>0</v>
      </c>
      <c r="AZ74" s="43">
        <v>0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0</v>
      </c>
      <c r="BG74" s="43">
        <v>0</v>
      </c>
      <c r="BH74" s="43">
        <v>0</v>
      </c>
      <c r="BI74" s="43">
        <v>1</v>
      </c>
      <c r="BJ74" s="43" t="s">
        <v>2090</v>
      </c>
      <c r="BK74" s="43" t="s">
        <v>2090</v>
      </c>
      <c r="BL74" s="43" t="s">
        <v>2090</v>
      </c>
      <c r="BM74" s="43" t="s">
        <v>2090</v>
      </c>
      <c r="BN74" s="43" t="s">
        <v>2090</v>
      </c>
      <c r="BO74" s="43" t="s">
        <v>2090</v>
      </c>
      <c r="BP74" s="43" t="s">
        <v>2090</v>
      </c>
      <c r="BQ74" s="43" t="s">
        <v>2090</v>
      </c>
      <c r="BR74" s="43" t="s">
        <v>2090</v>
      </c>
      <c r="BS74" s="43" t="s">
        <v>2090</v>
      </c>
      <c r="BT74" s="43" t="s">
        <v>2090</v>
      </c>
      <c r="BU74" s="43" t="s">
        <v>2090</v>
      </c>
      <c r="BV74" s="43" t="s">
        <v>2090</v>
      </c>
      <c r="BW74" s="43" t="s">
        <v>2090</v>
      </c>
    </row>
    <row r="75" spans="1:75" ht="144.94999999999999" customHeight="1" x14ac:dyDescent="0.25">
      <c r="A75" s="38" t="s">
        <v>690</v>
      </c>
      <c r="B75" s="38" t="s">
        <v>1651</v>
      </c>
      <c r="C75" s="39" t="s">
        <v>691</v>
      </c>
      <c r="D75" s="40" t="s">
        <v>692</v>
      </c>
      <c r="E75" s="41">
        <v>53118.897499999999</v>
      </c>
      <c r="F75" s="41">
        <v>2697817.11815</v>
      </c>
      <c r="G75" s="41">
        <v>267741.8</v>
      </c>
      <c r="H75" s="41">
        <v>222959.8</v>
      </c>
      <c r="I75" s="42">
        <v>1.1661214707559127</v>
      </c>
      <c r="J75" s="41">
        <v>44706.281560000003</v>
      </c>
      <c r="K75" s="41">
        <v>2267534.1079299999</v>
      </c>
      <c r="L75" s="41">
        <v>82007.600000000006</v>
      </c>
      <c r="M75" s="41">
        <v>70135</v>
      </c>
      <c r="N75" s="42">
        <v>1.1027752584799566</v>
      </c>
      <c r="O75" s="41">
        <v>103285.45219</v>
      </c>
      <c r="P75" s="41">
        <v>3325664.8870999999</v>
      </c>
      <c r="Q75" s="41">
        <v>196506.9</v>
      </c>
      <c r="R75" s="41">
        <v>119499.8</v>
      </c>
      <c r="S75" s="42">
        <v>1.5706445767538182</v>
      </c>
      <c r="T75" s="41">
        <v>68306.872820000004</v>
      </c>
      <c r="U75" s="41">
        <v>2879443.9855900002</v>
      </c>
      <c r="V75" s="41">
        <v>94605.3</v>
      </c>
      <c r="W75" s="41">
        <v>64410</v>
      </c>
      <c r="X75" s="42">
        <v>1.2817920334698858</v>
      </c>
      <c r="Y75" s="43">
        <v>1</v>
      </c>
      <c r="Z75" s="43" t="s">
        <v>2090</v>
      </c>
      <c r="AA75" s="43" t="s">
        <v>2090</v>
      </c>
      <c r="AB75" s="43" t="s">
        <v>2090</v>
      </c>
      <c r="AC75" s="43" t="s">
        <v>2090</v>
      </c>
      <c r="AD75" s="43">
        <v>0</v>
      </c>
      <c r="AE75" s="43">
        <v>0</v>
      </c>
      <c r="AF75" s="43">
        <v>0</v>
      </c>
      <c r="AG75" s="43">
        <v>0</v>
      </c>
      <c r="AH75" s="43">
        <v>0</v>
      </c>
      <c r="AI75" s="43">
        <v>0</v>
      </c>
      <c r="AJ75" s="43">
        <v>0</v>
      </c>
      <c r="AK75" s="43">
        <v>0</v>
      </c>
      <c r="AL75" s="43">
        <v>0</v>
      </c>
      <c r="AM75" s="43">
        <v>0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0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1</v>
      </c>
      <c r="BJ75" s="43" t="s">
        <v>2090</v>
      </c>
      <c r="BK75" s="43" t="s">
        <v>2090</v>
      </c>
      <c r="BL75" s="43" t="s">
        <v>2090</v>
      </c>
      <c r="BM75" s="43" t="s">
        <v>2090</v>
      </c>
      <c r="BN75" s="43" t="s">
        <v>2090</v>
      </c>
      <c r="BO75" s="43" t="s">
        <v>2090</v>
      </c>
      <c r="BP75" s="43" t="s">
        <v>2090</v>
      </c>
      <c r="BQ75" s="43" t="s">
        <v>2090</v>
      </c>
      <c r="BR75" s="43" t="s">
        <v>2090</v>
      </c>
      <c r="BS75" s="43" t="s">
        <v>2090</v>
      </c>
      <c r="BT75" s="43" t="s">
        <v>2090</v>
      </c>
      <c r="BU75" s="43" t="s">
        <v>2090</v>
      </c>
      <c r="BV75" s="43" t="s">
        <v>2090</v>
      </c>
      <c r="BW75" s="43" t="s">
        <v>2090</v>
      </c>
    </row>
    <row r="76" spans="1:75" ht="109.7" customHeight="1" x14ac:dyDescent="0.25">
      <c r="A76" s="38" t="s">
        <v>693</v>
      </c>
      <c r="B76" s="38" t="s">
        <v>1652</v>
      </c>
      <c r="C76" s="39" t="s">
        <v>694</v>
      </c>
      <c r="D76" s="40" t="s">
        <v>695</v>
      </c>
      <c r="E76" s="41">
        <v>53788.332069999997</v>
      </c>
      <c r="F76" s="41">
        <v>2739314.3696300001</v>
      </c>
      <c r="G76" s="41">
        <v>147801.1</v>
      </c>
      <c r="H76" s="41">
        <v>119995.3</v>
      </c>
      <c r="I76" s="42">
        <v>1.1911004825554086</v>
      </c>
      <c r="J76" s="41">
        <v>42174.623090000001</v>
      </c>
      <c r="K76" s="41">
        <v>2199455.5606</v>
      </c>
      <c r="L76" s="41">
        <v>185427.6</v>
      </c>
      <c r="M76" s="41">
        <v>171480.1</v>
      </c>
      <c r="N76" s="42">
        <v>1.0177482374313356</v>
      </c>
      <c r="O76" s="41">
        <v>98960.605410000004</v>
      </c>
      <c r="P76" s="41">
        <v>3333755.1708999998</v>
      </c>
      <c r="Q76" s="41">
        <v>371550.9</v>
      </c>
      <c r="R76" s="41">
        <v>235112.8</v>
      </c>
      <c r="S76" s="42">
        <v>1.5143949698447325</v>
      </c>
      <c r="T76" s="41">
        <v>65921.292820000002</v>
      </c>
      <c r="U76" s="41">
        <v>2871179.8018700001</v>
      </c>
      <c r="V76" s="41">
        <v>92508.6</v>
      </c>
      <c r="W76" s="41">
        <v>70176.899999999994</v>
      </c>
      <c r="X76" s="42">
        <v>1.1806581141320993</v>
      </c>
      <c r="Y76" s="43">
        <v>1</v>
      </c>
      <c r="Z76" s="43" t="s">
        <v>2090</v>
      </c>
      <c r="AA76" s="43" t="s">
        <v>2090</v>
      </c>
      <c r="AB76" s="43" t="s">
        <v>2090</v>
      </c>
      <c r="AC76" s="43" t="s">
        <v>2090</v>
      </c>
      <c r="AD76" s="43">
        <v>0</v>
      </c>
      <c r="AE76" s="43">
        <v>0</v>
      </c>
      <c r="AF76" s="43">
        <v>0</v>
      </c>
      <c r="AG76" s="43">
        <v>0</v>
      </c>
      <c r="AH76" s="43">
        <v>0</v>
      </c>
      <c r="AI76" s="43">
        <v>0</v>
      </c>
      <c r="AJ76" s="43">
        <v>0</v>
      </c>
      <c r="AK76" s="43">
        <v>0</v>
      </c>
      <c r="AL76" s="43">
        <v>0</v>
      </c>
      <c r="AM76" s="43">
        <v>0</v>
      </c>
      <c r="AN76" s="43">
        <v>0</v>
      </c>
      <c r="AO76" s="43">
        <v>0</v>
      </c>
      <c r="AP76" s="43">
        <v>0</v>
      </c>
      <c r="AQ76" s="43">
        <v>0</v>
      </c>
      <c r="AR76" s="43">
        <v>0</v>
      </c>
      <c r="AS76" s="43">
        <v>0</v>
      </c>
      <c r="AT76" s="43">
        <v>0</v>
      </c>
      <c r="AU76" s="43">
        <v>0</v>
      </c>
      <c r="AV76" s="43">
        <v>0</v>
      </c>
      <c r="AW76" s="43">
        <v>0</v>
      </c>
      <c r="AX76" s="43">
        <v>0</v>
      </c>
      <c r="AY76" s="43">
        <v>0</v>
      </c>
      <c r="AZ76" s="43">
        <v>0</v>
      </c>
      <c r="BA76" s="43">
        <v>0</v>
      </c>
      <c r="BB76" s="43">
        <v>0</v>
      </c>
      <c r="BC76" s="43">
        <v>0</v>
      </c>
      <c r="BD76" s="43">
        <v>0</v>
      </c>
      <c r="BE76" s="43">
        <v>0</v>
      </c>
      <c r="BF76" s="43">
        <v>0</v>
      </c>
      <c r="BG76" s="43">
        <v>0</v>
      </c>
      <c r="BH76" s="43">
        <v>0</v>
      </c>
      <c r="BI76" s="43">
        <v>1</v>
      </c>
      <c r="BJ76" s="43" t="s">
        <v>2090</v>
      </c>
      <c r="BK76" s="43" t="s">
        <v>2090</v>
      </c>
      <c r="BL76" s="43" t="s">
        <v>2090</v>
      </c>
      <c r="BM76" s="43" t="s">
        <v>2090</v>
      </c>
      <c r="BN76" s="43" t="s">
        <v>2090</v>
      </c>
      <c r="BO76" s="43" t="s">
        <v>2090</v>
      </c>
      <c r="BP76" s="43" t="s">
        <v>2090</v>
      </c>
      <c r="BQ76" s="43" t="s">
        <v>2090</v>
      </c>
      <c r="BR76" s="43" t="s">
        <v>2090</v>
      </c>
      <c r="BS76" s="43" t="s">
        <v>2090</v>
      </c>
      <c r="BT76" s="43" t="s">
        <v>2090</v>
      </c>
      <c r="BU76" s="43" t="s">
        <v>2090</v>
      </c>
      <c r="BV76" s="43" t="s">
        <v>2090</v>
      </c>
      <c r="BW76" s="43" t="s">
        <v>2090</v>
      </c>
    </row>
    <row r="77" spans="1:75" ht="110.45" customHeight="1" x14ac:dyDescent="0.25">
      <c r="A77" s="38" t="s">
        <v>696</v>
      </c>
      <c r="B77" s="38" t="s">
        <v>1653</v>
      </c>
      <c r="C77" s="39" t="s">
        <v>697</v>
      </c>
      <c r="D77" s="40" t="s">
        <v>698</v>
      </c>
      <c r="E77" s="41">
        <v>5929.6567699999996</v>
      </c>
      <c r="F77" s="41">
        <v>868159.68016999995</v>
      </c>
      <c r="G77" s="41">
        <v>87096.6</v>
      </c>
      <c r="H77" s="41">
        <v>156373.70000000001</v>
      </c>
      <c r="I77" s="42">
        <v>0.52107808177308246</v>
      </c>
      <c r="J77" s="41">
        <v>25359.39501</v>
      </c>
      <c r="K77" s="41">
        <v>1702786.746</v>
      </c>
      <c r="L77" s="41">
        <v>94276.2</v>
      </c>
      <c r="M77" s="41">
        <v>122428.3</v>
      </c>
      <c r="N77" s="42">
        <v>0.72348288710872866</v>
      </c>
      <c r="O77" s="41">
        <v>104967.76344</v>
      </c>
      <c r="P77" s="41">
        <v>3317631.8808300002</v>
      </c>
      <c r="Q77" s="41">
        <v>110939.2</v>
      </c>
      <c r="R77" s="41">
        <v>68947.100000000006</v>
      </c>
      <c r="S77" s="42">
        <v>1.5451266825740877</v>
      </c>
      <c r="T77" s="41">
        <v>38958.515630000002</v>
      </c>
      <c r="U77" s="41">
        <v>2307739.47389</v>
      </c>
      <c r="V77" s="41">
        <v>88675.7</v>
      </c>
      <c r="W77" s="41">
        <v>84969.8</v>
      </c>
      <c r="X77" s="42">
        <v>0.86409974514017296</v>
      </c>
      <c r="Y77" s="43">
        <v>1</v>
      </c>
      <c r="Z77" s="43" t="s">
        <v>2090</v>
      </c>
      <c r="AA77" s="43" t="s">
        <v>2090</v>
      </c>
      <c r="AB77" s="43" t="s">
        <v>2091</v>
      </c>
      <c r="AC77" s="43" t="s">
        <v>2090</v>
      </c>
      <c r="AD77" s="43">
        <v>0</v>
      </c>
      <c r="AE77" s="43">
        <v>0</v>
      </c>
      <c r="AF77" s="43">
        <v>0</v>
      </c>
      <c r="AG77" s="43">
        <v>0</v>
      </c>
      <c r="AH77" s="43">
        <v>0</v>
      </c>
      <c r="AI77" s="43">
        <v>0</v>
      </c>
      <c r="AJ77" s="43">
        <v>0</v>
      </c>
      <c r="AK77" s="43">
        <v>0</v>
      </c>
      <c r="AL77" s="43">
        <v>0</v>
      </c>
      <c r="AM77" s="43">
        <v>0</v>
      </c>
      <c r="AN77" s="43">
        <v>0</v>
      </c>
      <c r="AO77" s="43">
        <v>0</v>
      </c>
      <c r="AP77" s="43">
        <v>0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0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G77" s="43">
        <v>0</v>
      </c>
      <c r="BH77" s="43">
        <v>0</v>
      </c>
      <c r="BI77" s="43">
        <v>0</v>
      </c>
      <c r="BJ77" s="43" t="s">
        <v>2090</v>
      </c>
      <c r="BK77" s="43" t="s">
        <v>2090</v>
      </c>
      <c r="BL77" s="43" t="s">
        <v>2090</v>
      </c>
      <c r="BM77" s="43" t="s">
        <v>2090</v>
      </c>
      <c r="BN77" s="43" t="s">
        <v>2090</v>
      </c>
      <c r="BO77" s="43" t="s">
        <v>2090</v>
      </c>
      <c r="BP77" s="43" t="s">
        <v>2090</v>
      </c>
      <c r="BQ77" s="43" t="s">
        <v>2090</v>
      </c>
      <c r="BR77" s="43" t="s">
        <v>2090</v>
      </c>
      <c r="BS77" s="43" t="s">
        <v>2090</v>
      </c>
      <c r="BT77" s="43" t="s">
        <v>2090</v>
      </c>
      <c r="BU77" s="43" t="s">
        <v>2090</v>
      </c>
      <c r="BV77" s="43" t="s">
        <v>2090</v>
      </c>
      <c r="BW77" s="43" t="s">
        <v>2090</v>
      </c>
    </row>
    <row r="78" spans="1:75" ht="110.45" customHeight="1" x14ac:dyDescent="0.25">
      <c r="A78" s="38" t="s">
        <v>699</v>
      </c>
      <c r="B78" s="38" t="s">
        <v>1654</v>
      </c>
      <c r="C78" s="39" t="s">
        <v>700</v>
      </c>
      <c r="D78" s="40" t="s">
        <v>701</v>
      </c>
      <c r="E78" s="41">
        <v>40974.420279999998</v>
      </c>
      <c r="F78" s="41">
        <v>2405205.9698000001</v>
      </c>
      <c r="G78" s="41">
        <v>121010.2</v>
      </c>
      <c r="H78" s="41">
        <v>118886.1</v>
      </c>
      <c r="I78" s="42">
        <v>0.98240654480816381</v>
      </c>
      <c r="J78" s="41">
        <v>0</v>
      </c>
      <c r="K78" s="41">
        <v>109630.50765</v>
      </c>
      <c r="L78" s="41">
        <v>32166.1</v>
      </c>
      <c r="M78" s="41">
        <v>174308.4</v>
      </c>
      <c r="N78" s="42">
        <v>0.17724603495052099</v>
      </c>
      <c r="O78" s="41">
        <v>37166.339339999999</v>
      </c>
      <c r="P78" s="41">
        <v>2507920.38111</v>
      </c>
      <c r="Q78" s="41">
        <v>104777.3</v>
      </c>
      <c r="R78" s="41">
        <v>96333.8</v>
      </c>
      <c r="S78" s="42">
        <v>1.0557944948389113</v>
      </c>
      <c r="T78" s="41">
        <v>10432.41109</v>
      </c>
      <c r="U78" s="41">
        <v>1158904.3346299999</v>
      </c>
      <c r="V78" s="41">
        <v>111490.3</v>
      </c>
      <c r="W78" s="41">
        <v>218934.7</v>
      </c>
      <c r="X78" s="42">
        <v>0.48613823175332793</v>
      </c>
      <c r="Y78" s="43">
        <v>1</v>
      </c>
      <c r="Z78" s="43" t="s">
        <v>2090</v>
      </c>
      <c r="AA78" s="43" t="s">
        <v>2090</v>
      </c>
      <c r="AB78" s="43" t="s">
        <v>2090</v>
      </c>
      <c r="AC78" s="43" t="s">
        <v>2090</v>
      </c>
      <c r="AD78" s="43">
        <v>0</v>
      </c>
      <c r="AE78" s="43">
        <v>0</v>
      </c>
      <c r="AF78" s="43">
        <v>0</v>
      </c>
      <c r="AG78" s="43">
        <v>0</v>
      </c>
      <c r="AH78" s="43">
        <v>0</v>
      </c>
      <c r="AI78" s="43">
        <v>0</v>
      </c>
      <c r="AJ78" s="43">
        <v>0</v>
      </c>
      <c r="AK78" s="43">
        <v>0</v>
      </c>
      <c r="AL78" s="43">
        <v>0</v>
      </c>
      <c r="AM78" s="43">
        <v>0</v>
      </c>
      <c r="AN78" s="43">
        <v>0</v>
      </c>
      <c r="AO78" s="43">
        <v>0</v>
      </c>
      <c r="AP78" s="43">
        <v>0</v>
      </c>
      <c r="AQ78" s="43">
        <v>0</v>
      </c>
      <c r="AR78" s="43">
        <v>0</v>
      </c>
      <c r="AS78" s="43">
        <v>0</v>
      </c>
      <c r="AT78" s="43">
        <v>1</v>
      </c>
      <c r="AU78" s="43">
        <v>0</v>
      </c>
      <c r="AV78" s="43">
        <v>0</v>
      </c>
      <c r="AW78" s="43">
        <v>0</v>
      </c>
      <c r="AX78" s="43">
        <v>0</v>
      </c>
      <c r="AY78" s="43">
        <v>0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G78" s="43">
        <v>0</v>
      </c>
      <c r="BH78" s="43">
        <v>0</v>
      </c>
      <c r="BI78" s="43">
        <v>0</v>
      </c>
      <c r="BJ78" s="43" t="s">
        <v>2090</v>
      </c>
      <c r="BK78" s="43" t="s">
        <v>2090</v>
      </c>
      <c r="BL78" s="43" t="s">
        <v>2090</v>
      </c>
      <c r="BM78" s="43" t="s">
        <v>2090</v>
      </c>
      <c r="BN78" s="43" t="s">
        <v>2090</v>
      </c>
      <c r="BO78" s="43" t="s">
        <v>2090</v>
      </c>
      <c r="BP78" s="43" t="s">
        <v>2090</v>
      </c>
      <c r="BQ78" s="43" t="s">
        <v>2090</v>
      </c>
      <c r="BR78" s="43" t="s">
        <v>2090</v>
      </c>
      <c r="BS78" s="43" t="s">
        <v>2090</v>
      </c>
      <c r="BT78" s="43" t="s">
        <v>2090</v>
      </c>
      <c r="BU78" s="43" t="s">
        <v>2090</v>
      </c>
      <c r="BV78" s="43" t="s">
        <v>2090</v>
      </c>
      <c r="BW78" s="43" t="s">
        <v>2090</v>
      </c>
    </row>
    <row r="79" spans="1:75" ht="70.7" customHeight="1" x14ac:dyDescent="0.25">
      <c r="A79" s="38" t="s">
        <v>702</v>
      </c>
      <c r="B79" s="38" t="s">
        <v>1655</v>
      </c>
      <c r="C79" s="39" t="s">
        <v>703</v>
      </c>
      <c r="D79" s="40" t="s">
        <v>704</v>
      </c>
      <c r="E79" s="41">
        <v>51562.963790000002</v>
      </c>
      <c r="F79" s="41">
        <v>2712184.6571999998</v>
      </c>
      <c r="G79" s="41">
        <v>271945</v>
      </c>
      <c r="H79" s="41">
        <v>221193.3</v>
      </c>
      <c r="I79" s="42">
        <v>1.2055165197432449</v>
      </c>
      <c r="J79" s="41">
        <v>49933.884689999999</v>
      </c>
      <c r="K79" s="41">
        <v>2344294.9896999998</v>
      </c>
      <c r="L79" s="41">
        <v>99286.5</v>
      </c>
      <c r="M79" s="41">
        <v>79350.100000000006</v>
      </c>
      <c r="N79" s="42">
        <v>1.1762768733689573</v>
      </c>
      <c r="O79" s="41">
        <v>94349.873510000005</v>
      </c>
      <c r="P79" s="41">
        <v>3343864.5983000002</v>
      </c>
      <c r="Q79" s="41">
        <v>341546.2</v>
      </c>
      <c r="R79" s="41">
        <v>215201.2</v>
      </c>
      <c r="S79" s="42">
        <v>1.5572975273588039</v>
      </c>
      <c r="T79" s="41">
        <v>60655.75058</v>
      </c>
      <c r="U79" s="41">
        <v>2821391.3028199999</v>
      </c>
      <c r="V79" s="41">
        <v>312851.90000000002</v>
      </c>
      <c r="W79" s="41">
        <v>235177.7</v>
      </c>
      <c r="X79" s="42">
        <v>1.2656234250579579</v>
      </c>
      <c r="Y79" s="43">
        <v>1</v>
      </c>
      <c r="Z79" s="43" t="s">
        <v>2090</v>
      </c>
      <c r="AA79" s="43" t="s">
        <v>2090</v>
      </c>
      <c r="AB79" s="43" t="s">
        <v>2090</v>
      </c>
      <c r="AC79" s="43" t="s">
        <v>2090</v>
      </c>
      <c r="AD79" s="43">
        <v>0</v>
      </c>
      <c r="AE79" s="43">
        <v>0</v>
      </c>
      <c r="AF79" s="43">
        <v>0</v>
      </c>
      <c r="AG79" s="43">
        <v>0</v>
      </c>
      <c r="AH79" s="43">
        <v>0</v>
      </c>
      <c r="AI79" s="43">
        <v>0</v>
      </c>
      <c r="AJ79" s="43">
        <v>0</v>
      </c>
      <c r="AK79" s="43">
        <v>0</v>
      </c>
      <c r="AL79" s="43">
        <v>0</v>
      </c>
      <c r="AM79" s="43">
        <v>0</v>
      </c>
      <c r="AN79" s="43">
        <v>0</v>
      </c>
      <c r="AO79" s="43">
        <v>0</v>
      </c>
      <c r="AP79" s="43">
        <v>0</v>
      </c>
      <c r="AQ79" s="43">
        <v>0</v>
      </c>
      <c r="AR79" s="43">
        <v>0</v>
      </c>
      <c r="AS79" s="43">
        <v>1</v>
      </c>
      <c r="AT79" s="43">
        <v>0</v>
      </c>
      <c r="AU79" s="43">
        <v>0</v>
      </c>
      <c r="AV79" s="43">
        <v>0</v>
      </c>
      <c r="AW79" s="43">
        <v>0</v>
      </c>
      <c r="AX79" s="43">
        <v>0</v>
      </c>
      <c r="AY79" s="43">
        <v>0</v>
      </c>
      <c r="AZ79" s="43">
        <v>0</v>
      </c>
      <c r="BA79" s="43">
        <v>0</v>
      </c>
      <c r="BB79" s="43">
        <v>0</v>
      </c>
      <c r="BC79" s="43">
        <v>0</v>
      </c>
      <c r="BD79" s="43">
        <v>0</v>
      </c>
      <c r="BE79" s="43">
        <v>0</v>
      </c>
      <c r="BF79" s="43">
        <v>0</v>
      </c>
      <c r="BG79" s="43">
        <v>0</v>
      </c>
      <c r="BH79" s="43">
        <v>0</v>
      </c>
      <c r="BI79" s="43">
        <v>0</v>
      </c>
      <c r="BJ79" s="43" t="s">
        <v>2090</v>
      </c>
      <c r="BK79" s="43" t="s">
        <v>2090</v>
      </c>
      <c r="BL79" s="43" t="s">
        <v>2090</v>
      </c>
      <c r="BM79" s="43" t="s">
        <v>2090</v>
      </c>
      <c r="BN79" s="43" t="s">
        <v>2090</v>
      </c>
      <c r="BO79" s="43" t="s">
        <v>2090</v>
      </c>
      <c r="BP79" s="43" t="s">
        <v>2090</v>
      </c>
      <c r="BQ79" s="43" t="s">
        <v>2090</v>
      </c>
      <c r="BR79" s="43" t="s">
        <v>2090</v>
      </c>
      <c r="BS79" s="43" t="s">
        <v>2090</v>
      </c>
      <c r="BT79" s="43" t="s">
        <v>2090</v>
      </c>
      <c r="BU79" s="43" t="s">
        <v>2090</v>
      </c>
      <c r="BV79" s="43" t="s">
        <v>2090</v>
      </c>
      <c r="BW79" s="43" t="s">
        <v>2090</v>
      </c>
    </row>
    <row r="80" spans="1:75" ht="96.2" customHeight="1" x14ac:dyDescent="0.25">
      <c r="A80" s="38" t="s">
        <v>705</v>
      </c>
      <c r="B80" s="38" t="s">
        <v>1656</v>
      </c>
      <c r="C80" s="39" t="s">
        <v>706</v>
      </c>
      <c r="D80" s="40" t="s">
        <v>707</v>
      </c>
      <c r="E80" s="41">
        <v>50520.092859999997</v>
      </c>
      <c r="F80" s="41">
        <v>2698382.5275699999</v>
      </c>
      <c r="G80" s="41">
        <v>305295</v>
      </c>
      <c r="H80" s="41">
        <v>254111.1</v>
      </c>
      <c r="I80" s="42">
        <v>1.1550570795207078</v>
      </c>
      <c r="J80" s="41">
        <v>43404.591</v>
      </c>
      <c r="K80" s="41">
        <v>2243426.6092400001</v>
      </c>
      <c r="L80" s="41">
        <v>372716</v>
      </c>
      <c r="M80" s="41">
        <v>391074.6</v>
      </c>
      <c r="N80" s="42">
        <v>0.90472673335339404</v>
      </c>
      <c r="O80" s="41">
        <v>116964.11145</v>
      </c>
      <c r="P80" s="41">
        <v>3571864.4121099999</v>
      </c>
      <c r="Q80" s="41">
        <v>476347.5</v>
      </c>
      <c r="R80" s="41">
        <v>308348.59999999998</v>
      </c>
      <c r="S80" s="42">
        <v>1.5127400527174595</v>
      </c>
      <c r="T80" s="41">
        <v>63915.048450000002</v>
      </c>
      <c r="U80" s="41">
        <v>2894769.79183</v>
      </c>
      <c r="V80" s="41">
        <v>150256.6</v>
      </c>
      <c r="W80" s="41">
        <v>93230.7</v>
      </c>
      <c r="X80" s="42">
        <v>1.3120978932761447</v>
      </c>
      <c r="Y80" s="43">
        <v>1</v>
      </c>
      <c r="Z80" s="43" t="s">
        <v>2090</v>
      </c>
      <c r="AA80" s="43" t="s">
        <v>2090</v>
      </c>
      <c r="AB80" s="43" t="s">
        <v>2090</v>
      </c>
      <c r="AC80" s="43" t="s">
        <v>2090</v>
      </c>
      <c r="AD80" s="43">
        <v>0</v>
      </c>
      <c r="AE80" s="43">
        <v>0</v>
      </c>
      <c r="AF80" s="43">
        <v>0</v>
      </c>
      <c r="AG80" s="43">
        <v>0</v>
      </c>
      <c r="AH80" s="43">
        <v>0</v>
      </c>
      <c r="AI80" s="43">
        <v>0</v>
      </c>
      <c r="AJ80" s="43">
        <v>0</v>
      </c>
      <c r="AK80" s="43">
        <v>0</v>
      </c>
      <c r="AL80" s="43">
        <v>0</v>
      </c>
      <c r="AM80" s="43">
        <v>0</v>
      </c>
      <c r="AN80" s="43">
        <v>0</v>
      </c>
      <c r="AO80" s="43">
        <v>0</v>
      </c>
      <c r="AP80" s="43">
        <v>0</v>
      </c>
      <c r="AQ80" s="43">
        <v>0</v>
      </c>
      <c r="AR80" s="43">
        <v>0</v>
      </c>
      <c r="AS80" s="43">
        <v>1</v>
      </c>
      <c r="AT80" s="43">
        <v>0</v>
      </c>
      <c r="AU80" s="43">
        <v>0</v>
      </c>
      <c r="AV80" s="43">
        <v>0</v>
      </c>
      <c r="AW80" s="43">
        <v>0</v>
      </c>
      <c r="AX80" s="43">
        <v>0</v>
      </c>
      <c r="AY80" s="43">
        <v>0</v>
      </c>
      <c r="AZ80" s="43">
        <v>0</v>
      </c>
      <c r="BA80" s="43">
        <v>0</v>
      </c>
      <c r="BB80" s="43">
        <v>0</v>
      </c>
      <c r="BC80" s="43">
        <v>0</v>
      </c>
      <c r="BD80" s="43">
        <v>0</v>
      </c>
      <c r="BE80" s="43">
        <v>0</v>
      </c>
      <c r="BF80" s="43">
        <v>0</v>
      </c>
      <c r="BG80" s="43">
        <v>0</v>
      </c>
      <c r="BH80" s="43">
        <v>0</v>
      </c>
      <c r="BI80" s="43">
        <v>0</v>
      </c>
      <c r="BJ80" s="43" t="s">
        <v>2090</v>
      </c>
      <c r="BK80" s="43" t="s">
        <v>2090</v>
      </c>
      <c r="BL80" s="43" t="s">
        <v>2090</v>
      </c>
      <c r="BM80" s="43" t="s">
        <v>2090</v>
      </c>
      <c r="BN80" s="43" t="s">
        <v>2090</v>
      </c>
      <c r="BO80" s="43" t="s">
        <v>2090</v>
      </c>
      <c r="BP80" s="43" t="s">
        <v>2090</v>
      </c>
      <c r="BQ80" s="43" t="s">
        <v>2090</v>
      </c>
      <c r="BR80" s="43" t="s">
        <v>2090</v>
      </c>
      <c r="BS80" s="43" t="s">
        <v>2090</v>
      </c>
      <c r="BT80" s="43" t="s">
        <v>2090</v>
      </c>
      <c r="BU80" s="43" t="s">
        <v>2090</v>
      </c>
      <c r="BV80" s="43" t="s">
        <v>2090</v>
      </c>
      <c r="BW80" s="43" t="s">
        <v>2090</v>
      </c>
    </row>
    <row r="81" spans="1:75" ht="120.95" customHeight="1" x14ac:dyDescent="0.25">
      <c r="A81" s="38" t="s">
        <v>708</v>
      </c>
      <c r="B81" s="38" t="s">
        <v>1657</v>
      </c>
      <c r="C81" s="39" t="s">
        <v>709</v>
      </c>
      <c r="D81" s="40" t="s">
        <v>710</v>
      </c>
      <c r="E81" s="41">
        <v>52134.82776</v>
      </c>
      <c r="F81" s="41">
        <v>2659186.17912</v>
      </c>
      <c r="G81" s="41">
        <v>500380.2</v>
      </c>
      <c r="H81" s="41">
        <v>407766.6</v>
      </c>
      <c r="I81" s="42">
        <v>1.1992782916795472</v>
      </c>
      <c r="J81" s="41">
        <v>57033.010880000002</v>
      </c>
      <c r="K81" s="41">
        <v>2445617.97908</v>
      </c>
      <c r="L81" s="41">
        <v>376700.7</v>
      </c>
      <c r="M81" s="41">
        <v>282967.5</v>
      </c>
      <c r="N81" s="42">
        <v>1.2696863547949113</v>
      </c>
      <c r="O81" s="41">
        <v>0</v>
      </c>
      <c r="P81" s="41">
        <v>144085.68741000001</v>
      </c>
      <c r="Q81" s="41">
        <v>40980.5</v>
      </c>
      <c r="R81" s="41">
        <v>340180.9</v>
      </c>
      <c r="S81" s="42">
        <v>0.10855068091259974</v>
      </c>
      <c r="T81" s="41">
        <v>62722.730409999996</v>
      </c>
      <c r="U81" s="41">
        <v>2901995.5606</v>
      </c>
      <c r="V81" s="41">
        <v>67904.399999999994</v>
      </c>
      <c r="W81" s="41">
        <v>46502</v>
      </c>
      <c r="X81" s="42">
        <v>1.2823497294882613</v>
      </c>
      <c r="Y81" s="43">
        <v>1</v>
      </c>
      <c r="Z81" s="43" t="s">
        <v>2090</v>
      </c>
      <c r="AA81" s="43" t="s">
        <v>2090</v>
      </c>
      <c r="AB81" s="43" t="s">
        <v>2090</v>
      </c>
      <c r="AC81" s="43" t="s">
        <v>2090</v>
      </c>
      <c r="AD81" s="43">
        <v>0</v>
      </c>
      <c r="AE81" s="43">
        <v>0</v>
      </c>
      <c r="AF81" s="43">
        <v>0</v>
      </c>
      <c r="AG81" s="43">
        <v>0</v>
      </c>
      <c r="AH81" s="43">
        <v>0</v>
      </c>
      <c r="AI81" s="43">
        <v>0</v>
      </c>
      <c r="AJ81" s="43">
        <v>0</v>
      </c>
      <c r="AK81" s="43">
        <v>0</v>
      </c>
      <c r="AL81" s="43">
        <v>0</v>
      </c>
      <c r="AM81" s="43">
        <v>0</v>
      </c>
      <c r="AN81" s="43">
        <v>0</v>
      </c>
      <c r="AO81" s="43">
        <v>0</v>
      </c>
      <c r="AP81" s="43">
        <v>0</v>
      </c>
      <c r="AQ81" s="43">
        <v>0</v>
      </c>
      <c r="AR81" s="43">
        <v>0</v>
      </c>
      <c r="AS81" s="43">
        <v>0</v>
      </c>
      <c r="AT81" s="43">
        <v>0</v>
      </c>
      <c r="AU81" s="43">
        <v>0</v>
      </c>
      <c r="AV81" s="43">
        <v>0</v>
      </c>
      <c r="AW81" s="43">
        <v>0</v>
      </c>
      <c r="AX81" s="43">
        <v>0</v>
      </c>
      <c r="AY81" s="43">
        <v>0</v>
      </c>
      <c r="AZ81" s="43">
        <v>0</v>
      </c>
      <c r="BA81" s="43">
        <v>1</v>
      </c>
      <c r="BB81" s="43">
        <v>0</v>
      </c>
      <c r="BC81" s="43">
        <v>0</v>
      </c>
      <c r="BD81" s="43">
        <v>0</v>
      </c>
      <c r="BE81" s="43">
        <v>0</v>
      </c>
      <c r="BF81" s="43">
        <v>0</v>
      </c>
      <c r="BG81" s="43">
        <v>0</v>
      </c>
      <c r="BH81" s="43">
        <v>0</v>
      </c>
      <c r="BI81" s="43">
        <v>0</v>
      </c>
      <c r="BJ81" s="43" t="s">
        <v>2090</v>
      </c>
      <c r="BK81" s="43" t="s">
        <v>2090</v>
      </c>
      <c r="BL81" s="43" t="s">
        <v>2091</v>
      </c>
      <c r="BM81" s="43" t="s">
        <v>2090</v>
      </c>
      <c r="BN81" s="43" t="s">
        <v>2090</v>
      </c>
      <c r="BO81" s="43" t="s">
        <v>2090</v>
      </c>
      <c r="BP81" s="43" t="s">
        <v>2090</v>
      </c>
      <c r="BQ81" s="43" t="s">
        <v>2090</v>
      </c>
      <c r="BR81" s="43" t="s">
        <v>2090</v>
      </c>
      <c r="BS81" s="43" t="s">
        <v>2090</v>
      </c>
      <c r="BT81" s="43" t="s">
        <v>2090</v>
      </c>
      <c r="BU81" s="43" t="s">
        <v>2090</v>
      </c>
      <c r="BV81" s="43" t="s">
        <v>2090</v>
      </c>
      <c r="BW81" s="43" t="s">
        <v>2090</v>
      </c>
    </row>
    <row r="82" spans="1:75" ht="161.44999999999999" customHeight="1" x14ac:dyDescent="0.25">
      <c r="A82" s="38" t="s">
        <v>711</v>
      </c>
      <c r="B82" s="38" t="s">
        <v>1658</v>
      </c>
      <c r="C82" s="39" t="s">
        <v>712</v>
      </c>
      <c r="D82" s="40" t="s">
        <v>713</v>
      </c>
      <c r="E82" s="41">
        <v>50135.239809999999</v>
      </c>
      <c r="F82" s="41">
        <v>2591901.8962599998</v>
      </c>
      <c r="G82" s="41">
        <v>66745.899999999994</v>
      </c>
      <c r="H82" s="41">
        <v>52747.6</v>
      </c>
      <c r="I82" s="42">
        <v>1.2343954095913419</v>
      </c>
      <c r="J82" s="41">
        <v>66738.799129999999</v>
      </c>
      <c r="K82" s="41">
        <v>2702376.3783900002</v>
      </c>
      <c r="L82" s="41">
        <v>34621.199999999997</v>
      </c>
      <c r="M82" s="41">
        <v>22995.4</v>
      </c>
      <c r="N82" s="42">
        <v>1.3827205310377018</v>
      </c>
      <c r="O82" s="41">
        <v>32665.69383</v>
      </c>
      <c r="P82" s="41">
        <v>2575879.6910199998</v>
      </c>
      <c r="Q82" s="41">
        <v>225258.9</v>
      </c>
      <c r="R82" s="41">
        <v>197883.5</v>
      </c>
      <c r="S82" s="42">
        <v>1.1039943404440573</v>
      </c>
      <c r="T82" s="41">
        <v>76224.233819999994</v>
      </c>
      <c r="U82" s="41">
        <v>3086592.8595400001</v>
      </c>
      <c r="V82" s="41">
        <v>34276</v>
      </c>
      <c r="W82" s="41">
        <v>21521</v>
      </c>
      <c r="X82" s="42">
        <v>1.371558434773523</v>
      </c>
      <c r="Y82" s="43">
        <v>1</v>
      </c>
      <c r="Z82" s="43" t="s">
        <v>2090</v>
      </c>
      <c r="AA82" s="43" t="s">
        <v>2090</v>
      </c>
      <c r="AB82" s="43" t="s">
        <v>2090</v>
      </c>
      <c r="AC82" s="43" t="s">
        <v>2090</v>
      </c>
      <c r="AD82" s="43">
        <v>0</v>
      </c>
      <c r="AE82" s="43">
        <v>0</v>
      </c>
      <c r="AF82" s="43">
        <v>0</v>
      </c>
      <c r="AG82" s="43">
        <v>0</v>
      </c>
      <c r="AH82" s="43">
        <v>0</v>
      </c>
      <c r="AI82" s="43">
        <v>0</v>
      </c>
      <c r="AJ82" s="43">
        <v>0</v>
      </c>
      <c r="AK82" s="43">
        <v>0</v>
      </c>
      <c r="AL82" s="43">
        <v>0</v>
      </c>
      <c r="AM82" s="43">
        <v>0</v>
      </c>
      <c r="AN82" s="43">
        <v>0</v>
      </c>
      <c r="AO82" s="43">
        <v>0</v>
      </c>
      <c r="AP82" s="43">
        <v>0</v>
      </c>
      <c r="AQ82" s="43">
        <v>0</v>
      </c>
      <c r="AR82" s="43">
        <v>0</v>
      </c>
      <c r="AS82" s="43">
        <v>0</v>
      </c>
      <c r="AT82" s="43">
        <v>0</v>
      </c>
      <c r="AU82" s="43">
        <v>0</v>
      </c>
      <c r="AV82" s="43">
        <v>0</v>
      </c>
      <c r="AW82" s="43">
        <v>0</v>
      </c>
      <c r="AX82" s="43">
        <v>0</v>
      </c>
      <c r="AY82" s="43">
        <v>0</v>
      </c>
      <c r="AZ82" s="43">
        <v>0</v>
      </c>
      <c r="BA82" s="43">
        <v>1</v>
      </c>
      <c r="BB82" s="43">
        <v>0</v>
      </c>
      <c r="BC82" s="43">
        <v>0</v>
      </c>
      <c r="BD82" s="43">
        <v>0</v>
      </c>
      <c r="BE82" s="43">
        <v>0</v>
      </c>
      <c r="BF82" s="43">
        <v>0</v>
      </c>
      <c r="BG82" s="43">
        <v>0</v>
      </c>
      <c r="BH82" s="43">
        <v>0</v>
      </c>
      <c r="BI82" s="43">
        <v>0</v>
      </c>
      <c r="BJ82" s="43" t="s">
        <v>2090</v>
      </c>
      <c r="BK82" s="43" t="s">
        <v>2090</v>
      </c>
      <c r="BL82" s="43" t="s">
        <v>2090</v>
      </c>
      <c r="BM82" s="43" t="s">
        <v>2091</v>
      </c>
      <c r="BN82" s="43" t="s">
        <v>2090</v>
      </c>
      <c r="BO82" s="43" t="s">
        <v>2090</v>
      </c>
      <c r="BP82" s="43" t="s">
        <v>2090</v>
      </c>
      <c r="BQ82" s="43" t="s">
        <v>2090</v>
      </c>
      <c r="BR82" s="43" t="s">
        <v>2090</v>
      </c>
      <c r="BS82" s="43" t="s">
        <v>2090</v>
      </c>
      <c r="BT82" s="43" t="s">
        <v>2090</v>
      </c>
      <c r="BU82" s="43" t="s">
        <v>2090</v>
      </c>
      <c r="BV82" s="43" t="s">
        <v>2090</v>
      </c>
      <c r="BW82" s="43" t="s">
        <v>2090</v>
      </c>
    </row>
    <row r="83" spans="1:75" ht="152.44999999999999" customHeight="1" x14ac:dyDescent="0.25">
      <c r="A83" s="38" t="s">
        <v>714</v>
      </c>
      <c r="B83" s="38" t="s">
        <v>1659</v>
      </c>
      <c r="C83" s="39" t="s">
        <v>715</v>
      </c>
      <c r="D83" s="40" t="s">
        <v>716</v>
      </c>
      <c r="E83" s="41">
        <v>52123.681600000004</v>
      </c>
      <c r="F83" s="41">
        <v>2643516.4945499999</v>
      </c>
      <c r="G83" s="41">
        <v>206922.9</v>
      </c>
      <c r="H83" s="41">
        <v>167406.9</v>
      </c>
      <c r="I83" s="42">
        <v>1.1959668179774627</v>
      </c>
      <c r="J83" s="41">
        <v>61868.491730000002</v>
      </c>
      <c r="K83" s="41">
        <v>2544133.9485399998</v>
      </c>
      <c r="L83" s="41">
        <v>107280</v>
      </c>
      <c r="M83" s="41">
        <v>72879.899999999994</v>
      </c>
      <c r="N83" s="42">
        <v>1.3543482230300616</v>
      </c>
      <c r="O83" s="41">
        <v>70028.519990000001</v>
      </c>
      <c r="P83" s="41">
        <v>3158733.7284400002</v>
      </c>
      <c r="Q83" s="41">
        <v>305066.59999999998</v>
      </c>
      <c r="R83" s="41">
        <v>226490.1</v>
      </c>
      <c r="S83" s="42">
        <v>1.330342517146994</v>
      </c>
      <c r="T83" s="41">
        <v>65886.19442</v>
      </c>
      <c r="U83" s="41">
        <v>2973567.6410400001</v>
      </c>
      <c r="V83" s="41">
        <v>149017</v>
      </c>
      <c r="W83" s="41">
        <v>101202.7</v>
      </c>
      <c r="X83" s="42">
        <v>1.3241645332751673</v>
      </c>
      <c r="Y83" s="43">
        <v>1</v>
      </c>
      <c r="Z83" s="43" t="s">
        <v>2090</v>
      </c>
      <c r="AA83" s="43" t="s">
        <v>2090</v>
      </c>
      <c r="AB83" s="43" t="s">
        <v>2090</v>
      </c>
      <c r="AC83" s="43" t="s">
        <v>2090</v>
      </c>
      <c r="AD83" s="43">
        <v>0</v>
      </c>
      <c r="AE83" s="43">
        <v>0</v>
      </c>
      <c r="AF83" s="43">
        <v>0</v>
      </c>
      <c r="AG83" s="43">
        <v>0</v>
      </c>
      <c r="AH83" s="43">
        <v>0</v>
      </c>
      <c r="AI83" s="43">
        <v>0</v>
      </c>
      <c r="AJ83" s="43">
        <v>0</v>
      </c>
      <c r="AK83" s="43">
        <v>0</v>
      </c>
      <c r="AL83" s="43">
        <v>0</v>
      </c>
      <c r="AM83" s="43">
        <v>0</v>
      </c>
      <c r="AN83" s="43">
        <v>0</v>
      </c>
      <c r="AO83" s="43">
        <v>0</v>
      </c>
      <c r="AP83" s="43">
        <v>0</v>
      </c>
      <c r="AQ83" s="43">
        <v>0</v>
      </c>
      <c r="AR83" s="43">
        <v>0</v>
      </c>
      <c r="AS83" s="43">
        <v>0</v>
      </c>
      <c r="AT83" s="43">
        <v>0</v>
      </c>
      <c r="AU83" s="43">
        <v>0</v>
      </c>
      <c r="AV83" s="43">
        <v>0</v>
      </c>
      <c r="AW83" s="43">
        <v>0</v>
      </c>
      <c r="AX83" s="43">
        <v>0</v>
      </c>
      <c r="AY83" s="43">
        <v>0</v>
      </c>
      <c r="AZ83" s="43">
        <v>0</v>
      </c>
      <c r="BA83" s="43">
        <v>1</v>
      </c>
      <c r="BB83" s="43">
        <v>0</v>
      </c>
      <c r="BC83" s="43">
        <v>0</v>
      </c>
      <c r="BD83" s="43">
        <v>0</v>
      </c>
      <c r="BE83" s="43">
        <v>0</v>
      </c>
      <c r="BF83" s="43">
        <v>0</v>
      </c>
      <c r="BG83" s="43">
        <v>0</v>
      </c>
      <c r="BH83" s="43">
        <v>0</v>
      </c>
      <c r="BI83" s="43">
        <v>0</v>
      </c>
      <c r="BJ83" s="43" t="s">
        <v>2090</v>
      </c>
      <c r="BK83" s="43" t="s">
        <v>2090</v>
      </c>
      <c r="BL83" s="43" t="s">
        <v>2090</v>
      </c>
      <c r="BM83" s="43" t="s">
        <v>2091</v>
      </c>
      <c r="BN83" s="43" t="s">
        <v>2090</v>
      </c>
      <c r="BO83" s="43" t="s">
        <v>2090</v>
      </c>
      <c r="BP83" s="43" t="s">
        <v>2090</v>
      </c>
      <c r="BQ83" s="43" t="s">
        <v>2090</v>
      </c>
      <c r="BR83" s="43" t="s">
        <v>2090</v>
      </c>
      <c r="BS83" s="43" t="s">
        <v>2090</v>
      </c>
      <c r="BT83" s="43" t="s">
        <v>2090</v>
      </c>
      <c r="BU83" s="43" t="s">
        <v>2090</v>
      </c>
      <c r="BV83" s="43" t="s">
        <v>2090</v>
      </c>
      <c r="BW83" s="43" t="s">
        <v>2090</v>
      </c>
    </row>
    <row r="84" spans="1:75" ht="129.19999999999999" customHeight="1" x14ac:dyDescent="0.25">
      <c r="A84" s="38" t="s">
        <v>717</v>
      </c>
      <c r="B84" s="38" t="s">
        <v>1660</v>
      </c>
      <c r="C84" s="39" t="s">
        <v>718</v>
      </c>
      <c r="D84" s="40" t="s">
        <v>719</v>
      </c>
      <c r="E84" s="41">
        <v>58062.905229999997</v>
      </c>
      <c r="F84" s="41">
        <v>2735170.0532399998</v>
      </c>
      <c r="G84" s="41">
        <v>182674</v>
      </c>
      <c r="H84" s="41">
        <v>150324.79999999999</v>
      </c>
      <c r="I84" s="42">
        <v>1.1804538145435055</v>
      </c>
      <c r="J84" s="41">
        <v>86250.537079999995</v>
      </c>
      <c r="K84" s="41">
        <v>2405477.9670899999</v>
      </c>
      <c r="L84" s="41">
        <v>128924.9</v>
      </c>
      <c r="M84" s="41">
        <v>93523.9</v>
      </c>
      <c r="N84" s="42">
        <v>1.2948138107216871</v>
      </c>
      <c r="O84" s="41">
        <v>0</v>
      </c>
      <c r="P84" s="41">
        <v>157777.98258000001</v>
      </c>
      <c r="Q84" s="41">
        <v>165561</v>
      </c>
      <c r="R84" s="41">
        <v>251319.4</v>
      </c>
      <c r="S84" s="42">
        <v>0.62480965900718133</v>
      </c>
      <c r="T84" s="41">
        <v>90945.424410000007</v>
      </c>
      <c r="U84" s="41">
        <v>2531972.6225299998</v>
      </c>
      <c r="V84" s="41">
        <v>155915.6</v>
      </c>
      <c r="W84" s="41">
        <v>123722.6</v>
      </c>
      <c r="X84" s="42">
        <v>1.1594870650771634</v>
      </c>
      <c r="Y84" s="43">
        <v>1</v>
      </c>
      <c r="Z84" s="43" t="s">
        <v>2090</v>
      </c>
      <c r="AA84" s="43" t="s">
        <v>2090</v>
      </c>
      <c r="AB84" s="43" t="s">
        <v>2090</v>
      </c>
      <c r="AC84" s="43" t="s">
        <v>2090</v>
      </c>
      <c r="AD84" s="43">
        <v>0</v>
      </c>
      <c r="AE84" s="43">
        <v>0</v>
      </c>
      <c r="AF84" s="43">
        <v>0</v>
      </c>
      <c r="AG84" s="43">
        <v>0</v>
      </c>
      <c r="AH84" s="43">
        <v>0</v>
      </c>
      <c r="AI84" s="43">
        <v>0</v>
      </c>
      <c r="AJ84" s="43">
        <v>0</v>
      </c>
      <c r="AK84" s="43">
        <v>0</v>
      </c>
      <c r="AL84" s="43">
        <v>0</v>
      </c>
      <c r="AM84" s="43">
        <v>0</v>
      </c>
      <c r="AN84" s="43">
        <v>0</v>
      </c>
      <c r="AO84" s="43">
        <v>0</v>
      </c>
      <c r="AP84" s="43">
        <v>0</v>
      </c>
      <c r="AQ84" s="43">
        <v>0</v>
      </c>
      <c r="AR84" s="43">
        <v>0</v>
      </c>
      <c r="AS84" s="43">
        <v>0</v>
      </c>
      <c r="AT84" s="43">
        <v>0</v>
      </c>
      <c r="AU84" s="43">
        <v>0</v>
      </c>
      <c r="AV84" s="43">
        <v>0</v>
      </c>
      <c r="AW84" s="43">
        <v>0</v>
      </c>
      <c r="AX84" s="43">
        <v>0</v>
      </c>
      <c r="AY84" s="43">
        <v>0</v>
      </c>
      <c r="AZ84" s="43">
        <v>0</v>
      </c>
      <c r="BA84" s="43">
        <v>1</v>
      </c>
      <c r="BB84" s="43">
        <v>0</v>
      </c>
      <c r="BC84" s="43">
        <v>0</v>
      </c>
      <c r="BD84" s="43">
        <v>0</v>
      </c>
      <c r="BE84" s="43">
        <v>0</v>
      </c>
      <c r="BF84" s="43">
        <v>0</v>
      </c>
      <c r="BG84" s="43">
        <v>0</v>
      </c>
      <c r="BH84" s="43">
        <v>0</v>
      </c>
      <c r="BI84" s="43">
        <v>0</v>
      </c>
      <c r="BJ84" s="43" t="s">
        <v>2090</v>
      </c>
      <c r="BK84" s="43" t="s">
        <v>2090</v>
      </c>
      <c r="BL84" s="43" t="s">
        <v>2091</v>
      </c>
      <c r="BM84" s="43" t="s">
        <v>2090</v>
      </c>
      <c r="BN84" s="43" t="s">
        <v>2090</v>
      </c>
      <c r="BO84" s="43" t="s">
        <v>2090</v>
      </c>
      <c r="BP84" s="43" t="s">
        <v>2090</v>
      </c>
      <c r="BQ84" s="43" t="s">
        <v>2090</v>
      </c>
      <c r="BR84" s="43" t="s">
        <v>2090</v>
      </c>
      <c r="BS84" s="43" t="s">
        <v>2090</v>
      </c>
      <c r="BT84" s="43" t="s">
        <v>2090</v>
      </c>
      <c r="BU84" s="43" t="s">
        <v>2090</v>
      </c>
      <c r="BV84" s="43" t="s">
        <v>2090</v>
      </c>
      <c r="BW84" s="43" t="s">
        <v>2090</v>
      </c>
    </row>
    <row r="85" spans="1:75" ht="159.94999999999999" customHeight="1" x14ac:dyDescent="0.25">
      <c r="A85" s="38" t="s">
        <v>720</v>
      </c>
      <c r="B85" s="38" t="s">
        <v>1661</v>
      </c>
      <c r="C85" s="39" t="s">
        <v>721</v>
      </c>
      <c r="D85" s="40" t="s">
        <v>722</v>
      </c>
      <c r="E85" s="41">
        <v>48773.274940000003</v>
      </c>
      <c r="F85" s="41">
        <v>2644866.3667799998</v>
      </c>
      <c r="G85" s="41">
        <v>142364.6</v>
      </c>
      <c r="H85" s="41">
        <v>118964.5</v>
      </c>
      <c r="I85" s="42">
        <v>1.1602732194214176</v>
      </c>
      <c r="J85" s="41">
        <v>57484.408649999998</v>
      </c>
      <c r="K85" s="41">
        <v>2485513.00862</v>
      </c>
      <c r="L85" s="41">
        <v>159896.9</v>
      </c>
      <c r="M85" s="41">
        <v>115113</v>
      </c>
      <c r="N85" s="42">
        <v>1.3129879578252421</v>
      </c>
      <c r="O85" s="41">
        <v>37582.167300000001</v>
      </c>
      <c r="P85" s="41">
        <v>2455679.93909</v>
      </c>
      <c r="Q85" s="41">
        <v>298175.90000000002</v>
      </c>
      <c r="R85" s="41">
        <v>269693.90000000002</v>
      </c>
      <c r="S85" s="42">
        <v>1.0743572853280021</v>
      </c>
      <c r="T85" s="41">
        <v>72766.375570000004</v>
      </c>
      <c r="U85" s="41">
        <v>3126732.81507</v>
      </c>
      <c r="V85" s="41">
        <v>93917.2</v>
      </c>
      <c r="W85" s="41">
        <v>52271.6</v>
      </c>
      <c r="X85" s="42">
        <v>1.5217222402071866</v>
      </c>
      <c r="Y85" s="43">
        <v>1</v>
      </c>
      <c r="Z85" s="43" t="s">
        <v>2090</v>
      </c>
      <c r="AA85" s="43" t="s">
        <v>2090</v>
      </c>
      <c r="AB85" s="43" t="s">
        <v>2090</v>
      </c>
      <c r="AC85" s="43" t="s">
        <v>2090</v>
      </c>
      <c r="AD85" s="43">
        <v>0</v>
      </c>
      <c r="AE85" s="43">
        <v>0</v>
      </c>
      <c r="AF85" s="43">
        <v>0</v>
      </c>
      <c r="AG85" s="43">
        <v>0</v>
      </c>
      <c r="AH85" s="43">
        <v>0</v>
      </c>
      <c r="AI85" s="43">
        <v>0</v>
      </c>
      <c r="AJ85" s="43">
        <v>0</v>
      </c>
      <c r="AK85" s="43">
        <v>0</v>
      </c>
      <c r="AL85" s="43">
        <v>0</v>
      </c>
      <c r="AM85" s="43">
        <v>0</v>
      </c>
      <c r="AN85" s="43">
        <v>0</v>
      </c>
      <c r="AO85" s="43">
        <v>0</v>
      </c>
      <c r="AP85" s="43">
        <v>0</v>
      </c>
      <c r="AQ85" s="43">
        <v>0</v>
      </c>
      <c r="AR85" s="43">
        <v>0</v>
      </c>
      <c r="AS85" s="43">
        <v>0</v>
      </c>
      <c r="AT85" s="43">
        <v>0</v>
      </c>
      <c r="AU85" s="43">
        <v>0</v>
      </c>
      <c r="AV85" s="43">
        <v>0</v>
      </c>
      <c r="AW85" s="43">
        <v>0</v>
      </c>
      <c r="AX85" s="43">
        <v>0</v>
      </c>
      <c r="AY85" s="43">
        <v>0</v>
      </c>
      <c r="AZ85" s="43">
        <v>0</v>
      </c>
      <c r="BA85" s="43">
        <v>1</v>
      </c>
      <c r="BB85" s="43">
        <v>0</v>
      </c>
      <c r="BC85" s="43">
        <v>0</v>
      </c>
      <c r="BD85" s="43">
        <v>0</v>
      </c>
      <c r="BE85" s="43">
        <v>0</v>
      </c>
      <c r="BF85" s="43">
        <v>0</v>
      </c>
      <c r="BG85" s="43">
        <v>0</v>
      </c>
      <c r="BH85" s="43">
        <v>0</v>
      </c>
      <c r="BI85" s="43">
        <v>0</v>
      </c>
      <c r="BJ85" s="43" t="s">
        <v>2090</v>
      </c>
      <c r="BK85" s="43" t="s">
        <v>2090</v>
      </c>
      <c r="BL85" s="43" t="s">
        <v>2090</v>
      </c>
      <c r="BM85" s="43" t="s">
        <v>2091</v>
      </c>
      <c r="BN85" s="43" t="s">
        <v>2090</v>
      </c>
      <c r="BO85" s="43" t="s">
        <v>2090</v>
      </c>
      <c r="BP85" s="43" t="s">
        <v>2090</v>
      </c>
      <c r="BQ85" s="43" t="s">
        <v>2090</v>
      </c>
      <c r="BR85" s="43" t="s">
        <v>2090</v>
      </c>
      <c r="BS85" s="43" t="s">
        <v>2090</v>
      </c>
      <c r="BT85" s="43" t="s">
        <v>2090</v>
      </c>
      <c r="BU85" s="43" t="s">
        <v>2090</v>
      </c>
      <c r="BV85" s="43" t="s">
        <v>2090</v>
      </c>
      <c r="BW85" s="43" t="s">
        <v>2090</v>
      </c>
    </row>
    <row r="86" spans="1:75" ht="132.19999999999999" customHeight="1" x14ac:dyDescent="0.25">
      <c r="A86" s="38" t="s">
        <v>723</v>
      </c>
      <c r="B86" s="38" t="s">
        <v>1662</v>
      </c>
      <c r="C86" s="39" t="s">
        <v>724</v>
      </c>
      <c r="D86" s="40" t="s">
        <v>725</v>
      </c>
      <c r="E86" s="41">
        <v>43803.277110000003</v>
      </c>
      <c r="F86" s="41">
        <v>2504211.6854400001</v>
      </c>
      <c r="G86" s="41">
        <v>281107.3</v>
      </c>
      <c r="H86" s="41">
        <v>251242.3</v>
      </c>
      <c r="I86" s="42">
        <v>1.0751304105443396</v>
      </c>
      <c r="J86" s="41">
        <v>35349.986649999999</v>
      </c>
      <c r="K86" s="41">
        <v>2042167.95355</v>
      </c>
      <c r="L86" s="41">
        <v>261889</v>
      </c>
      <c r="M86" s="41">
        <v>294071</v>
      </c>
      <c r="N86" s="42">
        <v>0.85270034806981354</v>
      </c>
      <c r="O86" s="41">
        <v>3939.38627</v>
      </c>
      <c r="P86" s="41">
        <v>573517.30853000004</v>
      </c>
      <c r="Q86" s="41">
        <v>141630.79999999999</v>
      </c>
      <c r="R86" s="41">
        <v>277391.40000000002</v>
      </c>
      <c r="S86" s="42">
        <v>0.47403665565701703</v>
      </c>
      <c r="T86" s="41">
        <v>47224.931709999997</v>
      </c>
      <c r="U86" s="41">
        <v>2517937.6521800002</v>
      </c>
      <c r="V86" s="41">
        <v>69084.2</v>
      </c>
      <c r="W86" s="41">
        <v>60446.2</v>
      </c>
      <c r="X86" s="42">
        <v>1.0088062051670845</v>
      </c>
      <c r="Y86" s="43">
        <v>1</v>
      </c>
      <c r="Z86" s="43" t="s">
        <v>2090</v>
      </c>
      <c r="AA86" s="43" t="s">
        <v>2090</v>
      </c>
      <c r="AB86" s="43" t="s">
        <v>2090</v>
      </c>
      <c r="AC86" s="43" t="s">
        <v>2090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>
        <v>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>
        <v>0</v>
      </c>
      <c r="AS86" s="43">
        <v>0</v>
      </c>
      <c r="AT86" s="43">
        <v>0</v>
      </c>
      <c r="AU86" s="43">
        <v>0</v>
      </c>
      <c r="AV86" s="43">
        <v>0</v>
      </c>
      <c r="AW86" s="43">
        <v>0</v>
      </c>
      <c r="AX86" s="43">
        <v>0</v>
      </c>
      <c r="AY86" s="43">
        <v>0</v>
      </c>
      <c r="AZ86" s="43">
        <v>0</v>
      </c>
      <c r="BA86" s="43">
        <v>1</v>
      </c>
      <c r="BB86" s="43">
        <v>0</v>
      </c>
      <c r="BC86" s="43">
        <v>0</v>
      </c>
      <c r="BD86" s="43">
        <v>0</v>
      </c>
      <c r="BE86" s="43">
        <v>0</v>
      </c>
      <c r="BF86" s="43">
        <v>0</v>
      </c>
      <c r="BG86" s="43">
        <v>0</v>
      </c>
      <c r="BH86" s="43">
        <v>0</v>
      </c>
      <c r="BI86" s="43">
        <v>0</v>
      </c>
      <c r="BJ86" s="43" t="s">
        <v>2090</v>
      </c>
      <c r="BK86" s="43" t="s">
        <v>2090</v>
      </c>
      <c r="BL86" s="43" t="s">
        <v>2091</v>
      </c>
      <c r="BM86" s="43" t="s">
        <v>2090</v>
      </c>
      <c r="BN86" s="43" t="s">
        <v>2090</v>
      </c>
      <c r="BO86" s="43" t="s">
        <v>2090</v>
      </c>
      <c r="BP86" s="43" t="s">
        <v>2090</v>
      </c>
      <c r="BQ86" s="43" t="s">
        <v>2090</v>
      </c>
      <c r="BR86" s="43" t="s">
        <v>2090</v>
      </c>
      <c r="BS86" s="43" t="s">
        <v>2090</v>
      </c>
      <c r="BT86" s="43" t="s">
        <v>2090</v>
      </c>
      <c r="BU86" s="43" t="s">
        <v>2090</v>
      </c>
      <c r="BV86" s="43" t="s">
        <v>2090</v>
      </c>
      <c r="BW86" s="43" t="s">
        <v>2090</v>
      </c>
    </row>
    <row r="87" spans="1:75" ht="109.7" customHeight="1" x14ac:dyDescent="0.25">
      <c r="A87" s="38" t="s">
        <v>726</v>
      </c>
      <c r="B87" s="38" t="s">
        <v>1663</v>
      </c>
      <c r="C87" s="39" t="s">
        <v>727</v>
      </c>
      <c r="D87" s="40" t="s">
        <v>728</v>
      </c>
      <c r="E87" s="41">
        <v>0</v>
      </c>
      <c r="F87" s="41">
        <v>210970.45035999999</v>
      </c>
      <c r="G87" s="41">
        <v>68855.399999999994</v>
      </c>
      <c r="H87" s="41">
        <v>277169.3</v>
      </c>
      <c r="I87" s="42">
        <v>0.23562829582569811</v>
      </c>
      <c r="J87" s="41">
        <v>961.28749000000005</v>
      </c>
      <c r="K87" s="41">
        <v>5470.9879499999997</v>
      </c>
      <c r="L87" s="41">
        <v>57336.7</v>
      </c>
      <c r="M87" s="41">
        <v>205706.7</v>
      </c>
      <c r="N87" s="42">
        <v>0.26850059307606738</v>
      </c>
      <c r="O87" s="41">
        <v>0</v>
      </c>
      <c r="P87" s="41">
        <v>21852.634719999998</v>
      </c>
      <c r="Q87" s="41">
        <v>123457.2</v>
      </c>
      <c r="R87" s="41">
        <v>471568.9</v>
      </c>
      <c r="S87" s="42">
        <v>0.24198573492556413</v>
      </c>
      <c r="T87" s="41">
        <v>3483.4493499999999</v>
      </c>
      <c r="U87" s="41">
        <v>490640.69854999997</v>
      </c>
      <c r="V87" s="41">
        <v>122128.8</v>
      </c>
      <c r="W87" s="41">
        <v>303677.3</v>
      </c>
      <c r="X87" s="42">
        <v>0.37888658992351332</v>
      </c>
      <c r="Y87" s="43">
        <v>1</v>
      </c>
      <c r="Z87" s="43" t="s">
        <v>2090</v>
      </c>
      <c r="AA87" s="43" t="s">
        <v>2090</v>
      </c>
      <c r="AB87" s="43" t="s">
        <v>2090</v>
      </c>
      <c r="AC87" s="43" t="s">
        <v>2090</v>
      </c>
      <c r="AD87" s="43">
        <v>0</v>
      </c>
      <c r="AE87" s="43">
        <v>0</v>
      </c>
      <c r="AF87" s="43">
        <v>0</v>
      </c>
      <c r="AG87" s="43">
        <v>0</v>
      </c>
      <c r="AH87" s="43">
        <v>0</v>
      </c>
      <c r="AI87" s="43">
        <v>0</v>
      </c>
      <c r="AJ87" s="43">
        <v>0</v>
      </c>
      <c r="AK87" s="43">
        <v>0</v>
      </c>
      <c r="AL87" s="43">
        <v>0</v>
      </c>
      <c r="AM87" s="43">
        <v>0</v>
      </c>
      <c r="AN87" s="43">
        <v>0</v>
      </c>
      <c r="AO87" s="43">
        <v>0</v>
      </c>
      <c r="AP87" s="43">
        <v>0</v>
      </c>
      <c r="AQ87" s="43">
        <v>0</v>
      </c>
      <c r="AR87" s="43">
        <v>0</v>
      </c>
      <c r="AS87" s="43">
        <v>0</v>
      </c>
      <c r="AT87" s="43">
        <v>0</v>
      </c>
      <c r="AU87" s="43">
        <v>0</v>
      </c>
      <c r="AV87" s="43">
        <v>0</v>
      </c>
      <c r="AW87" s="43">
        <v>0</v>
      </c>
      <c r="AX87" s="43">
        <v>0</v>
      </c>
      <c r="AY87" s="43">
        <v>0</v>
      </c>
      <c r="AZ87" s="43">
        <v>0</v>
      </c>
      <c r="BA87" s="43">
        <v>0</v>
      </c>
      <c r="BB87" s="43">
        <v>0</v>
      </c>
      <c r="BC87" s="43">
        <v>0</v>
      </c>
      <c r="BD87" s="43">
        <v>0</v>
      </c>
      <c r="BE87" s="43">
        <v>1</v>
      </c>
      <c r="BF87" s="43">
        <v>0</v>
      </c>
      <c r="BG87" s="43">
        <v>0</v>
      </c>
      <c r="BH87" s="43">
        <v>0</v>
      </c>
      <c r="BI87" s="43">
        <v>0</v>
      </c>
      <c r="BJ87" s="43" t="s">
        <v>2090</v>
      </c>
      <c r="BK87" s="43" t="s">
        <v>2090</v>
      </c>
      <c r="BL87" s="43" t="s">
        <v>2090</v>
      </c>
      <c r="BM87" s="43" t="s">
        <v>2090</v>
      </c>
      <c r="BN87" s="43" t="s">
        <v>2090</v>
      </c>
      <c r="BO87" s="43" t="s">
        <v>2090</v>
      </c>
      <c r="BP87" s="43" t="s">
        <v>2090</v>
      </c>
      <c r="BQ87" s="43" t="s">
        <v>2090</v>
      </c>
      <c r="BR87" s="43" t="s">
        <v>2090</v>
      </c>
      <c r="BS87" s="43" t="s">
        <v>2090</v>
      </c>
      <c r="BT87" s="43" t="s">
        <v>2090</v>
      </c>
      <c r="BU87" s="43" t="s">
        <v>2090</v>
      </c>
      <c r="BV87" s="43" t="s">
        <v>2090</v>
      </c>
      <c r="BW87" s="43" t="s">
        <v>2090</v>
      </c>
    </row>
    <row r="88" spans="1:75" ht="117.95" customHeight="1" x14ac:dyDescent="0.25">
      <c r="A88" s="38" t="s">
        <v>729</v>
      </c>
      <c r="B88" s="38" t="s">
        <v>1664</v>
      </c>
      <c r="C88" s="39" t="s">
        <v>730</v>
      </c>
      <c r="D88" s="40" t="s">
        <v>731</v>
      </c>
      <c r="E88" s="41">
        <v>51027.093480000003</v>
      </c>
      <c r="F88" s="41">
        <v>2613711.2905299999</v>
      </c>
      <c r="G88" s="41">
        <v>289206.3</v>
      </c>
      <c r="H88" s="41">
        <v>237235.9</v>
      </c>
      <c r="I88" s="42">
        <v>1.1782390541594971</v>
      </c>
      <c r="J88" s="41">
        <v>53023.031170000002</v>
      </c>
      <c r="K88" s="41">
        <v>2325133.8220700002</v>
      </c>
      <c r="L88" s="41">
        <v>179950.4</v>
      </c>
      <c r="M88" s="41">
        <v>142591.4</v>
      </c>
      <c r="N88" s="42">
        <v>1.1566819509515922</v>
      </c>
      <c r="O88" s="41">
        <v>6862.3111600000002</v>
      </c>
      <c r="P88" s="41">
        <v>999926.09531999996</v>
      </c>
      <c r="Q88" s="41">
        <v>91934.5</v>
      </c>
      <c r="R88" s="41">
        <v>122144.8</v>
      </c>
      <c r="S88" s="42">
        <v>0.71537659838858392</v>
      </c>
      <c r="T88" s="41">
        <v>70117.057509999999</v>
      </c>
      <c r="U88" s="41">
        <v>2920857.3280199999</v>
      </c>
      <c r="V88" s="41">
        <v>78482.600000000006</v>
      </c>
      <c r="W88" s="41">
        <v>52943</v>
      </c>
      <c r="X88" s="42">
        <v>1.2309945138802953</v>
      </c>
      <c r="Y88" s="43">
        <v>1</v>
      </c>
      <c r="Z88" s="43" t="s">
        <v>2090</v>
      </c>
      <c r="AA88" s="43" t="s">
        <v>2090</v>
      </c>
      <c r="AB88" s="43" t="s">
        <v>2090</v>
      </c>
      <c r="AC88" s="43" t="s">
        <v>2090</v>
      </c>
      <c r="AD88" s="43">
        <v>0</v>
      </c>
      <c r="AE88" s="43">
        <v>0</v>
      </c>
      <c r="AF88" s="43">
        <v>0</v>
      </c>
      <c r="AG88" s="43">
        <v>0</v>
      </c>
      <c r="AH88" s="43">
        <v>0</v>
      </c>
      <c r="AI88" s="43">
        <v>1</v>
      </c>
      <c r="AJ88" s="43">
        <v>0</v>
      </c>
      <c r="AK88" s="43">
        <v>0</v>
      </c>
      <c r="AL88" s="43">
        <v>0</v>
      </c>
      <c r="AM88" s="43">
        <v>0</v>
      </c>
      <c r="AN88" s="43">
        <v>0</v>
      </c>
      <c r="AO88" s="43">
        <v>0</v>
      </c>
      <c r="AP88" s="43">
        <v>0</v>
      </c>
      <c r="AQ88" s="43">
        <v>0</v>
      </c>
      <c r="AR88" s="43">
        <v>0</v>
      </c>
      <c r="AS88" s="43">
        <v>0</v>
      </c>
      <c r="AT88" s="43">
        <v>0</v>
      </c>
      <c r="AU88" s="43">
        <v>0</v>
      </c>
      <c r="AV88" s="43">
        <v>0</v>
      </c>
      <c r="AW88" s="43">
        <v>0</v>
      </c>
      <c r="AX88" s="43">
        <v>0</v>
      </c>
      <c r="AY88" s="43">
        <v>0</v>
      </c>
      <c r="AZ88" s="43">
        <v>0</v>
      </c>
      <c r="BA88" s="43">
        <v>0</v>
      </c>
      <c r="BB88" s="43">
        <v>0</v>
      </c>
      <c r="BC88" s="43">
        <v>0</v>
      </c>
      <c r="BD88" s="43">
        <v>0</v>
      </c>
      <c r="BE88" s="43">
        <v>0</v>
      </c>
      <c r="BF88" s="43">
        <v>0</v>
      </c>
      <c r="BG88" s="43">
        <v>0</v>
      </c>
      <c r="BH88" s="43">
        <v>0</v>
      </c>
      <c r="BI88" s="43">
        <v>0</v>
      </c>
      <c r="BJ88" s="43" t="s">
        <v>2090</v>
      </c>
      <c r="BK88" s="43" t="s">
        <v>2090</v>
      </c>
      <c r="BL88" s="43" t="s">
        <v>2090</v>
      </c>
      <c r="BM88" s="43" t="s">
        <v>2090</v>
      </c>
      <c r="BN88" s="43" t="s">
        <v>2090</v>
      </c>
      <c r="BO88" s="43" t="s">
        <v>2090</v>
      </c>
      <c r="BP88" s="43" t="s">
        <v>2090</v>
      </c>
      <c r="BQ88" s="43" t="s">
        <v>2090</v>
      </c>
      <c r="BR88" s="43" t="s">
        <v>2090</v>
      </c>
      <c r="BS88" s="43" t="s">
        <v>2090</v>
      </c>
      <c r="BT88" s="43" t="s">
        <v>2090</v>
      </c>
      <c r="BU88" s="43" t="s">
        <v>2091</v>
      </c>
      <c r="BV88" s="43" t="s">
        <v>2090</v>
      </c>
      <c r="BW88" s="43" t="s">
        <v>2090</v>
      </c>
    </row>
    <row r="89" spans="1:75" ht="111.2" customHeight="1" x14ac:dyDescent="0.25">
      <c r="A89" s="38" t="s">
        <v>732</v>
      </c>
      <c r="B89" s="38" t="s">
        <v>1665</v>
      </c>
      <c r="C89" s="39" t="s">
        <v>733</v>
      </c>
      <c r="D89" s="40" t="s">
        <v>734</v>
      </c>
      <c r="E89" s="41">
        <v>62805.13</v>
      </c>
      <c r="F89" s="41">
        <v>2817834.0435899999</v>
      </c>
      <c r="G89" s="41">
        <v>229804.3</v>
      </c>
      <c r="H89" s="41">
        <v>168864.7</v>
      </c>
      <c r="I89" s="42">
        <v>1.3234604476667584</v>
      </c>
      <c r="J89" s="41">
        <v>40688.363689999998</v>
      </c>
      <c r="K89" s="41">
        <v>2132516.87574</v>
      </c>
      <c r="L89" s="41">
        <v>204004.8</v>
      </c>
      <c r="M89" s="41">
        <v>187724.79999999999</v>
      </c>
      <c r="N89" s="42">
        <v>1.0166599759132877</v>
      </c>
      <c r="O89" s="41">
        <v>94568.019289999997</v>
      </c>
      <c r="P89" s="41">
        <v>3231619.94087</v>
      </c>
      <c r="Q89" s="41">
        <v>343557.1</v>
      </c>
      <c r="R89" s="41">
        <v>218702.6</v>
      </c>
      <c r="S89" s="42">
        <v>1.5152413489089707</v>
      </c>
      <c r="T89" s="41">
        <v>59314.88409</v>
      </c>
      <c r="U89" s="41">
        <v>2843712.1391599998</v>
      </c>
      <c r="V89" s="41">
        <v>86052.3</v>
      </c>
      <c r="W89" s="41">
        <v>56845.5</v>
      </c>
      <c r="X89" s="42">
        <v>1.2945448610714432</v>
      </c>
      <c r="Y89" s="43">
        <v>1</v>
      </c>
      <c r="Z89" s="43" t="s">
        <v>2090</v>
      </c>
      <c r="AA89" s="43" t="s">
        <v>2090</v>
      </c>
      <c r="AB89" s="43" t="s">
        <v>2090</v>
      </c>
      <c r="AC89" s="43" t="s">
        <v>2090</v>
      </c>
      <c r="AD89" s="43">
        <v>0</v>
      </c>
      <c r="AE89" s="43">
        <v>0</v>
      </c>
      <c r="AF89" s="43">
        <v>0</v>
      </c>
      <c r="AG89" s="43">
        <v>1</v>
      </c>
      <c r="AH89" s="43">
        <v>0</v>
      </c>
      <c r="AI89" s="43">
        <v>0</v>
      </c>
      <c r="AJ89" s="43">
        <v>0</v>
      </c>
      <c r="AK89" s="43">
        <v>0</v>
      </c>
      <c r="AL89" s="43">
        <v>0</v>
      </c>
      <c r="AM89" s="43">
        <v>0</v>
      </c>
      <c r="AN89" s="43">
        <v>0</v>
      </c>
      <c r="AO89" s="43">
        <v>0</v>
      </c>
      <c r="AP89" s="43">
        <v>0</v>
      </c>
      <c r="AQ89" s="43">
        <v>0</v>
      </c>
      <c r="AR89" s="43">
        <v>0</v>
      </c>
      <c r="AS89" s="43">
        <v>0</v>
      </c>
      <c r="AT89" s="43">
        <v>0</v>
      </c>
      <c r="AU89" s="43">
        <v>0</v>
      </c>
      <c r="AV89" s="43">
        <v>0</v>
      </c>
      <c r="AW89" s="43">
        <v>0</v>
      </c>
      <c r="AX89" s="43">
        <v>0</v>
      </c>
      <c r="AY89" s="43">
        <v>0</v>
      </c>
      <c r="AZ89" s="43">
        <v>0</v>
      </c>
      <c r="BA89" s="43">
        <v>0</v>
      </c>
      <c r="BB89" s="43">
        <v>0</v>
      </c>
      <c r="BC89" s="43">
        <v>0</v>
      </c>
      <c r="BD89" s="43">
        <v>0</v>
      </c>
      <c r="BE89" s="43">
        <v>0</v>
      </c>
      <c r="BF89" s="43">
        <v>0</v>
      </c>
      <c r="BG89" s="43">
        <v>0</v>
      </c>
      <c r="BH89" s="43">
        <v>0</v>
      </c>
      <c r="BI89" s="43">
        <v>0</v>
      </c>
      <c r="BJ89" s="43" t="s">
        <v>2090</v>
      </c>
      <c r="BK89" s="43" t="s">
        <v>2090</v>
      </c>
      <c r="BL89" s="43" t="s">
        <v>2090</v>
      </c>
      <c r="BM89" s="43" t="s">
        <v>2090</v>
      </c>
      <c r="BN89" s="43" t="s">
        <v>2090</v>
      </c>
      <c r="BO89" s="43" t="s">
        <v>2090</v>
      </c>
      <c r="BP89" s="43" t="s">
        <v>2090</v>
      </c>
      <c r="BQ89" s="43" t="s">
        <v>2090</v>
      </c>
      <c r="BR89" s="43" t="s">
        <v>2090</v>
      </c>
      <c r="BS89" s="43" t="s">
        <v>2090</v>
      </c>
      <c r="BT89" s="43" t="s">
        <v>2090</v>
      </c>
      <c r="BU89" s="43" t="s">
        <v>2090</v>
      </c>
      <c r="BV89" s="43" t="s">
        <v>2090</v>
      </c>
      <c r="BW89" s="43" t="s">
        <v>2090</v>
      </c>
    </row>
    <row r="90" spans="1:75" ht="119.45" customHeight="1" x14ac:dyDescent="0.25">
      <c r="A90" s="38" t="s">
        <v>735</v>
      </c>
      <c r="B90" s="38" t="s">
        <v>1666</v>
      </c>
      <c r="C90" s="39" t="s">
        <v>736</v>
      </c>
      <c r="D90" s="40" t="s">
        <v>737</v>
      </c>
      <c r="E90" s="41">
        <v>56699.553500000002</v>
      </c>
      <c r="F90" s="41">
        <v>2809850.9948300002</v>
      </c>
      <c r="G90" s="41">
        <v>94100.1</v>
      </c>
      <c r="H90" s="41">
        <v>67274.600000000006</v>
      </c>
      <c r="I90" s="42">
        <v>1.3371594444866053</v>
      </c>
      <c r="J90" s="41">
        <v>41214.644310000003</v>
      </c>
      <c r="K90" s="41">
        <v>2192040.76406</v>
      </c>
      <c r="L90" s="41">
        <v>129761.9</v>
      </c>
      <c r="M90" s="41">
        <v>113669.7</v>
      </c>
      <c r="N90" s="42">
        <v>1.0808359797826186</v>
      </c>
      <c r="O90" s="41">
        <v>84420.627290000004</v>
      </c>
      <c r="P90" s="41">
        <v>3253338.98123</v>
      </c>
      <c r="Q90" s="41">
        <v>218569.4</v>
      </c>
      <c r="R90" s="41">
        <v>131818.5</v>
      </c>
      <c r="S90" s="42">
        <v>1.6088814780742102</v>
      </c>
      <c r="T90" s="41">
        <v>67309.903909999994</v>
      </c>
      <c r="U90" s="41">
        <v>2938562.0388000002</v>
      </c>
      <c r="V90" s="41">
        <v>184207</v>
      </c>
      <c r="W90" s="41">
        <v>123364.4</v>
      </c>
      <c r="X90" s="42">
        <v>1.3090592744968328</v>
      </c>
      <c r="Y90" s="43">
        <v>1</v>
      </c>
      <c r="Z90" s="43" t="s">
        <v>2090</v>
      </c>
      <c r="AA90" s="43" t="s">
        <v>2090</v>
      </c>
      <c r="AB90" s="43" t="s">
        <v>2090</v>
      </c>
      <c r="AC90" s="43" t="s">
        <v>2090</v>
      </c>
      <c r="AD90" s="43">
        <v>0</v>
      </c>
      <c r="AE90" s="43">
        <v>0</v>
      </c>
      <c r="AF90" s="43">
        <v>0</v>
      </c>
      <c r="AG90" s="43">
        <v>1</v>
      </c>
      <c r="AH90" s="43">
        <v>0</v>
      </c>
      <c r="AI90" s="43">
        <v>0</v>
      </c>
      <c r="AJ90" s="43">
        <v>0</v>
      </c>
      <c r="AK90" s="43">
        <v>0</v>
      </c>
      <c r="AL90" s="43">
        <v>0</v>
      </c>
      <c r="AM90" s="43">
        <v>0</v>
      </c>
      <c r="AN90" s="43">
        <v>0</v>
      </c>
      <c r="AO90" s="43">
        <v>0</v>
      </c>
      <c r="AP90" s="43">
        <v>0</v>
      </c>
      <c r="AQ90" s="43">
        <v>0</v>
      </c>
      <c r="AR90" s="43">
        <v>0</v>
      </c>
      <c r="AS90" s="43">
        <v>0</v>
      </c>
      <c r="AT90" s="43">
        <v>0</v>
      </c>
      <c r="AU90" s="43">
        <v>0</v>
      </c>
      <c r="AV90" s="43">
        <v>0</v>
      </c>
      <c r="AW90" s="43">
        <v>0</v>
      </c>
      <c r="AX90" s="43">
        <v>0</v>
      </c>
      <c r="AY90" s="43">
        <v>0</v>
      </c>
      <c r="AZ90" s="43">
        <v>0</v>
      </c>
      <c r="BA90" s="43">
        <v>0</v>
      </c>
      <c r="BB90" s="43">
        <v>0</v>
      </c>
      <c r="BC90" s="43">
        <v>0</v>
      </c>
      <c r="BD90" s="43">
        <v>0</v>
      </c>
      <c r="BE90" s="43">
        <v>0</v>
      </c>
      <c r="BF90" s="43">
        <v>0</v>
      </c>
      <c r="BG90" s="43">
        <v>0</v>
      </c>
      <c r="BH90" s="43">
        <v>0</v>
      </c>
      <c r="BI90" s="43">
        <v>0</v>
      </c>
      <c r="BJ90" s="43" t="s">
        <v>2090</v>
      </c>
      <c r="BK90" s="43" t="s">
        <v>2090</v>
      </c>
      <c r="BL90" s="43" t="s">
        <v>2090</v>
      </c>
      <c r="BM90" s="43" t="s">
        <v>2090</v>
      </c>
      <c r="BN90" s="43" t="s">
        <v>2090</v>
      </c>
      <c r="BO90" s="43" t="s">
        <v>2090</v>
      </c>
      <c r="BP90" s="43" t="s">
        <v>2090</v>
      </c>
      <c r="BQ90" s="43" t="s">
        <v>2090</v>
      </c>
      <c r="BR90" s="43" t="s">
        <v>2090</v>
      </c>
      <c r="BS90" s="43" t="s">
        <v>2090</v>
      </c>
      <c r="BT90" s="43" t="s">
        <v>2090</v>
      </c>
      <c r="BU90" s="43" t="s">
        <v>2090</v>
      </c>
      <c r="BV90" s="43" t="s">
        <v>2090</v>
      </c>
      <c r="BW90" s="43" t="s">
        <v>2090</v>
      </c>
    </row>
    <row r="91" spans="1:75" ht="101.45" customHeight="1" x14ac:dyDescent="0.25">
      <c r="A91" s="38" t="s">
        <v>738</v>
      </c>
      <c r="B91" s="38" t="s">
        <v>1667</v>
      </c>
      <c r="C91" s="39" t="s">
        <v>739</v>
      </c>
      <c r="D91" s="40" t="s">
        <v>740</v>
      </c>
      <c r="E91" s="41">
        <v>82620.109039999996</v>
      </c>
      <c r="F91" s="41">
        <v>3202934.4323700001</v>
      </c>
      <c r="G91" s="41">
        <v>258736.4</v>
      </c>
      <c r="H91" s="41">
        <v>196261.8</v>
      </c>
      <c r="I91" s="42">
        <v>1.2685978658497992</v>
      </c>
      <c r="J91" s="41">
        <v>47631.492850000002</v>
      </c>
      <c r="K91" s="41">
        <v>2324338.4243800002</v>
      </c>
      <c r="L91" s="41">
        <v>251886.8</v>
      </c>
      <c r="M91" s="41">
        <v>208412.4</v>
      </c>
      <c r="N91" s="42">
        <v>1.1621689039458876</v>
      </c>
      <c r="O91" s="41">
        <v>95103.263680000004</v>
      </c>
      <c r="P91" s="41">
        <v>3337374.11784</v>
      </c>
      <c r="Q91" s="41">
        <v>232627.4</v>
      </c>
      <c r="R91" s="41">
        <v>146473.4</v>
      </c>
      <c r="S91" s="42">
        <v>1.5213407802683885</v>
      </c>
      <c r="T91" s="41">
        <v>69367.657200000001</v>
      </c>
      <c r="U91" s="41">
        <v>3029137.8033400001</v>
      </c>
      <c r="V91" s="41">
        <v>41107.800000000003</v>
      </c>
      <c r="W91" s="41">
        <v>27885.1</v>
      </c>
      <c r="X91" s="42">
        <v>1.3675779676943041</v>
      </c>
      <c r="Y91" s="43">
        <v>1</v>
      </c>
      <c r="Z91" s="43" t="s">
        <v>2090</v>
      </c>
      <c r="AA91" s="43" t="s">
        <v>2090</v>
      </c>
      <c r="AB91" s="43" t="s">
        <v>2090</v>
      </c>
      <c r="AC91" s="43" t="s">
        <v>2090</v>
      </c>
      <c r="AD91" s="43">
        <v>0</v>
      </c>
      <c r="AE91" s="43">
        <v>0</v>
      </c>
      <c r="AF91" s="43">
        <v>0</v>
      </c>
      <c r="AG91" s="43">
        <v>1</v>
      </c>
      <c r="AH91" s="43">
        <v>0</v>
      </c>
      <c r="AI91" s="43">
        <v>0</v>
      </c>
      <c r="AJ91" s="43">
        <v>0</v>
      </c>
      <c r="AK91" s="43">
        <v>0</v>
      </c>
      <c r="AL91" s="43">
        <v>0</v>
      </c>
      <c r="AM91" s="43">
        <v>0</v>
      </c>
      <c r="AN91" s="43">
        <v>0</v>
      </c>
      <c r="AO91" s="43">
        <v>0</v>
      </c>
      <c r="AP91" s="43">
        <v>0</v>
      </c>
      <c r="AQ91" s="43">
        <v>0</v>
      </c>
      <c r="AR91" s="43">
        <v>0</v>
      </c>
      <c r="AS91" s="43">
        <v>0</v>
      </c>
      <c r="AT91" s="43">
        <v>0</v>
      </c>
      <c r="AU91" s="43">
        <v>0</v>
      </c>
      <c r="AV91" s="43">
        <v>0</v>
      </c>
      <c r="AW91" s="43">
        <v>0</v>
      </c>
      <c r="AX91" s="43">
        <v>0</v>
      </c>
      <c r="AY91" s="43">
        <v>0</v>
      </c>
      <c r="AZ91" s="43">
        <v>0</v>
      </c>
      <c r="BA91" s="43">
        <v>0</v>
      </c>
      <c r="BB91" s="43">
        <v>0</v>
      </c>
      <c r="BC91" s="43">
        <v>0</v>
      </c>
      <c r="BD91" s="43">
        <v>0</v>
      </c>
      <c r="BE91" s="43">
        <v>0</v>
      </c>
      <c r="BF91" s="43">
        <v>0</v>
      </c>
      <c r="BG91" s="43">
        <v>0</v>
      </c>
      <c r="BH91" s="43">
        <v>0</v>
      </c>
      <c r="BI91" s="43">
        <v>0</v>
      </c>
      <c r="BJ91" s="43" t="s">
        <v>2090</v>
      </c>
      <c r="BK91" s="43" t="s">
        <v>2090</v>
      </c>
      <c r="BL91" s="43" t="s">
        <v>2090</v>
      </c>
      <c r="BM91" s="43" t="s">
        <v>2090</v>
      </c>
      <c r="BN91" s="43" t="s">
        <v>2090</v>
      </c>
      <c r="BO91" s="43" t="s">
        <v>2090</v>
      </c>
      <c r="BP91" s="43" t="s">
        <v>2090</v>
      </c>
      <c r="BQ91" s="43" t="s">
        <v>2090</v>
      </c>
      <c r="BR91" s="43" t="s">
        <v>2090</v>
      </c>
      <c r="BS91" s="43" t="s">
        <v>2090</v>
      </c>
      <c r="BT91" s="43" t="s">
        <v>2090</v>
      </c>
      <c r="BU91" s="43" t="s">
        <v>2090</v>
      </c>
      <c r="BV91" s="43" t="s">
        <v>2090</v>
      </c>
      <c r="BW91" s="43" t="s">
        <v>2090</v>
      </c>
    </row>
    <row r="92" spans="1:75" ht="111.95" customHeight="1" x14ac:dyDescent="0.25">
      <c r="A92" s="38" t="s">
        <v>741</v>
      </c>
      <c r="B92" s="38" t="s">
        <v>1668</v>
      </c>
      <c r="C92" s="39" t="s">
        <v>742</v>
      </c>
      <c r="D92" s="40" t="s">
        <v>743</v>
      </c>
      <c r="E92" s="41">
        <v>85334.358529999998</v>
      </c>
      <c r="F92" s="41">
        <v>3228316.7924899999</v>
      </c>
      <c r="G92" s="41">
        <v>482938.1</v>
      </c>
      <c r="H92" s="41">
        <v>407348.9</v>
      </c>
      <c r="I92" s="42">
        <v>1.1565408201819396</v>
      </c>
      <c r="J92" s="41">
        <v>52732.721669999999</v>
      </c>
      <c r="K92" s="41">
        <v>2410578.4985199999</v>
      </c>
      <c r="L92" s="41">
        <v>99920.9</v>
      </c>
      <c r="M92" s="41">
        <v>82482.600000000006</v>
      </c>
      <c r="N92" s="42">
        <v>1.1338021859881742</v>
      </c>
      <c r="O92" s="41">
        <v>3149.4685899999999</v>
      </c>
      <c r="P92" s="41">
        <v>555581.91417999996</v>
      </c>
      <c r="Q92" s="41">
        <v>289517.40000000002</v>
      </c>
      <c r="R92" s="41">
        <v>438880.4</v>
      </c>
      <c r="S92" s="42">
        <v>0.60912659861863383</v>
      </c>
      <c r="T92" s="41">
        <v>49144.259839999999</v>
      </c>
      <c r="U92" s="41">
        <v>2567804.8535799999</v>
      </c>
      <c r="V92" s="41">
        <v>178995.5</v>
      </c>
      <c r="W92" s="41">
        <v>153296</v>
      </c>
      <c r="X92" s="42">
        <v>1.0927802762608416</v>
      </c>
      <c r="Y92" s="43">
        <v>1</v>
      </c>
      <c r="Z92" s="43" t="s">
        <v>2090</v>
      </c>
      <c r="AA92" s="43" t="s">
        <v>2090</v>
      </c>
      <c r="AB92" s="43" t="s">
        <v>2090</v>
      </c>
      <c r="AC92" s="43" t="s">
        <v>2090</v>
      </c>
      <c r="AD92" s="43">
        <v>0</v>
      </c>
      <c r="AE92" s="43">
        <v>0</v>
      </c>
      <c r="AF92" s="43">
        <v>0</v>
      </c>
      <c r="AG92" s="43">
        <v>0</v>
      </c>
      <c r="AH92" s="43">
        <v>1</v>
      </c>
      <c r="AI92" s="43">
        <v>0</v>
      </c>
      <c r="AJ92" s="43">
        <v>0</v>
      </c>
      <c r="AK92" s="43">
        <v>0</v>
      </c>
      <c r="AL92" s="43">
        <v>0</v>
      </c>
      <c r="AM92" s="43">
        <v>0</v>
      </c>
      <c r="AN92" s="43">
        <v>0</v>
      </c>
      <c r="AO92" s="43">
        <v>0</v>
      </c>
      <c r="AP92" s="43">
        <v>0</v>
      </c>
      <c r="AQ92" s="43">
        <v>0</v>
      </c>
      <c r="AR92" s="43">
        <v>0</v>
      </c>
      <c r="AS92" s="43">
        <v>0</v>
      </c>
      <c r="AT92" s="43">
        <v>0</v>
      </c>
      <c r="AU92" s="43">
        <v>0</v>
      </c>
      <c r="AV92" s="43">
        <v>0</v>
      </c>
      <c r="AW92" s="43">
        <v>0</v>
      </c>
      <c r="AX92" s="43">
        <v>0</v>
      </c>
      <c r="AY92" s="43">
        <v>0</v>
      </c>
      <c r="AZ92" s="43">
        <v>0</v>
      </c>
      <c r="BA92" s="43">
        <v>0</v>
      </c>
      <c r="BB92" s="43">
        <v>0</v>
      </c>
      <c r="BC92" s="43">
        <v>0</v>
      </c>
      <c r="BD92" s="43">
        <v>0</v>
      </c>
      <c r="BE92" s="43">
        <v>0</v>
      </c>
      <c r="BF92" s="43">
        <v>0</v>
      </c>
      <c r="BG92" s="43">
        <v>0</v>
      </c>
      <c r="BH92" s="43">
        <v>0</v>
      </c>
      <c r="BI92" s="43">
        <v>0</v>
      </c>
      <c r="BJ92" s="43" t="s">
        <v>2090</v>
      </c>
      <c r="BK92" s="43" t="s">
        <v>2090</v>
      </c>
      <c r="BL92" s="43" t="s">
        <v>2090</v>
      </c>
      <c r="BM92" s="43" t="s">
        <v>2090</v>
      </c>
      <c r="BN92" s="43" t="s">
        <v>2090</v>
      </c>
      <c r="BO92" s="43" t="s">
        <v>2090</v>
      </c>
      <c r="BP92" s="43" t="s">
        <v>2090</v>
      </c>
      <c r="BQ92" s="43" t="s">
        <v>2090</v>
      </c>
      <c r="BR92" s="43" t="s">
        <v>2090</v>
      </c>
      <c r="BS92" s="43" t="s">
        <v>2090</v>
      </c>
      <c r="BT92" s="43" t="s">
        <v>2090</v>
      </c>
      <c r="BU92" s="43" t="s">
        <v>2090</v>
      </c>
      <c r="BV92" s="43" t="s">
        <v>2090</v>
      </c>
      <c r="BW92" s="43" t="s">
        <v>2090</v>
      </c>
    </row>
    <row r="93" spans="1:75" ht="101.45" customHeight="1" x14ac:dyDescent="0.25">
      <c r="A93" s="38" t="s">
        <v>744</v>
      </c>
      <c r="B93" s="38" t="s">
        <v>1669</v>
      </c>
      <c r="C93" s="39" t="s">
        <v>745</v>
      </c>
      <c r="D93" s="40" t="s">
        <v>746</v>
      </c>
      <c r="E93" s="41">
        <v>53500.386420000003</v>
      </c>
      <c r="F93" s="41">
        <v>2690021.6661800002</v>
      </c>
      <c r="G93" s="41">
        <v>374530.8</v>
      </c>
      <c r="H93" s="41">
        <v>349631.6</v>
      </c>
      <c r="I93" s="42">
        <v>1.035927327623261</v>
      </c>
      <c r="J93" s="41">
        <v>30718.558010000001</v>
      </c>
      <c r="K93" s="41">
        <v>1947343.0799799999</v>
      </c>
      <c r="L93" s="41">
        <v>146155.4</v>
      </c>
      <c r="M93" s="41">
        <v>152935.1</v>
      </c>
      <c r="N93" s="42">
        <v>0.90268982840049095</v>
      </c>
      <c r="O93" s="41">
        <v>0</v>
      </c>
      <c r="P93" s="41">
        <v>252940.04921</v>
      </c>
      <c r="Q93" s="41">
        <v>9551.7999999999993</v>
      </c>
      <c r="R93" s="41">
        <v>24921.3</v>
      </c>
      <c r="S93" s="42">
        <v>0.36637204312062538</v>
      </c>
      <c r="T93" s="41">
        <v>48098.665209999999</v>
      </c>
      <c r="U93" s="41">
        <v>2584874.97817</v>
      </c>
      <c r="V93" s="41">
        <v>28268.799999999999</v>
      </c>
      <c r="W93" s="41">
        <v>23310.9</v>
      </c>
      <c r="X93" s="42">
        <v>1.1023903145695364</v>
      </c>
      <c r="Y93" s="43">
        <v>1</v>
      </c>
      <c r="Z93" s="43" t="s">
        <v>2090</v>
      </c>
      <c r="AA93" s="43" t="s">
        <v>2090</v>
      </c>
      <c r="AB93" s="43" t="s">
        <v>2090</v>
      </c>
      <c r="AC93" s="43" t="s">
        <v>2090</v>
      </c>
      <c r="AD93" s="43">
        <v>0</v>
      </c>
      <c r="AE93" s="43">
        <v>0</v>
      </c>
      <c r="AF93" s="43">
        <v>0</v>
      </c>
      <c r="AG93" s="43">
        <v>0</v>
      </c>
      <c r="AH93" s="43">
        <v>1</v>
      </c>
      <c r="AI93" s="43">
        <v>0</v>
      </c>
      <c r="AJ93" s="43">
        <v>0</v>
      </c>
      <c r="AK93" s="43">
        <v>0</v>
      </c>
      <c r="AL93" s="43">
        <v>0</v>
      </c>
      <c r="AM93" s="43">
        <v>0</v>
      </c>
      <c r="AN93" s="43">
        <v>0</v>
      </c>
      <c r="AO93" s="43">
        <v>0</v>
      </c>
      <c r="AP93" s="43">
        <v>0</v>
      </c>
      <c r="AQ93" s="43">
        <v>0</v>
      </c>
      <c r="AR93" s="43">
        <v>0</v>
      </c>
      <c r="AS93" s="43">
        <v>0</v>
      </c>
      <c r="AT93" s="43">
        <v>0</v>
      </c>
      <c r="AU93" s="43">
        <v>0</v>
      </c>
      <c r="AV93" s="43">
        <v>0</v>
      </c>
      <c r="AW93" s="43">
        <v>0</v>
      </c>
      <c r="AX93" s="43">
        <v>0</v>
      </c>
      <c r="AY93" s="43">
        <v>0</v>
      </c>
      <c r="AZ93" s="43">
        <v>0</v>
      </c>
      <c r="BA93" s="43">
        <v>0</v>
      </c>
      <c r="BB93" s="43">
        <v>0</v>
      </c>
      <c r="BC93" s="43">
        <v>0</v>
      </c>
      <c r="BD93" s="43">
        <v>0</v>
      </c>
      <c r="BE93" s="43">
        <v>0</v>
      </c>
      <c r="BF93" s="43">
        <v>0</v>
      </c>
      <c r="BG93" s="43">
        <v>0</v>
      </c>
      <c r="BH93" s="43">
        <v>0</v>
      </c>
      <c r="BI93" s="43">
        <v>0</v>
      </c>
      <c r="BJ93" s="43" t="s">
        <v>2090</v>
      </c>
      <c r="BK93" s="43" t="s">
        <v>2090</v>
      </c>
      <c r="BL93" s="43" t="s">
        <v>2090</v>
      </c>
      <c r="BM93" s="43" t="s">
        <v>2090</v>
      </c>
      <c r="BN93" s="43" t="s">
        <v>2090</v>
      </c>
      <c r="BO93" s="43" t="s">
        <v>2090</v>
      </c>
      <c r="BP93" s="43" t="s">
        <v>2090</v>
      </c>
      <c r="BQ93" s="43" t="s">
        <v>2090</v>
      </c>
      <c r="BR93" s="43" t="s">
        <v>2090</v>
      </c>
      <c r="BS93" s="43" t="s">
        <v>2090</v>
      </c>
      <c r="BT93" s="43" t="s">
        <v>2090</v>
      </c>
      <c r="BU93" s="43" t="s">
        <v>2090</v>
      </c>
      <c r="BV93" s="43" t="s">
        <v>2090</v>
      </c>
      <c r="BW93" s="43" t="s">
        <v>2090</v>
      </c>
    </row>
    <row r="94" spans="1:75" ht="170.45" customHeight="1" x14ac:dyDescent="0.25">
      <c r="A94" s="38" t="s">
        <v>747</v>
      </c>
      <c r="B94" s="38" t="s">
        <v>1670</v>
      </c>
      <c r="C94" s="39" t="s">
        <v>748</v>
      </c>
      <c r="D94" s="40" t="s">
        <v>749</v>
      </c>
      <c r="E94" s="41">
        <v>6740.0849500000004</v>
      </c>
      <c r="F94" s="41">
        <v>949593.14875000005</v>
      </c>
      <c r="G94" s="41">
        <v>126235.6</v>
      </c>
      <c r="H94" s="41">
        <v>223388.4</v>
      </c>
      <c r="I94" s="42">
        <v>0.53692956709038764</v>
      </c>
      <c r="J94" s="41">
        <v>0</v>
      </c>
      <c r="K94" s="41">
        <v>18923.932369999999</v>
      </c>
      <c r="L94" s="41">
        <v>111704.1</v>
      </c>
      <c r="M94" s="41">
        <v>312710.3</v>
      </c>
      <c r="N94" s="42">
        <v>0.34057905084397117</v>
      </c>
      <c r="O94" s="41">
        <v>3281.49782</v>
      </c>
      <c r="P94" s="41">
        <v>587167.01032</v>
      </c>
      <c r="Q94" s="41">
        <v>5946</v>
      </c>
      <c r="R94" s="41">
        <v>15741.7</v>
      </c>
      <c r="S94" s="42">
        <v>0.37022807160958066</v>
      </c>
      <c r="T94" s="41">
        <v>3574.5986899999998</v>
      </c>
      <c r="U94" s="41">
        <v>468315.76393999998</v>
      </c>
      <c r="V94" s="41">
        <v>50292.2</v>
      </c>
      <c r="W94" s="41">
        <v>158546.5</v>
      </c>
      <c r="X94" s="42">
        <v>0.29810239498297025</v>
      </c>
      <c r="Y94" s="43">
        <v>1</v>
      </c>
      <c r="Z94" s="43" t="s">
        <v>2090</v>
      </c>
      <c r="AA94" s="43" t="s">
        <v>2091</v>
      </c>
      <c r="AB94" s="43" t="s">
        <v>2090</v>
      </c>
      <c r="AC94" s="43" t="s">
        <v>2090</v>
      </c>
      <c r="AD94" s="43">
        <v>0</v>
      </c>
      <c r="AE94" s="43">
        <v>0</v>
      </c>
      <c r="AF94" s="43">
        <v>0</v>
      </c>
      <c r="AG94" s="43">
        <v>0</v>
      </c>
      <c r="AH94" s="43">
        <v>0</v>
      </c>
      <c r="AI94" s="43">
        <v>0</v>
      </c>
      <c r="AJ94" s="43">
        <v>0</v>
      </c>
      <c r="AK94" s="43">
        <v>0</v>
      </c>
      <c r="AL94" s="43">
        <v>0</v>
      </c>
      <c r="AM94" s="43">
        <v>0</v>
      </c>
      <c r="AN94" s="43">
        <v>0</v>
      </c>
      <c r="AO94" s="43">
        <v>0</v>
      </c>
      <c r="AP94" s="43">
        <v>0</v>
      </c>
      <c r="AQ94" s="43">
        <v>0</v>
      </c>
      <c r="AR94" s="43">
        <v>0</v>
      </c>
      <c r="AS94" s="43">
        <v>0</v>
      </c>
      <c r="AT94" s="43">
        <v>0</v>
      </c>
      <c r="AU94" s="43">
        <v>0</v>
      </c>
      <c r="AV94" s="43">
        <v>0</v>
      </c>
      <c r="AW94" s="43">
        <v>0</v>
      </c>
      <c r="AX94" s="43">
        <v>0</v>
      </c>
      <c r="AY94" s="43">
        <v>0</v>
      </c>
      <c r="AZ94" s="43">
        <v>0</v>
      </c>
      <c r="BA94" s="43">
        <v>0</v>
      </c>
      <c r="BB94" s="43">
        <v>0</v>
      </c>
      <c r="BC94" s="43">
        <v>0</v>
      </c>
      <c r="BD94" s="43">
        <v>0</v>
      </c>
      <c r="BE94" s="43">
        <v>0</v>
      </c>
      <c r="BF94" s="43">
        <v>0</v>
      </c>
      <c r="BG94" s="43">
        <v>0</v>
      </c>
      <c r="BH94" s="43">
        <v>0</v>
      </c>
      <c r="BI94" s="43">
        <v>0</v>
      </c>
      <c r="BJ94" s="43" t="s">
        <v>2090</v>
      </c>
      <c r="BK94" s="43" t="s">
        <v>2090</v>
      </c>
      <c r="BL94" s="43" t="s">
        <v>2090</v>
      </c>
      <c r="BM94" s="43" t="s">
        <v>2090</v>
      </c>
      <c r="BN94" s="43" t="s">
        <v>2090</v>
      </c>
      <c r="BO94" s="43" t="s">
        <v>2091</v>
      </c>
      <c r="BP94" s="43" t="s">
        <v>2090</v>
      </c>
      <c r="BQ94" s="43" t="s">
        <v>2091</v>
      </c>
      <c r="BR94" s="43" t="s">
        <v>2090</v>
      </c>
      <c r="BS94" s="43" t="s">
        <v>2090</v>
      </c>
      <c r="BT94" s="43" t="s">
        <v>2090</v>
      </c>
      <c r="BU94" s="43" t="s">
        <v>2090</v>
      </c>
      <c r="BV94" s="43" t="s">
        <v>2090</v>
      </c>
      <c r="BW94" s="43" t="s">
        <v>2090</v>
      </c>
    </row>
    <row r="95" spans="1:75" ht="144.19999999999999" customHeight="1" x14ac:dyDescent="0.25">
      <c r="A95" s="38" t="s">
        <v>750</v>
      </c>
      <c r="B95" s="38" t="s">
        <v>1671</v>
      </c>
      <c r="C95" s="39" t="s">
        <v>751</v>
      </c>
      <c r="D95" s="40" t="s">
        <v>752</v>
      </c>
      <c r="E95" s="41">
        <v>59328.095659999999</v>
      </c>
      <c r="F95" s="41">
        <v>2849706.5814800002</v>
      </c>
      <c r="G95" s="41">
        <v>448231.4</v>
      </c>
      <c r="H95" s="41">
        <v>351202.2</v>
      </c>
      <c r="I95" s="42">
        <v>1.2427781554812483</v>
      </c>
      <c r="J95" s="41">
        <v>47031.708050000001</v>
      </c>
      <c r="K95" s="41">
        <v>2279018.8058600002</v>
      </c>
      <c r="L95" s="41">
        <v>167268.4</v>
      </c>
      <c r="M95" s="41">
        <v>140984.1</v>
      </c>
      <c r="N95" s="42">
        <v>1.1150831193404513</v>
      </c>
      <c r="O95" s="41">
        <v>70850.110220000002</v>
      </c>
      <c r="P95" s="41">
        <v>3081918.3498399998</v>
      </c>
      <c r="Q95" s="41">
        <v>229831.5</v>
      </c>
      <c r="R95" s="41">
        <v>167824.5</v>
      </c>
      <c r="S95" s="42">
        <v>1.3358671953878345</v>
      </c>
      <c r="T95" s="41">
        <v>55991.393409999997</v>
      </c>
      <c r="U95" s="41">
        <v>2698515.33029</v>
      </c>
      <c r="V95" s="41">
        <v>39893.1</v>
      </c>
      <c r="W95" s="41">
        <v>29159.1</v>
      </c>
      <c r="X95" s="42">
        <v>1.1408180896217555</v>
      </c>
      <c r="Y95" s="43">
        <v>1</v>
      </c>
      <c r="Z95" s="43" t="s">
        <v>2090</v>
      </c>
      <c r="AA95" s="43" t="s">
        <v>2091</v>
      </c>
      <c r="AB95" s="43" t="s">
        <v>2090</v>
      </c>
      <c r="AC95" s="43" t="s">
        <v>2090</v>
      </c>
      <c r="AD95" s="43">
        <v>0</v>
      </c>
      <c r="AE95" s="43">
        <v>0</v>
      </c>
      <c r="AF95" s="43">
        <v>0</v>
      </c>
      <c r="AG95" s="43">
        <v>0</v>
      </c>
      <c r="AH95" s="43">
        <v>0</v>
      </c>
      <c r="AI95" s="43">
        <v>0</v>
      </c>
      <c r="AJ95" s="43">
        <v>0</v>
      </c>
      <c r="AK95" s="43">
        <v>0</v>
      </c>
      <c r="AL95" s="43">
        <v>0</v>
      </c>
      <c r="AM95" s="43">
        <v>0</v>
      </c>
      <c r="AN95" s="43">
        <v>0</v>
      </c>
      <c r="AO95" s="43">
        <v>0</v>
      </c>
      <c r="AP95" s="43">
        <v>0</v>
      </c>
      <c r="AQ95" s="43">
        <v>0</v>
      </c>
      <c r="AR95" s="43">
        <v>0</v>
      </c>
      <c r="AS95" s="43">
        <v>0</v>
      </c>
      <c r="AT95" s="43">
        <v>0</v>
      </c>
      <c r="AU95" s="43">
        <v>0</v>
      </c>
      <c r="AV95" s="43">
        <v>0</v>
      </c>
      <c r="AW95" s="43">
        <v>0</v>
      </c>
      <c r="AX95" s="43">
        <v>0</v>
      </c>
      <c r="AY95" s="43">
        <v>0</v>
      </c>
      <c r="AZ95" s="43">
        <v>0</v>
      </c>
      <c r="BA95" s="43">
        <v>0</v>
      </c>
      <c r="BB95" s="43">
        <v>0</v>
      </c>
      <c r="BC95" s="43">
        <v>0</v>
      </c>
      <c r="BD95" s="43">
        <v>0</v>
      </c>
      <c r="BE95" s="43">
        <v>0</v>
      </c>
      <c r="BF95" s="43">
        <v>0</v>
      </c>
      <c r="BG95" s="43">
        <v>0</v>
      </c>
      <c r="BH95" s="43">
        <v>0</v>
      </c>
      <c r="BI95" s="43">
        <v>0</v>
      </c>
      <c r="BJ95" s="43" t="s">
        <v>2090</v>
      </c>
      <c r="BK95" s="43" t="s">
        <v>2090</v>
      </c>
      <c r="BL95" s="43" t="s">
        <v>2090</v>
      </c>
      <c r="BM95" s="43" t="s">
        <v>2090</v>
      </c>
      <c r="BN95" s="43" t="s">
        <v>2090</v>
      </c>
      <c r="BO95" s="43" t="s">
        <v>2090</v>
      </c>
      <c r="BP95" s="43" t="s">
        <v>2090</v>
      </c>
      <c r="BQ95" s="43" t="s">
        <v>2090</v>
      </c>
      <c r="BR95" s="43" t="s">
        <v>2091</v>
      </c>
      <c r="BS95" s="43" t="s">
        <v>2090</v>
      </c>
      <c r="BT95" s="43" t="s">
        <v>2091</v>
      </c>
      <c r="BU95" s="43" t="s">
        <v>2090</v>
      </c>
      <c r="BV95" s="43" t="s">
        <v>2090</v>
      </c>
      <c r="BW95" s="43" t="s">
        <v>2090</v>
      </c>
    </row>
    <row r="96" spans="1:75" ht="136.69999999999999" customHeight="1" x14ac:dyDescent="0.25">
      <c r="A96" s="38" t="s">
        <v>753</v>
      </c>
      <c r="B96" s="38" t="s">
        <v>1672</v>
      </c>
      <c r="C96" s="39" t="s">
        <v>754</v>
      </c>
      <c r="D96" s="40" t="s">
        <v>755</v>
      </c>
      <c r="E96" s="41">
        <v>10186.261839999999</v>
      </c>
      <c r="F96" s="41">
        <v>1218213.0625400001</v>
      </c>
      <c r="G96" s="41">
        <v>404059</v>
      </c>
      <c r="H96" s="41">
        <v>610092.5</v>
      </c>
      <c r="I96" s="42">
        <v>0.60929309641535112</v>
      </c>
      <c r="J96" s="41">
        <v>0</v>
      </c>
      <c r="K96" s="41">
        <v>19824.498100000001</v>
      </c>
      <c r="L96" s="41">
        <v>108454</v>
      </c>
      <c r="M96" s="41">
        <v>232207.5</v>
      </c>
      <c r="N96" s="42">
        <v>0.43198319275805608</v>
      </c>
      <c r="O96" s="41">
        <v>0</v>
      </c>
      <c r="P96" s="41">
        <v>202457.14515999999</v>
      </c>
      <c r="Q96" s="41">
        <v>135584</v>
      </c>
      <c r="R96" s="41">
        <v>259161.7</v>
      </c>
      <c r="S96" s="42">
        <v>0.49535221286576697</v>
      </c>
      <c r="T96" s="41">
        <v>2702.4405000000002</v>
      </c>
      <c r="U96" s="41">
        <v>466326.25644000003</v>
      </c>
      <c r="V96" s="41">
        <v>195696.7</v>
      </c>
      <c r="W96" s="41">
        <v>346508.5</v>
      </c>
      <c r="X96" s="42">
        <v>0.52756899765498166</v>
      </c>
      <c r="Y96" s="43">
        <v>1</v>
      </c>
      <c r="Z96" s="43" t="s">
        <v>2090</v>
      </c>
      <c r="AA96" s="43" t="s">
        <v>2091</v>
      </c>
      <c r="AB96" s="43" t="s">
        <v>2090</v>
      </c>
      <c r="AC96" s="43" t="s">
        <v>2090</v>
      </c>
      <c r="AD96" s="43">
        <v>0</v>
      </c>
      <c r="AE96" s="43">
        <v>0</v>
      </c>
      <c r="AF96" s="43">
        <v>0</v>
      </c>
      <c r="AG96" s="43">
        <v>0</v>
      </c>
      <c r="AH96" s="43">
        <v>0</v>
      </c>
      <c r="AI96" s="43">
        <v>0</v>
      </c>
      <c r="AJ96" s="43">
        <v>0</v>
      </c>
      <c r="AK96" s="43">
        <v>0</v>
      </c>
      <c r="AL96" s="43">
        <v>0</v>
      </c>
      <c r="AM96" s="43">
        <v>0</v>
      </c>
      <c r="AN96" s="43">
        <v>0</v>
      </c>
      <c r="AO96" s="43">
        <v>0</v>
      </c>
      <c r="AP96" s="43">
        <v>0</v>
      </c>
      <c r="AQ96" s="43">
        <v>0</v>
      </c>
      <c r="AR96" s="43">
        <v>0</v>
      </c>
      <c r="AS96" s="43">
        <v>0</v>
      </c>
      <c r="AT96" s="43">
        <v>0</v>
      </c>
      <c r="AU96" s="43">
        <v>0</v>
      </c>
      <c r="AV96" s="43">
        <v>0</v>
      </c>
      <c r="AW96" s="43">
        <v>0</v>
      </c>
      <c r="AX96" s="43">
        <v>0</v>
      </c>
      <c r="AY96" s="43">
        <v>0</v>
      </c>
      <c r="AZ96" s="43">
        <v>0</v>
      </c>
      <c r="BA96" s="43">
        <v>0</v>
      </c>
      <c r="BB96" s="43">
        <v>0</v>
      </c>
      <c r="BC96" s="43">
        <v>0</v>
      </c>
      <c r="BD96" s="43">
        <v>0</v>
      </c>
      <c r="BE96" s="43">
        <v>0</v>
      </c>
      <c r="BF96" s="43">
        <v>0</v>
      </c>
      <c r="BG96" s="43">
        <v>0</v>
      </c>
      <c r="BH96" s="43">
        <v>0</v>
      </c>
      <c r="BI96" s="43">
        <v>0</v>
      </c>
      <c r="BJ96" s="43" t="s">
        <v>2090</v>
      </c>
      <c r="BK96" s="43" t="s">
        <v>2090</v>
      </c>
      <c r="BL96" s="43" t="s">
        <v>2090</v>
      </c>
      <c r="BM96" s="43" t="s">
        <v>2090</v>
      </c>
      <c r="BN96" s="43" t="s">
        <v>2090</v>
      </c>
      <c r="BO96" s="43" t="s">
        <v>2091</v>
      </c>
      <c r="BP96" s="43" t="s">
        <v>2090</v>
      </c>
      <c r="BQ96" s="43" t="s">
        <v>2091</v>
      </c>
      <c r="BR96" s="43" t="s">
        <v>2090</v>
      </c>
      <c r="BS96" s="43" t="s">
        <v>2090</v>
      </c>
      <c r="BT96" s="43" t="s">
        <v>2090</v>
      </c>
      <c r="BU96" s="43" t="s">
        <v>2090</v>
      </c>
      <c r="BV96" s="43" t="s">
        <v>2090</v>
      </c>
      <c r="BW96" s="43" t="s">
        <v>2090</v>
      </c>
    </row>
    <row r="97" spans="1:75" ht="114.2" customHeight="1" x14ac:dyDescent="0.25">
      <c r="A97" s="38" t="s">
        <v>756</v>
      </c>
      <c r="B97" s="38" t="s">
        <v>1673</v>
      </c>
      <c r="C97" s="39" t="s">
        <v>757</v>
      </c>
      <c r="D97" s="40" t="s">
        <v>758</v>
      </c>
      <c r="E97" s="41">
        <v>50837.202539999998</v>
      </c>
      <c r="F97" s="41">
        <v>2635350.5641200002</v>
      </c>
      <c r="G97" s="41">
        <v>315553.59999999998</v>
      </c>
      <c r="H97" s="41">
        <v>270931.5</v>
      </c>
      <c r="I97" s="42">
        <v>1.1074587315377933</v>
      </c>
      <c r="J97" s="41">
        <v>1863.0524700000001</v>
      </c>
      <c r="K97" s="41">
        <v>333477.97925999999</v>
      </c>
      <c r="L97" s="41">
        <v>96800.5</v>
      </c>
      <c r="M97" s="41">
        <v>514021.9</v>
      </c>
      <c r="N97" s="42">
        <v>0.1742563453335286</v>
      </c>
      <c r="O97" s="41">
        <v>8232.2310400000006</v>
      </c>
      <c r="P97" s="41">
        <v>1040913.38453</v>
      </c>
      <c r="Q97" s="41">
        <v>18403.599999999999</v>
      </c>
      <c r="R97" s="41">
        <v>19975.599999999999</v>
      </c>
      <c r="S97" s="42">
        <v>0.88814263035779706</v>
      </c>
      <c r="T97" s="41">
        <v>23008.074479999999</v>
      </c>
      <c r="U97" s="41">
        <v>1853516.7056199999</v>
      </c>
      <c r="V97" s="41">
        <v>29521.200000000001</v>
      </c>
      <c r="W97" s="41">
        <v>47515.7</v>
      </c>
      <c r="X97" s="42">
        <v>0.59686756113395367</v>
      </c>
      <c r="Y97" s="43">
        <v>1</v>
      </c>
      <c r="Z97" s="43" t="s">
        <v>2090</v>
      </c>
      <c r="AA97" s="43" t="s">
        <v>2091</v>
      </c>
      <c r="AB97" s="43" t="s">
        <v>2090</v>
      </c>
      <c r="AC97" s="43" t="s">
        <v>2090</v>
      </c>
      <c r="AD97" s="43">
        <v>0</v>
      </c>
      <c r="AE97" s="43">
        <v>0</v>
      </c>
      <c r="AF97" s="43">
        <v>0</v>
      </c>
      <c r="AG97" s="43">
        <v>0</v>
      </c>
      <c r="AH97" s="43">
        <v>0</v>
      </c>
      <c r="AI97" s="43">
        <v>0</v>
      </c>
      <c r="AJ97" s="43">
        <v>0</v>
      </c>
      <c r="AK97" s="43">
        <v>0</v>
      </c>
      <c r="AL97" s="43">
        <v>0</v>
      </c>
      <c r="AM97" s="43">
        <v>0</v>
      </c>
      <c r="AN97" s="43">
        <v>0</v>
      </c>
      <c r="AO97" s="43">
        <v>0</v>
      </c>
      <c r="AP97" s="43">
        <v>0</v>
      </c>
      <c r="AQ97" s="43">
        <v>0</v>
      </c>
      <c r="AR97" s="43">
        <v>0</v>
      </c>
      <c r="AS97" s="43">
        <v>0</v>
      </c>
      <c r="AT97" s="43">
        <v>0</v>
      </c>
      <c r="AU97" s="43">
        <v>0</v>
      </c>
      <c r="AV97" s="43">
        <v>0</v>
      </c>
      <c r="AW97" s="43">
        <v>0</v>
      </c>
      <c r="AX97" s="43">
        <v>0</v>
      </c>
      <c r="AY97" s="43">
        <v>0</v>
      </c>
      <c r="AZ97" s="43">
        <v>0</v>
      </c>
      <c r="BA97" s="43">
        <v>0</v>
      </c>
      <c r="BB97" s="43">
        <v>0</v>
      </c>
      <c r="BC97" s="43">
        <v>0</v>
      </c>
      <c r="BD97" s="43">
        <v>0</v>
      </c>
      <c r="BE97" s="43">
        <v>0</v>
      </c>
      <c r="BF97" s="43">
        <v>0</v>
      </c>
      <c r="BG97" s="43">
        <v>0</v>
      </c>
      <c r="BH97" s="43">
        <v>0</v>
      </c>
      <c r="BI97" s="43">
        <v>0</v>
      </c>
      <c r="BJ97" s="43" t="s">
        <v>2090</v>
      </c>
      <c r="BK97" s="43" t="s">
        <v>2090</v>
      </c>
      <c r="BL97" s="43" t="s">
        <v>2090</v>
      </c>
      <c r="BM97" s="43" t="s">
        <v>2090</v>
      </c>
      <c r="BN97" s="43" t="s">
        <v>2090</v>
      </c>
      <c r="BO97" s="43" t="s">
        <v>2090</v>
      </c>
      <c r="BP97" s="43" t="s">
        <v>2090</v>
      </c>
      <c r="BQ97" s="43" t="s">
        <v>2090</v>
      </c>
      <c r="BR97" s="43" t="s">
        <v>2091</v>
      </c>
      <c r="BS97" s="43" t="s">
        <v>2091</v>
      </c>
      <c r="BT97" s="43" t="s">
        <v>2090</v>
      </c>
      <c r="BU97" s="43" t="s">
        <v>2090</v>
      </c>
      <c r="BV97" s="43" t="s">
        <v>2090</v>
      </c>
      <c r="BW97" s="43" t="s">
        <v>2090</v>
      </c>
    </row>
    <row r="98" spans="1:75" ht="105.95" customHeight="1" x14ac:dyDescent="0.25">
      <c r="A98" s="38" t="s">
        <v>759</v>
      </c>
      <c r="B98" s="38" t="s">
        <v>1674</v>
      </c>
      <c r="C98" s="39" t="s">
        <v>760</v>
      </c>
      <c r="D98" s="40" t="s">
        <v>761</v>
      </c>
      <c r="E98" s="41">
        <v>51713.846729999997</v>
      </c>
      <c r="F98" s="41">
        <v>2640598.9701100001</v>
      </c>
      <c r="G98" s="41">
        <v>192815</v>
      </c>
      <c r="H98" s="41">
        <v>154097</v>
      </c>
      <c r="I98" s="42">
        <v>1.2173449254904476</v>
      </c>
      <c r="J98" s="41">
        <v>60869.643920000002</v>
      </c>
      <c r="K98" s="41">
        <v>2496081.3974199998</v>
      </c>
      <c r="L98" s="41">
        <v>174298.6</v>
      </c>
      <c r="M98" s="41">
        <v>125739.9</v>
      </c>
      <c r="N98" s="42">
        <v>1.2027521384257982</v>
      </c>
      <c r="O98" s="41">
        <v>85322.516040000002</v>
      </c>
      <c r="P98" s="41">
        <v>3230151.5132599999</v>
      </c>
      <c r="Q98" s="41">
        <v>426198.8</v>
      </c>
      <c r="R98" s="41">
        <v>300933.90000000002</v>
      </c>
      <c r="S98" s="42">
        <v>1.3916274830990178</v>
      </c>
      <c r="T98" s="41">
        <v>79933.235849999997</v>
      </c>
      <c r="U98" s="41">
        <v>0</v>
      </c>
      <c r="V98" s="41">
        <v>99573.9</v>
      </c>
      <c r="W98" s="41">
        <v>59047</v>
      </c>
      <c r="X98" s="42">
        <v>1.4190990320178705</v>
      </c>
      <c r="Y98" s="43">
        <v>1</v>
      </c>
      <c r="Z98" s="43" t="s">
        <v>2090</v>
      </c>
      <c r="AA98" s="43" t="s">
        <v>2091</v>
      </c>
      <c r="AB98" s="43" t="s">
        <v>2090</v>
      </c>
      <c r="AC98" s="43" t="s">
        <v>2090</v>
      </c>
      <c r="AD98" s="43">
        <v>0</v>
      </c>
      <c r="AE98" s="43">
        <v>0</v>
      </c>
      <c r="AF98" s="43">
        <v>0</v>
      </c>
      <c r="AG98" s="43">
        <v>0</v>
      </c>
      <c r="AH98" s="43">
        <v>0</v>
      </c>
      <c r="AI98" s="43">
        <v>0</v>
      </c>
      <c r="AJ98" s="43">
        <v>0</v>
      </c>
      <c r="AK98" s="43">
        <v>0</v>
      </c>
      <c r="AL98" s="43">
        <v>0</v>
      </c>
      <c r="AM98" s="43">
        <v>0</v>
      </c>
      <c r="AN98" s="43">
        <v>0</v>
      </c>
      <c r="AO98" s="43">
        <v>0</v>
      </c>
      <c r="AP98" s="43">
        <v>0</v>
      </c>
      <c r="AQ98" s="43">
        <v>0</v>
      </c>
      <c r="AR98" s="43">
        <v>0</v>
      </c>
      <c r="AS98" s="43">
        <v>0</v>
      </c>
      <c r="AT98" s="43">
        <v>0</v>
      </c>
      <c r="AU98" s="43">
        <v>0</v>
      </c>
      <c r="AV98" s="43">
        <v>0</v>
      </c>
      <c r="AW98" s="43">
        <v>0</v>
      </c>
      <c r="AX98" s="43">
        <v>0</v>
      </c>
      <c r="AY98" s="43">
        <v>0</v>
      </c>
      <c r="AZ98" s="43">
        <v>0</v>
      </c>
      <c r="BA98" s="43">
        <v>0</v>
      </c>
      <c r="BB98" s="43">
        <v>0</v>
      </c>
      <c r="BC98" s="43">
        <v>0</v>
      </c>
      <c r="BD98" s="43">
        <v>0</v>
      </c>
      <c r="BE98" s="43">
        <v>0</v>
      </c>
      <c r="BF98" s="43">
        <v>0</v>
      </c>
      <c r="BG98" s="43">
        <v>0</v>
      </c>
      <c r="BH98" s="43">
        <v>0</v>
      </c>
      <c r="BI98" s="43">
        <v>0</v>
      </c>
      <c r="BJ98" s="43" t="s">
        <v>2090</v>
      </c>
      <c r="BK98" s="43" t="s">
        <v>2090</v>
      </c>
      <c r="BL98" s="43" t="s">
        <v>2090</v>
      </c>
      <c r="BM98" s="43" t="s">
        <v>2090</v>
      </c>
      <c r="BN98" s="43" t="s">
        <v>2090</v>
      </c>
      <c r="BO98" s="43" t="s">
        <v>2090</v>
      </c>
      <c r="BP98" s="43" t="s">
        <v>2090</v>
      </c>
      <c r="BQ98" s="43" t="s">
        <v>2090</v>
      </c>
      <c r="BR98" s="43" t="s">
        <v>2091</v>
      </c>
      <c r="BS98" s="43" t="s">
        <v>2090</v>
      </c>
      <c r="BT98" s="43" t="s">
        <v>2091</v>
      </c>
      <c r="BU98" s="43" t="s">
        <v>2090</v>
      </c>
      <c r="BV98" s="43" t="s">
        <v>2090</v>
      </c>
      <c r="BW98" s="43" t="s">
        <v>2090</v>
      </c>
    </row>
    <row r="99" spans="1:75" ht="105.95" customHeight="1" x14ac:dyDescent="0.25">
      <c r="A99" s="38" t="s">
        <v>762</v>
      </c>
      <c r="B99" s="38" t="s">
        <v>1675</v>
      </c>
      <c r="C99" s="39" t="s">
        <v>763</v>
      </c>
      <c r="D99" s="40" t="s">
        <v>764</v>
      </c>
      <c r="E99" s="41">
        <v>54079.849000000002</v>
      </c>
      <c r="F99" s="41">
        <v>2681132.1751299999</v>
      </c>
      <c r="G99" s="41">
        <v>466173.3</v>
      </c>
      <c r="H99" s="41">
        <v>388859.2</v>
      </c>
      <c r="I99" s="42">
        <v>1.1765865841838361</v>
      </c>
      <c r="J99" s="41">
        <v>52184.346859999998</v>
      </c>
      <c r="K99" s="41">
        <v>2331249.9633800001</v>
      </c>
      <c r="L99" s="41">
        <v>270711.59999999998</v>
      </c>
      <c r="M99" s="41">
        <v>211149.8</v>
      </c>
      <c r="N99" s="42">
        <v>1.1781743194940884</v>
      </c>
      <c r="O99" s="41">
        <v>70631.444010000007</v>
      </c>
      <c r="P99" s="41">
        <v>3228889.79678</v>
      </c>
      <c r="Q99" s="41">
        <v>481614.4</v>
      </c>
      <c r="R99" s="41">
        <v>363289.7</v>
      </c>
      <c r="S99" s="42">
        <v>1.3185729351815043</v>
      </c>
      <c r="T99" s="41">
        <v>69869.637239999996</v>
      </c>
      <c r="U99" s="41">
        <v>2985386.5847700001</v>
      </c>
      <c r="V99" s="41">
        <v>178148.6</v>
      </c>
      <c r="W99" s="41">
        <v>117196.3</v>
      </c>
      <c r="X99" s="42">
        <v>1.3201976158479405</v>
      </c>
      <c r="Y99" s="43">
        <v>1</v>
      </c>
      <c r="Z99" s="43" t="s">
        <v>2090</v>
      </c>
      <c r="AA99" s="43" t="s">
        <v>2091</v>
      </c>
      <c r="AB99" s="43" t="s">
        <v>2090</v>
      </c>
      <c r="AC99" s="43" t="s">
        <v>2090</v>
      </c>
      <c r="AD99" s="43">
        <v>0</v>
      </c>
      <c r="AE99" s="43">
        <v>0</v>
      </c>
      <c r="AF99" s="43">
        <v>0</v>
      </c>
      <c r="AG99" s="43">
        <v>0</v>
      </c>
      <c r="AH99" s="43">
        <v>0</v>
      </c>
      <c r="AI99" s="43">
        <v>0</v>
      </c>
      <c r="AJ99" s="43">
        <v>0</v>
      </c>
      <c r="AK99" s="43">
        <v>0</v>
      </c>
      <c r="AL99" s="43">
        <v>0</v>
      </c>
      <c r="AM99" s="43">
        <v>0</v>
      </c>
      <c r="AN99" s="43">
        <v>0</v>
      </c>
      <c r="AO99" s="43">
        <v>0</v>
      </c>
      <c r="AP99" s="43">
        <v>0</v>
      </c>
      <c r="AQ99" s="43">
        <v>0</v>
      </c>
      <c r="AR99" s="43">
        <v>0</v>
      </c>
      <c r="AS99" s="43">
        <v>0</v>
      </c>
      <c r="AT99" s="43">
        <v>0</v>
      </c>
      <c r="AU99" s="43">
        <v>0</v>
      </c>
      <c r="AV99" s="43">
        <v>0</v>
      </c>
      <c r="AW99" s="43">
        <v>0</v>
      </c>
      <c r="AX99" s="43">
        <v>0</v>
      </c>
      <c r="AY99" s="43">
        <v>0</v>
      </c>
      <c r="AZ99" s="43">
        <v>0</v>
      </c>
      <c r="BA99" s="43">
        <v>0</v>
      </c>
      <c r="BB99" s="43">
        <v>0</v>
      </c>
      <c r="BC99" s="43">
        <v>0</v>
      </c>
      <c r="BD99" s="43">
        <v>0</v>
      </c>
      <c r="BE99" s="43">
        <v>0</v>
      </c>
      <c r="BF99" s="43">
        <v>0</v>
      </c>
      <c r="BG99" s="43">
        <v>0</v>
      </c>
      <c r="BH99" s="43">
        <v>0</v>
      </c>
      <c r="BI99" s="43">
        <v>0</v>
      </c>
      <c r="BJ99" s="43" t="s">
        <v>2090</v>
      </c>
      <c r="BK99" s="43" t="s">
        <v>2090</v>
      </c>
      <c r="BL99" s="43" t="s">
        <v>2090</v>
      </c>
      <c r="BM99" s="43" t="s">
        <v>2090</v>
      </c>
      <c r="BN99" s="43" t="s">
        <v>2090</v>
      </c>
      <c r="BO99" s="43" t="s">
        <v>2090</v>
      </c>
      <c r="BP99" s="43" t="s">
        <v>2090</v>
      </c>
      <c r="BQ99" s="43" t="s">
        <v>2090</v>
      </c>
      <c r="BR99" s="43" t="s">
        <v>2091</v>
      </c>
      <c r="BS99" s="43" t="s">
        <v>2090</v>
      </c>
      <c r="BT99" s="43" t="s">
        <v>2091</v>
      </c>
      <c r="BU99" s="43" t="s">
        <v>2090</v>
      </c>
      <c r="BV99" s="43" t="s">
        <v>2090</v>
      </c>
      <c r="BW99" s="43" t="s">
        <v>2090</v>
      </c>
    </row>
    <row r="100" spans="1:75" ht="96.2" customHeight="1" x14ac:dyDescent="0.25">
      <c r="A100" s="38" t="s">
        <v>765</v>
      </c>
      <c r="B100" s="38" t="s">
        <v>1676</v>
      </c>
      <c r="C100" s="39" t="s">
        <v>766</v>
      </c>
      <c r="D100" s="40" t="s">
        <v>767</v>
      </c>
      <c r="E100" s="41">
        <v>73931.525599999994</v>
      </c>
      <c r="F100" s="41">
        <v>2830781.4490800002</v>
      </c>
      <c r="G100" s="41">
        <v>132637.1</v>
      </c>
      <c r="H100" s="41">
        <v>100906.2</v>
      </c>
      <c r="I100" s="42">
        <v>1.2830796732001459</v>
      </c>
      <c r="J100" s="41">
        <v>5353.8746700000002</v>
      </c>
      <c r="K100" s="41">
        <v>520163.85499000002</v>
      </c>
      <c r="L100" s="41">
        <v>127828.6</v>
      </c>
      <c r="M100" s="41">
        <v>328291.8</v>
      </c>
      <c r="N100" s="42">
        <v>0.36424283602371316</v>
      </c>
      <c r="O100" s="41">
        <v>0</v>
      </c>
      <c r="P100" s="41">
        <v>68131.825049999999</v>
      </c>
      <c r="Q100" s="41">
        <v>130260.6</v>
      </c>
      <c r="R100" s="41">
        <v>305955.20000000001</v>
      </c>
      <c r="S100" s="42">
        <v>0.39748205039903578</v>
      </c>
      <c r="T100" s="41">
        <v>8475.9113300000008</v>
      </c>
      <c r="U100" s="41">
        <v>885612.40497999999</v>
      </c>
      <c r="V100" s="41">
        <v>116084.8</v>
      </c>
      <c r="W100" s="41">
        <v>253591.7</v>
      </c>
      <c r="X100" s="42">
        <v>0.42115184857461624</v>
      </c>
      <c r="Y100" s="43">
        <v>1</v>
      </c>
      <c r="Z100" s="43" t="s">
        <v>2090</v>
      </c>
      <c r="AA100" s="43" t="s">
        <v>2091</v>
      </c>
      <c r="AB100" s="43" t="s">
        <v>2090</v>
      </c>
      <c r="AC100" s="43" t="s">
        <v>2090</v>
      </c>
      <c r="AD100" s="43">
        <v>0</v>
      </c>
      <c r="AE100" s="43">
        <v>0</v>
      </c>
      <c r="AF100" s="43">
        <v>0</v>
      </c>
      <c r="AG100" s="43">
        <v>0</v>
      </c>
      <c r="AH100" s="43">
        <v>0</v>
      </c>
      <c r="AI100" s="43">
        <v>0</v>
      </c>
      <c r="AJ100" s="43">
        <v>0</v>
      </c>
      <c r="AK100" s="43">
        <v>0</v>
      </c>
      <c r="AL100" s="43">
        <v>0</v>
      </c>
      <c r="AM100" s="43">
        <v>0</v>
      </c>
      <c r="AN100" s="43">
        <v>0</v>
      </c>
      <c r="AO100" s="43">
        <v>0</v>
      </c>
      <c r="AP100" s="43">
        <v>0</v>
      </c>
      <c r="AQ100" s="43">
        <v>0</v>
      </c>
      <c r="AR100" s="43">
        <v>0</v>
      </c>
      <c r="AS100" s="43">
        <v>0</v>
      </c>
      <c r="AT100" s="43">
        <v>0</v>
      </c>
      <c r="AU100" s="43">
        <v>0</v>
      </c>
      <c r="AV100" s="43">
        <v>0</v>
      </c>
      <c r="AW100" s="43">
        <v>0</v>
      </c>
      <c r="AX100" s="43">
        <v>0</v>
      </c>
      <c r="AY100" s="43">
        <v>0</v>
      </c>
      <c r="AZ100" s="43">
        <v>0</v>
      </c>
      <c r="BA100" s="43">
        <v>0</v>
      </c>
      <c r="BB100" s="43">
        <v>0</v>
      </c>
      <c r="BC100" s="43">
        <v>0</v>
      </c>
      <c r="BD100" s="43">
        <v>0</v>
      </c>
      <c r="BE100" s="43">
        <v>0</v>
      </c>
      <c r="BF100" s="43">
        <v>0</v>
      </c>
      <c r="BG100" s="43">
        <v>0</v>
      </c>
      <c r="BH100" s="43">
        <v>0</v>
      </c>
      <c r="BI100" s="43">
        <v>0</v>
      </c>
      <c r="BJ100" s="43" t="s">
        <v>2090</v>
      </c>
      <c r="BK100" s="43" t="s">
        <v>2090</v>
      </c>
      <c r="BL100" s="43" t="s">
        <v>2090</v>
      </c>
      <c r="BM100" s="43" t="s">
        <v>2090</v>
      </c>
      <c r="BN100" s="43" t="s">
        <v>2090</v>
      </c>
      <c r="BO100" s="43" t="s">
        <v>2091</v>
      </c>
      <c r="BP100" s="43" t="s">
        <v>2090</v>
      </c>
      <c r="BQ100" s="43" t="s">
        <v>2091</v>
      </c>
      <c r="BR100" s="43" t="s">
        <v>2090</v>
      </c>
      <c r="BS100" s="43" t="s">
        <v>2090</v>
      </c>
      <c r="BT100" s="43" t="s">
        <v>2090</v>
      </c>
      <c r="BU100" s="43" t="s">
        <v>2090</v>
      </c>
      <c r="BV100" s="43" t="s">
        <v>2090</v>
      </c>
      <c r="BW100" s="43" t="s">
        <v>2090</v>
      </c>
    </row>
    <row r="101" spans="1:75" ht="105.95" customHeight="1" x14ac:dyDescent="0.25">
      <c r="A101" s="38" t="s">
        <v>768</v>
      </c>
      <c r="B101" s="38" t="s">
        <v>1677</v>
      </c>
      <c r="C101" s="39" t="s">
        <v>769</v>
      </c>
      <c r="D101" s="40" t="s">
        <v>770</v>
      </c>
      <c r="E101" s="41">
        <v>66743.462669999994</v>
      </c>
      <c r="F101" s="41">
        <v>2914257.3361</v>
      </c>
      <c r="G101" s="41">
        <v>333366.5</v>
      </c>
      <c r="H101" s="41">
        <v>246801.6</v>
      </c>
      <c r="I101" s="42">
        <v>1.3138078032154406</v>
      </c>
      <c r="J101" s="41">
        <v>12278.226189999999</v>
      </c>
      <c r="K101" s="41">
        <v>1157333.31593</v>
      </c>
      <c r="L101" s="41">
        <v>131852.1</v>
      </c>
      <c r="M101" s="41">
        <v>233892.2</v>
      </c>
      <c r="N101" s="42">
        <v>0.52994506079512782</v>
      </c>
      <c r="O101" s="41">
        <v>0</v>
      </c>
      <c r="P101" s="41">
        <v>2893.3910900000001</v>
      </c>
      <c r="Q101" s="41">
        <v>219838.3</v>
      </c>
      <c r="R101" s="41">
        <v>363610.2</v>
      </c>
      <c r="S101" s="42">
        <v>0.56580736740751036</v>
      </c>
      <c r="T101" s="41">
        <v>16887.005160000001</v>
      </c>
      <c r="U101" s="41">
        <v>1548884.7121600001</v>
      </c>
      <c r="V101" s="41">
        <v>212811.4</v>
      </c>
      <c r="W101" s="41">
        <v>295398.3</v>
      </c>
      <c r="X101" s="42">
        <v>0.66869795006473698</v>
      </c>
      <c r="Y101" s="43">
        <v>1</v>
      </c>
      <c r="Z101" s="43" t="s">
        <v>2090</v>
      </c>
      <c r="AA101" s="43" t="s">
        <v>2091</v>
      </c>
      <c r="AB101" s="43" t="s">
        <v>2090</v>
      </c>
      <c r="AC101" s="43" t="s">
        <v>2090</v>
      </c>
      <c r="AD101" s="43">
        <v>0</v>
      </c>
      <c r="AE101" s="43">
        <v>0</v>
      </c>
      <c r="AF101" s="43">
        <v>0</v>
      </c>
      <c r="AG101" s="43">
        <v>0</v>
      </c>
      <c r="AH101" s="43">
        <v>0</v>
      </c>
      <c r="AI101" s="43">
        <v>0</v>
      </c>
      <c r="AJ101" s="43">
        <v>0</v>
      </c>
      <c r="AK101" s="43">
        <v>0</v>
      </c>
      <c r="AL101" s="43">
        <v>0</v>
      </c>
      <c r="AM101" s="43">
        <v>0</v>
      </c>
      <c r="AN101" s="43">
        <v>0</v>
      </c>
      <c r="AO101" s="43">
        <v>0</v>
      </c>
      <c r="AP101" s="43">
        <v>0</v>
      </c>
      <c r="AQ101" s="43">
        <v>0</v>
      </c>
      <c r="AR101" s="43">
        <v>0</v>
      </c>
      <c r="AS101" s="43">
        <v>0</v>
      </c>
      <c r="AT101" s="43">
        <v>0</v>
      </c>
      <c r="AU101" s="43">
        <v>0</v>
      </c>
      <c r="AV101" s="43">
        <v>0</v>
      </c>
      <c r="AW101" s="43">
        <v>0</v>
      </c>
      <c r="AX101" s="43">
        <v>0</v>
      </c>
      <c r="AY101" s="43">
        <v>0</v>
      </c>
      <c r="AZ101" s="43">
        <v>0</v>
      </c>
      <c r="BA101" s="43">
        <v>0</v>
      </c>
      <c r="BB101" s="43">
        <v>0</v>
      </c>
      <c r="BC101" s="43">
        <v>0</v>
      </c>
      <c r="BD101" s="43">
        <v>0</v>
      </c>
      <c r="BE101" s="43">
        <v>0</v>
      </c>
      <c r="BF101" s="43">
        <v>0</v>
      </c>
      <c r="BG101" s="43">
        <v>0</v>
      </c>
      <c r="BH101" s="43">
        <v>0</v>
      </c>
      <c r="BI101" s="43">
        <v>0</v>
      </c>
      <c r="BJ101" s="43" t="s">
        <v>2090</v>
      </c>
      <c r="BK101" s="43" t="s">
        <v>2090</v>
      </c>
      <c r="BL101" s="43" t="s">
        <v>2090</v>
      </c>
      <c r="BM101" s="43" t="s">
        <v>2090</v>
      </c>
      <c r="BN101" s="43" t="s">
        <v>2090</v>
      </c>
      <c r="BO101" s="43" t="s">
        <v>2091</v>
      </c>
      <c r="BP101" s="43" t="s">
        <v>2090</v>
      </c>
      <c r="BQ101" s="43" t="s">
        <v>2091</v>
      </c>
      <c r="BR101" s="43" t="s">
        <v>2090</v>
      </c>
      <c r="BS101" s="43" t="s">
        <v>2090</v>
      </c>
      <c r="BT101" s="43" t="s">
        <v>2090</v>
      </c>
      <c r="BU101" s="43" t="s">
        <v>2090</v>
      </c>
      <c r="BV101" s="43" t="s">
        <v>2090</v>
      </c>
      <c r="BW101" s="43" t="s">
        <v>2090</v>
      </c>
    </row>
    <row r="102" spans="1:75" ht="134.44999999999999" customHeight="1" x14ac:dyDescent="0.25">
      <c r="A102" s="38" t="s">
        <v>771</v>
      </c>
      <c r="B102" s="38" t="s">
        <v>1678</v>
      </c>
      <c r="C102" s="39" t="s">
        <v>772</v>
      </c>
      <c r="D102" s="40" t="s">
        <v>773</v>
      </c>
      <c r="E102" s="41">
        <v>52722.769050000003</v>
      </c>
      <c r="F102" s="41">
        <v>2656662.9323399998</v>
      </c>
      <c r="G102" s="41">
        <v>230902.39999999999</v>
      </c>
      <c r="H102" s="41">
        <v>192593.2</v>
      </c>
      <c r="I102" s="42">
        <v>1.1633273527972599</v>
      </c>
      <c r="J102" s="41">
        <v>53860.516969999997</v>
      </c>
      <c r="K102" s="41">
        <v>2451122.05901</v>
      </c>
      <c r="L102" s="41">
        <v>157609.4</v>
      </c>
      <c r="M102" s="41">
        <v>122213</v>
      </c>
      <c r="N102" s="42">
        <v>1.2018062691679612</v>
      </c>
      <c r="O102" s="41">
        <v>79818.013210000005</v>
      </c>
      <c r="P102" s="41">
        <v>3092938.0366099998</v>
      </c>
      <c r="Q102" s="41">
        <v>543055.6</v>
      </c>
      <c r="R102" s="41">
        <v>393463.8</v>
      </c>
      <c r="S102" s="42">
        <v>1.3814961490803956</v>
      </c>
      <c r="T102" s="41">
        <v>61244.725980000003</v>
      </c>
      <c r="U102" s="41">
        <v>2800976.1840499998</v>
      </c>
      <c r="V102" s="41">
        <v>234186.8</v>
      </c>
      <c r="W102" s="41">
        <v>160804.20000000001</v>
      </c>
      <c r="X102" s="42">
        <v>1.2999206921413122</v>
      </c>
      <c r="Y102" s="43">
        <v>1</v>
      </c>
      <c r="Z102" s="43" t="s">
        <v>2090</v>
      </c>
      <c r="AA102" s="43" t="s">
        <v>2091</v>
      </c>
      <c r="AB102" s="43" t="s">
        <v>2090</v>
      </c>
      <c r="AC102" s="43" t="s">
        <v>2090</v>
      </c>
      <c r="AD102" s="43">
        <v>0</v>
      </c>
      <c r="AE102" s="43">
        <v>0</v>
      </c>
      <c r="AF102" s="43">
        <v>0</v>
      </c>
      <c r="AG102" s="43">
        <v>0</v>
      </c>
      <c r="AH102" s="43">
        <v>0</v>
      </c>
      <c r="AI102" s="43">
        <v>0</v>
      </c>
      <c r="AJ102" s="43">
        <v>0</v>
      </c>
      <c r="AK102" s="43">
        <v>0</v>
      </c>
      <c r="AL102" s="43">
        <v>0</v>
      </c>
      <c r="AM102" s="43">
        <v>0</v>
      </c>
      <c r="AN102" s="43">
        <v>0</v>
      </c>
      <c r="AO102" s="43">
        <v>0</v>
      </c>
      <c r="AP102" s="43">
        <v>0</v>
      </c>
      <c r="AQ102" s="43">
        <v>0</v>
      </c>
      <c r="AR102" s="43">
        <v>0</v>
      </c>
      <c r="AS102" s="43">
        <v>0</v>
      </c>
      <c r="AT102" s="43">
        <v>0</v>
      </c>
      <c r="AU102" s="43">
        <v>0</v>
      </c>
      <c r="AV102" s="43">
        <v>0</v>
      </c>
      <c r="AW102" s="43">
        <v>0</v>
      </c>
      <c r="AX102" s="43">
        <v>0</v>
      </c>
      <c r="AY102" s="43">
        <v>0</v>
      </c>
      <c r="AZ102" s="43">
        <v>0</v>
      </c>
      <c r="BA102" s="43">
        <v>0</v>
      </c>
      <c r="BB102" s="43">
        <v>0</v>
      </c>
      <c r="BC102" s="43">
        <v>0</v>
      </c>
      <c r="BD102" s="43">
        <v>0</v>
      </c>
      <c r="BE102" s="43">
        <v>0</v>
      </c>
      <c r="BF102" s="43">
        <v>0</v>
      </c>
      <c r="BG102" s="43">
        <v>0</v>
      </c>
      <c r="BH102" s="43">
        <v>0</v>
      </c>
      <c r="BI102" s="43">
        <v>0</v>
      </c>
      <c r="BJ102" s="43" t="s">
        <v>2090</v>
      </c>
      <c r="BK102" s="43" t="s">
        <v>2090</v>
      </c>
      <c r="BL102" s="43" t="s">
        <v>2090</v>
      </c>
      <c r="BM102" s="43" t="s">
        <v>2090</v>
      </c>
      <c r="BN102" s="43" t="s">
        <v>2090</v>
      </c>
      <c r="BO102" s="43" t="s">
        <v>2090</v>
      </c>
      <c r="BP102" s="43" t="s">
        <v>2090</v>
      </c>
      <c r="BQ102" s="43" t="s">
        <v>2090</v>
      </c>
      <c r="BR102" s="43" t="s">
        <v>2091</v>
      </c>
      <c r="BS102" s="43" t="s">
        <v>2090</v>
      </c>
      <c r="BT102" s="43" t="s">
        <v>2091</v>
      </c>
      <c r="BU102" s="43" t="s">
        <v>2090</v>
      </c>
      <c r="BV102" s="43" t="s">
        <v>2090</v>
      </c>
      <c r="BW102" s="43" t="s">
        <v>2090</v>
      </c>
    </row>
    <row r="103" spans="1:75" ht="117.95" customHeight="1" x14ac:dyDescent="0.25">
      <c r="A103" s="38" t="s">
        <v>774</v>
      </c>
      <c r="B103" s="38" t="s">
        <v>1679</v>
      </c>
      <c r="C103" s="39" t="s">
        <v>775</v>
      </c>
      <c r="D103" s="40" t="s">
        <v>776</v>
      </c>
      <c r="E103" s="41">
        <v>57244.359069999999</v>
      </c>
      <c r="F103" s="41">
        <v>2778292.5747000002</v>
      </c>
      <c r="G103" s="41">
        <v>466134.8</v>
      </c>
      <c r="H103" s="41">
        <v>400493.2</v>
      </c>
      <c r="I103" s="42">
        <v>1.1427731739926237</v>
      </c>
      <c r="J103" s="41">
        <v>14130.948920000001</v>
      </c>
      <c r="K103" s="41">
        <v>1289240.90913</v>
      </c>
      <c r="L103" s="41">
        <v>151373.9</v>
      </c>
      <c r="M103" s="41">
        <v>217933.5</v>
      </c>
      <c r="N103" s="42">
        <v>0.6564199824247211</v>
      </c>
      <c r="O103" s="41">
        <v>46628.929179999999</v>
      </c>
      <c r="P103" s="41">
        <v>2689336.1963900002</v>
      </c>
      <c r="Q103" s="41">
        <v>513604.7</v>
      </c>
      <c r="R103" s="41">
        <v>455466.9</v>
      </c>
      <c r="S103" s="42">
        <v>1.0770930142065638</v>
      </c>
      <c r="T103" s="41">
        <v>40909.761229999996</v>
      </c>
      <c r="U103" s="41">
        <v>2442506.0590900001</v>
      </c>
      <c r="V103" s="41">
        <v>308953.8</v>
      </c>
      <c r="W103" s="41">
        <v>278274.8</v>
      </c>
      <c r="X103" s="42">
        <v>1.0491843418112816</v>
      </c>
      <c r="Y103" s="43">
        <v>1</v>
      </c>
      <c r="Z103" s="43" t="s">
        <v>2090</v>
      </c>
      <c r="AA103" s="43" t="s">
        <v>2091</v>
      </c>
      <c r="AB103" s="43" t="s">
        <v>2090</v>
      </c>
      <c r="AC103" s="43" t="s">
        <v>2090</v>
      </c>
      <c r="AD103" s="43">
        <v>0</v>
      </c>
      <c r="AE103" s="43">
        <v>0</v>
      </c>
      <c r="AF103" s="43">
        <v>0</v>
      </c>
      <c r="AG103" s="43">
        <v>0</v>
      </c>
      <c r="AH103" s="43">
        <v>0</v>
      </c>
      <c r="AI103" s="43">
        <v>0</v>
      </c>
      <c r="AJ103" s="43">
        <v>0</v>
      </c>
      <c r="AK103" s="43">
        <v>0</v>
      </c>
      <c r="AL103" s="43">
        <v>0</v>
      </c>
      <c r="AM103" s="43">
        <v>0</v>
      </c>
      <c r="AN103" s="43">
        <v>0</v>
      </c>
      <c r="AO103" s="43">
        <v>0</v>
      </c>
      <c r="AP103" s="43">
        <v>0</v>
      </c>
      <c r="AQ103" s="43">
        <v>0</v>
      </c>
      <c r="AR103" s="43">
        <v>0</v>
      </c>
      <c r="AS103" s="43">
        <v>0</v>
      </c>
      <c r="AT103" s="43">
        <v>0</v>
      </c>
      <c r="AU103" s="43">
        <v>0</v>
      </c>
      <c r="AV103" s="43">
        <v>0</v>
      </c>
      <c r="AW103" s="43">
        <v>0</v>
      </c>
      <c r="AX103" s="43">
        <v>0</v>
      </c>
      <c r="AY103" s="43">
        <v>0</v>
      </c>
      <c r="AZ103" s="43">
        <v>0</v>
      </c>
      <c r="BA103" s="43">
        <v>0</v>
      </c>
      <c r="BB103" s="43">
        <v>0</v>
      </c>
      <c r="BC103" s="43">
        <v>0</v>
      </c>
      <c r="BD103" s="43">
        <v>0</v>
      </c>
      <c r="BE103" s="43">
        <v>0</v>
      </c>
      <c r="BF103" s="43">
        <v>0</v>
      </c>
      <c r="BG103" s="43">
        <v>0</v>
      </c>
      <c r="BH103" s="43">
        <v>0</v>
      </c>
      <c r="BI103" s="43">
        <v>0</v>
      </c>
      <c r="BJ103" s="43" t="s">
        <v>2090</v>
      </c>
      <c r="BK103" s="43" t="s">
        <v>2090</v>
      </c>
      <c r="BL103" s="43" t="s">
        <v>2090</v>
      </c>
      <c r="BM103" s="43" t="s">
        <v>2090</v>
      </c>
      <c r="BN103" s="43" t="s">
        <v>2090</v>
      </c>
      <c r="BO103" s="43" t="s">
        <v>2091</v>
      </c>
      <c r="BP103" s="43" t="s">
        <v>2091</v>
      </c>
      <c r="BQ103" s="43" t="s">
        <v>2090</v>
      </c>
      <c r="BR103" s="43" t="s">
        <v>2090</v>
      </c>
      <c r="BS103" s="43" t="s">
        <v>2090</v>
      </c>
      <c r="BT103" s="43" t="s">
        <v>2090</v>
      </c>
      <c r="BU103" s="43" t="s">
        <v>2090</v>
      </c>
      <c r="BV103" s="43" t="s">
        <v>2090</v>
      </c>
      <c r="BW103" s="43" t="s">
        <v>2090</v>
      </c>
    </row>
    <row r="104" spans="1:75" ht="102.95" customHeight="1" x14ac:dyDescent="0.25">
      <c r="A104" s="38" t="s">
        <v>777</v>
      </c>
      <c r="B104" s="38" t="s">
        <v>1680</v>
      </c>
      <c r="C104" s="39" t="s">
        <v>778</v>
      </c>
      <c r="D104" s="40" t="s">
        <v>779</v>
      </c>
      <c r="E104" s="41">
        <v>73989.718829999998</v>
      </c>
      <c r="F104" s="41">
        <v>2924086.5213000001</v>
      </c>
      <c r="G104" s="41">
        <v>158735.1</v>
      </c>
      <c r="H104" s="41">
        <v>119532.2</v>
      </c>
      <c r="I104" s="42">
        <v>1.2894228371977063</v>
      </c>
      <c r="J104" s="41">
        <v>0</v>
      </c>
      <c r="K104" s="41">
        <v>16579.104439999999</v>
      </c>
      <c r="L104" s="41">
        <v>91585.7</v>
      </c>
      <c r="M104" s="41">
        <v>175362.6</v>
      </c>
      <c r="N104" s="42">
        <v>0.49848869544190544</v>
      </c>
      <c r="O104" s="41">
        <v>63200.660759999999</v>
      </c>
      <c r="P104" s="41">
        <v>2916191.7541299998</v>
      </c>
      <c r="Q104" s="41">
        <v>98183.3</v>
      </c>
      <c r="R104" s="41">
        <v>118948</v>
      </c>
      <c r="S104" s="42">
        <v>0.73117515437285729</v>
      </c>
      <c r="T104" s="41">
        <v>4937.0158600000004</v>
      </c>
      <c r="U104" s="41">
        <v>684797.12482999999</v>
      </c>
      <c r="V104" s="41">
        <v>43971.3</v>
      </c>
      <c r="W104" s="41">
        <v>103742.2</v>
      </c>
      <c r="X104" s="42">
        <v>0.40418249566093384</v>
      </c>
      <c r="Y104" s="43">
        <v>1</v>
      </c>
      <c r="Z104" s="43" t="s">
        <v>2090</v>
      </c>
      <c r="AA104" s="43" t="s">
        <v>2091</v>
      </c>
      <c r="AB104" s="43" t="s">
        <v>2090</v>
      </c>
      <c r="AC104" s="43" t="s">
        <v>2090</v>
      </c>
      <c r="AD104" s="43">
        <v>0</v>
      </c>
      <c r="AE104" s="43">
        <v>0</v>
      </c>
      <c r="AF104" s="43">
        <v>0</v>
      </c>
      <c r="AG104" s="43">
        <v>0</v>
      </c>
      <c r="AH104" s="43">
        <v>0</v>
      </c>
      <c r="AI104" s="43">
        <v>0</v>
      </c>
      <c r="AJ104" s="43">
        <v>0</v>
      </c>
      <c r="AK104" s="43">
        <v>0</v>
      </c>
      <c r="AL104" s="43">
        <v>0</v>
      </c>
      <c r="AM104" s="43">
        <v>0</v>
      </c>
      <c r="AN104" s="43">
        <v>0</v>
      </c>
      <c r="AO104" s="43">
        <v>0</v>
      </c>
      <c r="AP104" s="43">
        <v>0</v>
      </c>
      <c r="AQ104" s="43">
        <v>0</v>
      </c>
      <c r="AR104" s="43">
        <v>0</v>
      </c>
      <c r="AS104" s="43">
        <v>0</v>
      </c>
      <c r="AT104" s="43">
        <v>0</v>
      </c>
      <c r="AU104" s="43">
        <v>0</v>
      </c>
      <c r="AV104" s="43">
        <v>0</v>
      </c>
      <c r="AW104" s="43">
        <v>0</v>
      </c>
      <c r="AX104" s="43">
        <v>0</v>
      </c>
      <c r="AY104" s="43">
        <v>0</v>
      </c>
      <c r="AZ104" s="43">
        <v>0</v>
      </c>
      <c r="BA104" s="43">
        <v>0</v>
      </c>
      <c r="BB104" s="43">
        <v>0</v>
      </c>
      <c r="BC104" s="43">
        <v>0</v>
      </c>
      <c r="BD104" s="43">
        <v>0</v>
      </c>
      <c r="BE104" s="43">
        <v>0</v>
      </c>
      <c r="BF104" s="43">
        <v>0</v>
      </c>
      <c r="BG104" s="43">
        <v>0</v>
      </c>
      <c r="BH104" s="43">
        <v>0</v>
      </c>
      <c r="BI104" s="43">
        <v>0</v>
      </c>
      <c r="BJ104" s="43" t="s">
        <v>2090</v>
      </c>
      <c r="BK104" s="43" t="s">
        <v>2090</v>
      </c>
      <c r="BL104" s="43" t="s">
        <v>2090</v>
      </c>
      <c r="BM104" s="43" t="s">
        <v>2090</v>
      </c>
      <c r="BN104" s="43" t="s">
        <v>2090</v>
      </c>
      <c r="BO104" s="43" t="s">
        <v>2091</v>
      </c>
      <c r="BP104" s="43" t="s">
        <v>2091</v>
      </c>
      <c r="BQ104" s="43" t="s">
        <v>2090</v>
      </c>
      <c r="BR104" s="43" t="s">
        <v>2090</v>
      </c>
      <c r="BS104" s="43" t="s">
        <v>2090</v>
      </c>
      <c r="BT104" s="43" t="s">
        <v>2090</v>
      </c>
      <c r="BU104" s="43" t="s">
        <v>2090</v>
      </c>
      <c r="BV104" s="43" t="s">
        <v>2090</v>
      </c>
      <c r="BW104" s="43" t="s">
        <v>2090</v>
      </c>
    </row>
    <row r="105" spans="1:75" ht="114.2" customHeight="1" x14ac:dyDescent="0.25">
      <c r="A105" s="38" t="s">
        <v>780</v>
      </c>
      <c r="B105" s="38" t="s">
        <v>1681</v>
      </c>
      <c r="C105" s="39" t="s">
        <v>781</v>
      </c>
      <c r="D105" s="40" t="s">
        <v>782</v>
      </c>
      <c r="E105" s="41">
        <v>62570.019820000001</v>
      </c>
      <c r="F105" s="41">
        <v>2875221.59852</v>
      </c>
      <c r="G105" s="41">
        <v>287989.90000000002</v>
      </c>
      <c r="H105" s="41">
        <v>232934.6</v>
      </c>
      <c r="I105" s="42">
        <v>1.2223046380732143</v>
      </c>
      <c r="J105" s="41">
        <v>37875.288990000001</v>
      </c>
      <c r="K105" s="41">
        <v>2097138.84546</v>
      </c>
      <c r="L105" s="41">
        <v>295086.3</v>
      </c>
      <c r="M105" s="41">
        <v>276018.7</v>
      </c>
      <c r="N105" s="42">
        <v>1.016187098086738</v>
      </c>
      <c r="O105" s="41">
        <v>7323.0614699999996</v>
      </c>
      <c r="P105" s="41">
        <v>1088953.68912</v>
      </c>
      <c r="Q105" s="41">
        <v>212553</v>
      </c>
      <c r="R105" s="41">
        <v>295058</v>
      </c>
      <c r="S105" s="42">
        <v>0.68847314322915587</v>
      </c>
      <c r="T105" s="41">
        <v>64180.53441</v>
      </c>
      <c r="U105" s="41">
        <v>2888261.5637099999</v>
      </c>
      <c r="V105" s="41">
        <v>146020</v>
      </c>
      <c r="W105" s="41">
        <v>130176.2</v>
      </c>
      <c r="X105" s="42">
        <v>1.0262359957128333</v>
      </c>
      <c r="Y105" s="43">
        <v>1</v>
      </c>
      <c r="Z105" s="43" t="s">
        <v>2090</v>
      </c>
      <c r="AA105" s="43" t="s">
        <v>2091</v>
      </c>
      <c r="AB105" s="43" t="s">
        <v>2090</v>
      </c>
      <c r="AC105" s="43" t="s">
        <v>2090</v>
      </c>
      <c r="AD105" s="43">
        <v>0</v>
      </c>
      <c r="AE105" s="43">
        <v>0</v>
      </c>
      <c r="AF105" s="43">
        <v>0</v>
      </c>
      <c r="AG105" s="43">
        <v>0</v>
      </c>
      <c r="AH105" s="43">
        <v>0</v>
      </c>
      <c r="AI105" s="43">
        <v>0</v>
      </c>
      <c r="AJ105" s="43">
        <v>0</v>
      </c>
      <c r="AK105" s="43">
        <v>0</v>
      </c>
      <c r="AL105" s="43">
        <v>0</v>
      </c>
      <c r="AM105" s="43">
        <v>0</v>
      </c>
      <c r="AN105" s="43">
        <v>0</v>
      </c>
      <c r="AO105" s="43">
        <v>0</v>
      </c>
      <c r="AP105" s="43">
        <v>0</v>
      </c>
      <c r="AQ105" s="43">
        <v>0</v>
      </c>
      <c r="AR105" s="43">
        <v>0</v>
      </c>
      <c r="AS105" s="43">
        <v>0</v>
      </c>
      <c r="AT105" s="43">
        <v>0</v>
      </c>
      <c r="AU105" s="43">
        <v>0</v>
      </c>
      <c r="AV105" s="43">
        <v>0</v>
      </c>
      <c r="AW105" s="43">
        <v>0</v>
      </c>
      <c r="AX105" s="43">
        <v>0</v>
      </c>
      <c r="AY105" s="43">
        <v>0</v>
      </c>
      <c r="AZ105" s="43">
        <v>0</v>
      </c>
      <c r="BA105" s="43">
        <v>0</v>
      </c>
      <c r="BB105" s="43">
        <v>0</v>
      </c>
      <c r="BC105" s="43">
        <v>0</v>
      </c>
      <c r="BD105" s="43">
        <v>0</v>
      </c>
      <c r="BE105" s="43">
        <v>0</v>
      </c>
      <c r="BF105" s="43">
        <v>0</v>
      </c>
      <c r="BG105" s="43">
        <v>0</v>
      </c>
      <c r="BH105" s="43">
        <v>0</v>
      </c>
      <c r="BI105" s="43">
        <v>0</v>
      </c>
      <c r="BJ105" s="43" t="s">
        <v>2090</v>
      </c>
      <c r="BK105" s="43" t="s">
        <v>2090</v>
      </c>
      <c r="BL105" s="43" t="s">
        <v>2090</v>
      </c>
      <c r="BM105" s="43" t="s">
        <v>2090</v>
      </c>
      <c r="BN105" s="43" t="s">
        <v>2090</v>
      </c>
      <c r="BO105" s="43" t="s">
        <v>2091</v>
      </c>
      <c r="BP105" s="43" t="s">
        <v>2091</v>
      </c>
      <c r="BQ105" s="43" t="s">
        <v>2090</v>
      </c>
      <c r="BR105" s="43" t="s">
        <v>2090</v>
      </c>
      <c r="BS105" s="43" t="s">
        <v>2090</v>
      </c>
      <c r="BT105" s="43" t="s">
        <v>2090</v>
      </c>
      <c r="BU105" s="43" t="s">
        <v>2090</v>
      </c>
      <c r="BV105" s="43" t="s">
        <v>2090</v>
      </c>
      <c r="BW105" s="43" t="s">
        <v>2090</v>
      </c>
    </row>
    <row r="106" spans="1:75" ht="114.95" customHeight="1" x14ac:dyDescent="0.25">
      <c r="A106" s="38" t="s">
        <v>783</v>
      </c>
      <c r="B106" s="38" t="s">
        <v>1682</v>
      </c>
      <c r="C106" s="39" t="s">
        <v>784</v>
      </c>
      <c r="D106" s="40" t="s">
        <v>785</v>
      </c>
      <c r="E106" s="41">
        <v>41701.158620000002</v>
      </c>
      <c r="F106" s="41">
        <v>2321509.4893200002</v>
      </c>
      <c r="G106" s="41">
        <v>94867.3</v>
      </c>
      <c r="H106" s="41">
        <v>83689.3</v>
      </c>
      <c r="I106" s="42">
        <v>1.0978274173806608</v>
      </c>
      <c r="J106" s="41">
        <v>0</v>
      </c>
      <c r="K106" s="41">
        <v>11011.20665</v>
      </c>
      <c r="L106" s="41">
        <v>332981.8</v>
      </c>
      <c r="M106" s="41">
        <v>402350.2</v>
      </c>
      <c r="N106" s="42">
        <v>0.78609502016498345</v>
      </c>
      <c r="O106" s="41">
        <v>3411.6897800000002</v>
      </c>
      <c r="P106" s="41">
        <v>543896.16220000002</v>
      </c>
      <c r="Q106" s="41">
        <v>64100</v>
      </c>
      <c r="R106" s="41">
        <v>178599</v>
      </c>
      <c r="S106" s="42">
        <v>0.33906548307529372</v>
      </c>
      <c r="T106" s="41">
        <v>2899.8154800000002</v>
      </c>
      <c r="U106" s="41">
        <v>498349.55732999998</v>
      </c>
      <c r="V106" s="41">
        <v>134602.4</v>
      </c>
      <c r="W106" s="41">
        <v>288176.40000000002</v>
      </c>
      <c r="X106" s="42">
        <v>0.43389821878633072</v>
      </c>
      <c r="Y106" s="43">
        <v>1</v>
      </c>
      <c r="Z106" s="43" t="s">
        <v>2090</v>
      </c>
      <c r="AA106" s="43" t="s">
        <v>2091</v>
      </c>
      <c r="AB106" s="43" t="s">
        <v>2090</v>
      </c>
      <c r="AC106" s="43" t="s">
        <v>2090</v>
      </c>
      <c r="AD106" s="43">
        <v>0</v>
      </c>
      <c r="AE106" s="43">
        <v>0</v>
      </c>
      <c r="AF106" s="43">
        <v>0</v>
      </c>
      <c r="AG106" s="43">
        <v>0</v>
      </c>
      <c r="AH106" s="43">
        <v>0</v>
      </c>
      <c r="AI106" s="43">
        <v>0</v>
      </c>
      <c r="AJ106" s="43">
        <v>0</v>
      </c>
      <c r="AK106" s="43">
        <v>0</v>
      </c>
      <c r="AL106" s="43">
        <v>0</v>
      </c>
      <c r="AM106" s="43">
        <v>0</v>
      </c>
      <c r="AN106" s="43">
        <v>0</v>
      </c>
      <c r="AO106" s="43">
        <v>0</v>
      </c>
      <c r="AP106" s="43">
        <v>0</v>
      </c>
      <c r="AQ106" s="43">
        <v>0</v>
      </c>
      <c r="AR106" s="43">
        <v>0</v>
      </c>
      <c r="AS106" s="43">
        <v>0</v>
      </c>
      <c r="AT106" s="43">
        <v>0</v>
      </c>
      <c r="AU106" s="43">
        <v>0</v>
      </c>
      <c r="AV106" s="43">
        <v>0</v>
      </c>
      <c r="AW106" s="43">
        <v>0</v>
      </c>
      <c r="AX106" s="43">
        <v>0</v>
      </c>
      <c r="AY106" s="43">
        <v>0</v>
      </c>
      <c r="AZ106" s="43">
        <v>0</v>
      </c>
      <c r="BA106" s="43">
        <v>0</v>
      </c>
      <c r="BB106" s="43">
        <v>0</v>
      </c>
      <c r="BC106" s="43">
        <v>0</v>
      </c>
      <c r="BD106" s="43">
        <v>0</v>
      </c>
      <c r="BE106" s="43">
        <v>0</v>
      </c>
      <c r="BF106" s="43">
        <v>0</v>
      </c>
      <c r="BG106" s="43">
        <v>0</v>
      </c>
      <c r="BH106" s="43">
        <v>0</v>
      </c>
      <c r="BI106" s="43">
        <v>0</v>
      </c>
      <c r="BJ106" s="43" t="s">
        <v>2090</v>
      </c>
      <c r="BK106" s="43" t="s">
        <v>2090</v>
      </c>
      <c r="BL106" s="43" t="s">
        <v>2090</v>
      </c>
      <c r="BM106" s="43" t="s">
        <v>2090</v>
      </c>
      <c r="BN106" s="43" t="s">
        <v>2090</v>
      </c>
      <c r="BO106" s="43" t="s">
        <v>2091</v>
      </c>
      <c r="BP106" s="43" t="s">
        <v>2090</v>
      </c>
      <c r="BQ106" s="43" t="s">
        <v>2091</v>
      </c>
      <c r="BR106" s="43" t="s">
        <v>2090</v>
      </c>
      <c r="BS106" s="43" t="s">
        <v>2090</v>
      </c>
      <c r="BT106" s="43" t="s">
        <v>2090</v>
      </c>
      <c r="BU106" s="43" t="s">
        <v>2090</v>
      </c>
      <c r="BV106" s="43" t="s">
        <v>2090</v>
      </c>
      <c r="BW106" s="43" t="s">
        <v>2090</v>
      </c>
    </row>
    <row r="107" spans="1:75" ht="154.69999999999999" customHeight="1" x14ac:dyDescent="0.25">
      <c r="A107" s="38" t="s">
        <v>786</v>
      </c>
      <c r="B107" s="38" t="s">
        <v>1683</v>
      </c>
      <c r="C107" s="39" t="s">
        <v>787</v>
      </c>
      <c r="D107" s="40" t="s">
        <v>788</v>
      </c>
      <c r="E107" s="41">
        <v>66693.844259999998</v>
      </c>
      <c r="F107" s="41">
        <v>3007034.0915399999</v>
      </c>
      <c r="G107" s="41">
        <v>134724</v>
      </c>
      <c r="H107" s="41">
        <v>94268.3</v>
      </c>
      <c r="I107" s="42">
        <v>1.3576357158938908</v>
      </c>
      <c r="J107" s="41">
        <v>0</v>
      </c>
      <c r="K107" s="41">
        <v>142441.10045</v>
      </c>
      <c r="L107" s="41">
        <v>49814.1</v>
      </c>
      <c r="M107" s="41">
        <v>102198.8</v>
      </c>
      <c r="N107" s="42">
        <v>0.47018836916871054</v>
      </c>
      <c r="O107" s="41">
        <v>11321.131369999999</v>
      </c>
      <c r="P107" s="41">
        <v>1425078.16906</v>
      </c>
      <c r="Q107" s="41">
        <v>65307.6</v>
      </c>
      <c r="R107" s="41">
        <v>98745.5</v>
      </c>
      <c r="S107" s="42">
        <v>0.63965092110868693</v>
      </c>
      <c r="T107" s="41">
        <v>33257.673320000002</v>
      </c>
      <c r="U107" s="41">
        <v>2195208.2590999999</v>
      </c>
      <c r="V107" s="41">
        <v>169809.1</v>
      </c>
      <c r="W107" s="41">
        <v>168216.2</v>
      </c>
      <c r="X107" s="42">
        <v>0.97136770926512739</v>
      </c>
      <c r="Y107" s="43">
        <v>2</v>
      </c>
      <c r="Z107" s="43" t="s">
        <v>2090</v>
      </c>
      <c r="AA107" s="43" t="s">
        <v>2091</v>
      </c>
      <c r="AB107" s="43" t="s">
        <v>2090</v>
      </c>
      <c r="AC107" s="43" t="s">
        <v>2090</v>
      </c>
      <c r="AD107" s="43">
        <v>0</v>
      </c>
      <c r="AE107" s="43">
        <v>0</v>
      </c>
      <c r="AF107" s="43">
        <v>0</v>
      </c>
      <c r="AG107" s="43">
        <v>0</v>
      </c>
      <c r="AH107" s="43">
        <v>0</v>
      </c>
      <c r="AI107" s="43">
        <v>0</v>
      </c>
      <c r="AJ107" s="43">
        <v>0</v>
      </c>
      <c r="AK107" s="43">
        <v>1</v>
      </c>
      <c r="AL107" s="43">
        <v>0</v>
      </c>
      <c r="AM107" s="43">
        <v>0</v>
      </c>
      <c r="AN107" s="43">
        <v>0</v>
      </c>
      <c r="AO107" s="43">
        <v>0</v>
      </c>
      <c r="AP107" s="43">
        <v>0</v>
      </c>
      <c r="AQ107" s="43">
        <v>0</v>
      </c>
      <c r="AR107" s="43">
        <v>0</v>
      </c>
      <c r="AS107" s="43">
        <v>0</v>
      </c>
      <c r="AT107" s="43">
        <v>0</v>
      </c>
      <c r="AU107" s="43">
        <v>0</v>
      </c>
      <c r="AV107" s="43">
        <v>0</v>
      </c>
      <c r="AW107" s="43">
        <v>0</v>
      </c>
      <c r="AX107" s="43">
        <v>0</v>
      </c>
      <c r="AY107" s="43">
        <v>0</v>
      </c>
      <c r="AZ107" s="43">
        <v>0</v>
      </c>
      <c r="BA107" s="43">
        <v>0</v>
      </c>
      <c r="BB107" s="43">
        <v>0</v>
      </c>
      <c r="BC107" s="43">
        <v>0</v>
      </c>
      <c r="BD107" s="43">
        <v>0</v>
      </c>
      <c r="BE107" s="43">
        <v>0</v>
      </c>
      <c r="BF107" s="43">
        <v>0</v>
      </c>
      <c r="BG107" s="43">
        <v>0</v>
      </c>
      <c r="BH107" s="43">
        <v>0</v>
      </c>
      <c r="BI107" s="43">
        <v>0</v>
      </c>
      <c r="BJ107" s="43" t="s">
        <v>2091</v>
      </c>
      <c r="BK107" s="43" t="s">
        <v>2090</v>
      </c>
      <c r="BL107" s="43" t="s">
        <v>2090</v>
      </c>
      <c r="BM107" s="43" t="s">
        <v>2090</v>
      </c>
      <c r="BN107" s="43" t="s">
        <v>2090</v>
      </c>
      <c r="BO107" s="43" t="s">
        <v>2090</v>
      </c>
      <c r="BP107" s="43" t="s">
        <v>2090</v>
      </c>
      <c r="BQ107" s="43" t="s">
        <v>2090</v>
      </c>
      <c r="BR107" s="43" t="s">
        <v>2091</v>
      </c>
      <c r="BS107" s="43" t="s">
        <v>2090</v>
      </c>
      <c r="BT107" s="43" t="s">
        <v>2091</v>
      </c>
      <c r="BU107" s="43" t="s">
        <v>2090</v>
      </c>
      <c r="BV107" s="43" t="s">
        <v>2090</v>
      </c>
      <c r="BW107" s="43" t="s">
        <v>2090</v>
      </c>
    </row>
    <row r="108" spans="1:75" ht="120.2" customHeight="1" x14ac:dyDescent="0.25">
      <c r="A108" s="38" t="s">
        <v>789</v>
      </c>
      <c r="B108" s="38" t="s">
        <v>1684</v>
      </c>
      <c r="C108" s="39" t="s">
        <v>790</v>
      </c>
      <c r="D108" s="40" t="s">
        <v>791</v>
      </c>
      <c r="E108" s="41">
        <v>79764.395189999996</v>
      </c>
      <c r="F108" s="41">
        <v>3198094.9290999998</v>
      </c>
      <c r="G108" s="41">
        <v>432827.1</v>
      </c>
      <c r="H108" s="41">
        <v>298738.90000000002</v>
      </c>
      <c r="I108" s="42">
        <v>1.4255475465506402</v>
      </c>
      <c r="J108" s="41">
        <v>53638.390050000002</v>
      </c>
      <c r="K108" s="41">
        <v>2425943.3465900002</v>
      </c>
      <c r="L108" s="41">
        <v>227983.6</v>
      </c>
      <c r="M108" s="41">
        <v>183487</v>
      </c>
      <c r="N108" s="42">
        <v>1.1581932467944063</v>
      </c>
      <c r="O108" s="41">
        <v>66221.855880000003</v>
      </c>
      <c r="P108" s="41">
        <v>2984025.6613500002</v>
      </c>
      <c r="Q108" s="41">
        <v>376014.2</v>
      </c>
      <c r="R108" s="41">
        <v>281083.7</v>
      </c>
      <c r="S108" s="42">
        <v>1.3174045291435068</v>
      </c>
      <c r="T108" s="41">
        <v>60752.040070000003</v>
      </c>
      <c r="U108" s="41">
        <v>2803589.03095</v>
      </c>
      <c r="V108" s="41">
        <v>230145.6</v>
      </c>
      <c r="W108" s="41">
        <v>155157.79999999999</v>
      </c>
      <c r="X108" s="42">
        <v>1.3006944699614185</v>
      </c>
      <c r="Y108" s="43">
        <v>1</v>
      </c>
      <c r="Z108" s="43" t="s">
        <v>2091</v>
      </c>
      <c r="AA108" s="43" t="s">
        <v>2090</v>
      </c>
      <c r="AB108" s="43" t="s">
        <v>2090</v>
      </c>
      <c r="AC108" s="43" t="s">
        <v>2090</v>
      </c>
      <c r="AD108" s="43">
        <v>0</v>
      </c>
      <c r="AE108" s="43">
        <v>0</v>
      </c>
      <c r="AF108" s="43">
        <v>0</v>
      </c>
      <c r="AG108" s="43">
        <v>0</v>
      </c>
      <c r="AH108" s="43">
        <v>0</v>
      </c>
      <c r="AI108" s="43">
        <v>0</v>
      </c>
      <c r="AJ108" s="43">
        <v>0</v>
      </c>
      <c r="AK108" s="43">
        <v>0</v>
      </c>
      <c r="AL108" s="43">
        <v>0</v>
      </c>
      <c r="AM108" s="43">
        <v>0</v>
      </c>
      <c r="AN108" s="43">
        <v>0</v>
      </c>
      <c r="AO108" s="43">
        <v>0</v>
      </c>
      <c r="AP108" s="43">
        <v>0</v>
      </c>
      <c r="AQ108" s="43">
        <v>0</v>
      </c>
      <c r="AR108" s="43">
        <v>0</v>
      </c>
      <c r="AS108" s="43">
        <v>0</v>
      </c>
      <c r="AT108" s="43">
        <v>0</v>
      </c>
      <c r="AU108" s="43">
        <v>0</v>
      </c>
      <c r="AV108" s="43">
        <v>0</v>
      </c>
      <c r="AW108" s="43">
        <v>0</v>
      </c>
      <c r="AX108" s="43">
        <v>0</v>
      </c>
      <c r="AY108" s="43">
        <v>0</v>
      </c>
      <c r="AZ108" s="43">
        <v>0</v>
      </c>
      <c r="BA108" s="43">
        <v>0</v>
      </c>
      <c r="BB108" s="43">
        <v>0</v>
      </c>
      <c r="BC108" s="43">
        <v>0</v>
      </c>
      <c r="BD108" s="43">
        <v>0</v>
      </c>
      <c r="BE108" s="43">
        <v>0</v>
      </c>
      <c r="BF108" s="43">
        <v>0</v>
      </c>
      <c r="BG108" s="43">
        <v>0</v>
      </c>
      <c r="BH108" s="43">
        <v>0</v>
      </c>
      <c r="BI108" s="43">
        <v>0</v>
      </c>
      <c r="BJ108" s="43" t="s">
        <v>2090</v>
      </c>
      <c r="BK108" s="43" t="s">
        <v>2090</v>
      </c>
      <c r="BL108" s="43" t="s">
        <v>2090</v>
      </c>
      <c r="BM108" s="43" t="s">
        <v>2090</v>
      </c>
      <c r="BN108" s="43" t="s">
        <v>2090</v>
      </c>
      <c r="BO108" s="43" t="s">
        <v>2090</v>
      </c>
      <c r="BP108" s="43" t="s">
        <v>2090</v>
      </c>
      <c r="BQ108" s="43" t="s">
        <v>2090</v>
      </c>
      <c r="BR108" s="43" t="s">
        <v>2090</v>
      </c>
      <c r="BS108" s="43" t="s">
        <v>2090</v>
      </c>
      <c r="BT108" s="43" t="s">
        <v>2090</v>
      </c>
      <c r="BU108" s="43" t="s">
        <v>2090</v>
      </c>
      <c r="BV108" s="43" t="s">
        <v>2090</v>
      </c>
      <c r="BW108" s="43" t="s">
        <v>2090</v>
      </c>
    </row>
    <row r="109" spans="1:75" ht="110.45" customHeight="1" x14ac:dyDescent="0.25">
      <c r="A109" s="38" t="s">
        <v>792</v>
      </c>
      <c r="B109" s="38" t="s">
        <v>1685</v>
      </c>
      <c r="C109" s="39" t="s">
        <v>793</v>
      </c>
      <c r="D109" s="40" t="s">
        <v>794</v>
      </c>
      <c r="E109" s="41">
        <v>81295.911089999994</v>
      </c>
      <c r="F109" s="41">
        <v>3150819.8880500002</v>
      </c>
      <c r="G109" s="41">
        <v>386034.6</v>
      </c>
      <c r="H109" s="41">
        <v>265789.40000000002</v>
      </c>
      <c r="I109" s="42">
        <v>1.4234851014879959</v>
      </c>
      <c r="J109" s="41">
        <v>43874.199110000001</v>
      </c>
      <c r="K109" s="41">
        <v>2256093.2772599999</v>
      </c>
      <c r="L109" s="41">
        <v>36046.699999999997</v>
      </c>
      <c r="M109" s="41">
        <v>30119</v>
      </c>
      <c r="N109" s="42">
        <v>1.1199637472192467</v>
      </c>
      <c r="O109" s="41">
        <v>99716.80098</v>
      </c>
      <c r="P109" s="41">
        <v>3438129.5833700001</v>
      </c>
      <c r="Q109" s="41">
        <v>337326.6</v>
      </c>
      <c r="R109" s="41">
        <v>223116.9</v>
      </c>
      <c r="S109" s="42">
        <v>1.500956709562272</v>
      </c>
      <c r="T109" s="41">
        <v>59035.88493</v>
      </c>
      <c r="U109" s="41">
        <v>2722527.70713</v>
      </c>
      <c r="V109" s="41">
        <v>151493.79999999999</v>
      </c>
      <c r="W109" s="41">
        <v>106411.1</v>
      </c>
      <c r="X109" s="42">
        <v>1.2156627378747269</v>
      </c>
      <c r="Y109" s="43">
        <v>1</v>
      </c>
      <c r="Z109" s="43" t="s">
        <v>2091</v>
      </c>
      <c r="AA109" s="43" t="s">
        <v>2090</v>
      </c>
      <c r="AB109" s="43" t="s">
        <v>2090</v>
      </c>
      <c r="AC109" s="43" t="s">
        <v>2090</v>
      </c>
      <c r="AD109" s="43">
        <v>0</v>
      </c>
      <c r="AE109" s="43">
        <v>0</v>
      </c>
      <c r="AF109" s="43">
        <v>0</v>
      </c>
      <c r="AG109" s="43">
        <v>0</v>
      </c>
      <c r="AH109" s="43">
        <v>0</v>
      </c>
      <c r="AI109" s="43">
        <v>0</v>
      </c>
      <c r="AJ109" s="43">
        <v>0</v>
      </c>
      <c r="AK109" s="43">
        <v>0</v>
      </c>
      <c r="AL109" s="43">
        <v>0</v>
      </c>
      <c r="AM109" s="43">
        <v>0</v>
      </c>
      <c r="AN109" s="43">
        <v>0</v>
      </c>
      <c r="AO109" s="43">
        <v>0</v>
      </c>
      <c r="AP109" s="43">
        <v>0</v>
      </c>
      <c r="AQ109" s="43">
        <v>0</v>
      </c>
      <c r="AR109" s="43">
        <v>0</v>
      </c>
      <c r="AS109" s="43">
        <v>0</v>
      </c>
      <c r="AT109" s="43">
        <v>0</v>
      </c>
      <c r="AU109" s="43">
        <v>0</v>
      </c>
      <c r="AV109" s="43">
        <v>0</v>
      </c>
      <c r="AW109" s="43">
        <v>0</v>
      </c>
      <c r="AX109" s="43">
        <v>0</v>
      </c>
      <c r="AY109" s="43">
        <v>0</v>
      </c>
      <c r="AZ109" s="43">
        <v>0</v>
      </c>
      <c r="BA109" s="43">
        <v>0</v>
      </c>
      <c r="BB109" s="43">
        <v>0</v>
      </c>
      <c r="BC109" s="43">
        <v>0</v>
      </c>
      <c r="BD109" s="43">
        <v>0</v>
      </c>
      <c r="BE109" s="43">
        <v>0</v>
      </c>
      <c r="BF109" s="43">
        <v>0</v>
      </c>
      <c r="BG109" s="43">
        <v>0</v>
      </c>
      <c r="BH109" s="43">
        <v>0</v>
      </c>
      <c r="BI109" s="43">
        <v>0</v>
      </c>
      <c r="BJ109" s="43" t="s">
        <v>2090</v>
      </c>
      <c r="BK109" s="43" t="s">
        <v>2090</v>
      </c>
      <c r="BL109" s="43" t="s">
        <v>2090</v>
      </c>
      <c r="BM109" s="43" t="s">
        <v>2090</v>
      </c>
      <c r="BN109" s="43" t="s">
        <v>2090</v>
      </c>
      <c r="BO109" s="43" t="s">
        <v>2090</v>
      </c>
      <c r="BP109" s="43" t="s">
        <v>2090</v>
      </c>
      <c r="BQ109" s="43" t="s">
        <v>2090</v>
      </c>
      <c r="BR109" s="43" t="s">
        <v>2090</v>
      </c>
      <c r="BS109" s="43" t="s">
        <v>2090</v>
      </c>
      <c r="BT109" s="43" t="s">
        <v>2090</v>
      </c>
      <c r="BU109" s="43" t="s">
        <v>2090</v>
      </c>
      <c r="BV109" s="43" t="s">
        <v>2090</v>
      </c>
      <c r="BW109" s="43" t="s">
        <v>2090</v>
      </c>
    </row>
    <row r="110" spans="1:75" ht="110.45" customHeight="1" x14ac:dyDescent="0.25">
      <c r="A110" s="38" t="s">
        <v>795</v>
      </c>
      <c r="B110" s="38" t="s">
        <v>1686</v>
      </c>
      <c r="C110" s="39" t="s">
        <v>796</v>
      </c>
      <c r="D110" s="40" t="s">
        <v>797</v>
      </c>
      <c r="E110" s="41">
        <v>88392.286370000002</v>
      </c>
      <c r="F110" s="41">
        <v>3266610.1550699999</v>
      </c>
      <c r="G110" s="41">
        <v>193025.2</v>
      </c>
      <c r="H110" s="41">
        <v>135955</v>
      </c>
      <c r="I110" s="42">
        <v>1.3857707649405202</v>
      </c>
      <c r="J110" s="41">
        <v>36396.313699999999</v>
      </c>
      <c r="K110" s="41">
        <v>2069807.31336</v>
      </c>
      <c r="L110" s="41">
        <v>225018.7</v>
      </c>
      <c r="M110" s="41">
        <v>219435.6</v>
      </c>
      <c r="N110" s="42">
        <v>0.96687577146142267</v>
      </c>
      <c r="O110" s="41">
        <v>97562.346550000002</v>
      </c>
      <c r="P110" s="41">
        <v>3404276.9475500002</v>
      </c>
      <c r="Q110" s="41">
        <v>312544.8</v>
      </c>
      <c r="R110" s="41">
        <v>190855.5</v>
      </c>
      <c r="S110" s="42">
        <v>1.596014806546187</v>
      </c>
      <c r="T110" s="41">
        <v>57348.743329999998</v>
      </c>
      <c r="U110" s="41">
        <v>2751036.21581</v>
      </c>
      <c r="V110" s="41">
        <v>124028.7</v>
      </c>
      <c r="W110" s="41">
        <v>88750.8</v>
      </c>
      <c r="X110" s="42">
        <v>1.1568138637106242</v>
      </c>
      <c r="Y110" s="43">
        <v>1</v>
      </c>
      <c r="Z110" s="43" t="s">
        <v>2091</v>
      </c>
      <c r="AA110" s="43" t="s">
        <v>2090</v>
      </c>
      <c r="AB110" s="43" t="s">
        <v>2090</v>
      </c>
      <c r="AC110" s="43" t="s">
        <v>2090</v>
      </c>
      <c r="AD110" s="43">
        <v>0</v>
      </c>
      <c r="AE110" s="43">
        <v>0</v>
      </c>
      <c r="AF110" s="43">
        <v>0</v>
      </c>
      <c r="AG110" s="43">
        <v>0</v>
      </c>
      <c r="AH110" s="43">
        <v>0</v>
      </c>
      <c r="AI110" s="43">
        <v>0</v>
      </c>
      <c r="AJ110" s="43">
        <v>0</v>
      </c>
      <c r="AK110" s="43">
        <v>0</v>
      </c>
      <c r="AL110" s="43">
        <v>0</v>
      </c>
      <c r="AM110" s="43">
        <v>0</v>
      </c>
      <c r="AN110" s="43">
        <v>0</v>
      </c>
      <c r="AO110" s="43">
        <v>0</v>
      </c>
      <c r="AP110" s="43">
        <v>0</v>
      </c>
      <c r="AQ110" s="43">
        <v>0</v>
      </c>
      <c r="AR110" s="43">
        <v>0</v>
      </c>
      <c r="AS110" s="43">
        <v>0</v>
      </c>
      <c r="AT110" s="43">
        <v>0</v>
      </c>
      <c r="AU110" s="43">
        <v>0</v>
      </c>
      <c r="AV110" s="43">
        <v>0</v>
      </c>
      <c r="AW110" s="43">
        <v>0</v>
      </c>
      <c r="AX110" s="43">
        <v>0</v>
      </c>
      <c r="AY110" s="43">
        <v>0</v>
      </c>
      <c r="AZ110" s="43">
        <v>0</v>
      </c>
      <c r="BA110" s="43">
        <v>0</v>
      </c>
      <c r="BB110" s="43">
        <v>0</v>
      </c>
      <c r="BC110" s="43">
        <v>0</v>
      </c>
      <c r="BD110" s="43">
        <v>0</v>
      </c>
      <c r="BE110" s="43">
        <v>0</v>
      </c>
      <c r="BF110" s="43">
        <v>0</v>
      </c>
      <c r="BG110" s="43">
        <v>0</v>
      </c>
      <c r="BH110" s="43">
        <v>0</v>
      </c>
      <c r="BI110" s="43">
        <v>0</v>
      </c>
      <c r="BJ110" s="43" t="s">
        <v>2090</v>
      </c>
      <c r="BK110" s="43" t="s">
        <v>2090</v>
      </c>
      <c r="BL110" s="43" t="s">
        <v>2090</v>
      </c>
      <c r="BM110" s="43" t="s">
        <v>2090</v>
      </c>
      <c r="BN110" s="43" t="s">
        <v>2090</v>
      </c>
      <c r="BO110" s="43" t="s">
        <v>2090</v>
      </c>
      <c r="BP110" s="43" t="s">
        <v>2090</v>
      </c>
      <c r="BQ110" s="43" t="s">
        <v>2090</v>
      </c>
      <c r="BR110" s="43" t="s">
        <v>2090</v>
      </c>
      <c r="BS110" s="43" t="s">
        <v>2090</v>
      </c>
      <c r="BT110" s="43" t="s">
        <v>2090</v>
      </c>
      <c r="BU110" s="43" t="s">
        <v>2090</v>
      </c>
      <c r="BV110" s="43" t="s">
        <v>2090</v>
      </c>
      <c r="BW110" s="43" t="s">
        <v>2090</v>
      </c>
    </row>
    <row r="111" spans="1:75" ht="126.2" customHeight="1" x14ac:dyDescent="0.25">
      <c r="A111" s="38" t="s">
        <v>798</v>
      </c>
      <c r="B111" s="38" t="s">
        <v>1687</v>
      </c>
      <c r="C111" s="39" t="s">
        <v>799</v>
      </c>
      <c r="D111" s="40" t="s">
        <v>800</v>
      </c>
      <c r="E111" s="41">
        <v>53003.8698</v>
      </c>
      <c r="F111" s="41">
        <v>1754432.2483699999</v>
      </c>
      <c r="G111" s="41">
        <v>13350.8</v>
      </c>
      <c r="H111" s="41">
        <v>16315.2</v>
      </c>
      <c r="I111" s="42">
        <v>0.7901582824008776</v>
      </c>
      <c r="J111" s="41">
        <v>0</v>
      </c>
      <c r="K111" s="41">
        <v>213830.40901</v>
      </c>
      <c r="L111" s="41">
        <v>354298</v>
      </c>
      <c r="M111" s="41">
        <v>473724.6</v>
      </c>
      <c r="N111" s="42">
        <v>0.69984901533923893</v>
      </c>
      <c r="O111" s="41">
        <v>4662.3849</v>
      </c>
      <c r="P111" s="41">
        <v>1060713.5889099999</v>
      </c>
      <c r="Q111" s="41">
        <v>235338</v>
      </c>
      <c r="R111" s="41">
        <v>391714.4</v>
      </c>
      <c r="S111" s="42">
        <v>0.56067693536250129</v>
      </c>
      <c r="T111" s="41">
        <v>9581.9429099999998</v>
      </c>
      <c r="U111" s="41">
        <v>1110001.7012400001</v>
      </c>
      <c r="V111" s="41">
        <v>104808.4</v>
      </c>
      <c r="W111" s="41">
        <v>215444.9</v>
      </c>
      <c r="X111" s="42">
        <v>0.45767211066901081</v>
      </c>
      <c r="Y111" s="43">
        <v>1</v>
      </c>
      <c r="Z111" s="43" t="s">
        <v>2090</v>
      </c>
      <c r="AA111" s="43" t="s">
        <v>2091</v>
      </c>
      <c r="AB111" s="43" t="s">
        <v>2090</v>
      </c>
      <c r="AC111" s="43" t="s">
        <v>2090</v>
      </c>
      <c r="AD111" s="43">
        <v>0</v>
      </c>
      <c r="AE111" s="43">
        <v>0</v>
      </c>
      <c r="AF111" s="43">
        <v>0</v>
      </c>
      <c r="AG111" s="43">
        <v>0</v>
      </c>
      <c r="AH111" s="43">
        <v>0</v>
      </c>
      <c r="AI111" s="43">
        <v>0</v>
      </c>
      <c r="AJ111" s="43">
        <v>0</v>
      </c>
      <c r="AK111" s="43">
        <v>0</v>
      </c>
      <c r="AL111" s="43">
        <v>0</v>
      </c>
      <c r="AM111" s="43">
        <v>0</v>
      </c>
      <c r="AN111" s="43">
        <v>0</v>
      </c>
      <c r="AO111" s="43">
        <v>0</v>
      </c>
      <c r="AP111" s="43">
        <v>0</v>
      </c>
      <c r="AQ111" s="43">
        <v>0</v>
      </c>
      <c r="AR111" s="43">
        <v>0</v>
      </c>
      <c r="AS111" s="43">
        <v>0</v>
      </c>
      <c r="AT111" s="43">
        <v>0</v>
      </c>
      <c r="AU111" s="43">
        <v>0</v>
      </c>
      <c r="AV111" s="43">
        <v>0</v>
      </c>
      <c r="AW111" s="43">
        <v>0</v>
      </c>
      <c r="AX111" s="43">
        <v>0</v>
      </c>
      <c r="AY111" s="43">
        <v>0</v>
      </c>
      <c r="AZ111" s="43">
        <v>0</v>
      </c>
      <c r="BA111" s="43">
        <v>0</v>
      </c>
      <c r="BB111" s="43">
        <v>0</v>
      </c>
      <c r="BC111" s="43">
        <v>0</v>
      </c>
      <c r="BD111" s="43">
        <v>0</v>
      </c>
      <c r="BE111" s="43">
        <v>0</v>
      </c>
      <c r="BF111" s="43">
        <v>0</v>
      </c>
      <c r="BG111" s="43">
        <v>0</v>
      </c>
      <c r="BH111" s="43">
        <v>0</v>
      </c>
      <c r="BI111" s="43">
        <v>0</v>
      </c>
      <c r="BJ111" s="43" t="s">
        <v>2090</v>
      </c>
      <c r="BK111" s="43" t="s">
        <v>2090</v>
      </c>
      <c r="BL111" s="43" t="s">
        <v>2090</v>
      </c>
      <c r="BM111" s="43" t="s">
        <v>2090</v>
      </c>
      <c r="BN111" s="43" t="s">
        <v>2090</v>
      </c>
      <c r="BO111" s="43" t="s">
        <v>2091</v>
      </c>
      <c r="BP111" s="43" t="s">
        <v>2090</v>
      </c>
      <c r="BQ111" s="43" t="s">
        <v>2091</v>
      </c>
      <c r="BR111" s="43" t="s">
        <v>2090</v>
      </c>
      <c r="BS111" s="43" t="s">
        <v>2090</v>
      </c>
      <c r="BT111" s="43" t="s">
        <v>2090</v>
      </c>
      <c r="BU111" s="43" t="s">
        <v>2090</v>
      </c>
      <c r="BV111" s="43" t="s">
        <v>2090</v>
      </c>
      <c r="BW111" s="43" t="s">
        <v>2090</v>
      </c>
    </row>
    <row r="112" spans="1:75" ht="144.94999999999999" customHeight="1" x14ac:dyDescent="0.25">
      <c r="A112" s="38" t="s">
        <v>801</v>
      </c>
      <c r="B112" s="38" t="s">
        <v>1688</v>
      </c>
      <c r="C112" s="39" t="s">
        <v>802</v>
      </c>
      <c r="D112" s="40" t="s">
        <v>803</v>
      </c>
      <c r="E112" s="41">
        <v>84348.937959999996</v>
      </c>
      <c r="F112" s="41">
        <v>3266302.61632</v>
      </c>
      <c r="G112" s="41">
        <v>434915.9</v>
      </c>
      <c r="H112" s="41">
        <v>304487.2</v>
      </c>
      <c r="I112" s="42">
        <v>1.4073790203210985</v>
      </c>
      <c r="J112" s="41">
        <v>55671.134819999999</v>
      </c>
      <c r="K112" s="41">
        <v>2494501.47744</v>
      </c>
      <c r="L112" s="41">
        <v>432664.5</v>
      </c>
      <c r="M112" s="41">
        <v>396150.2</v>
      </c>
      <c r="N112" s="42">
        <v>1.0580649113939562</v>
      </c>
      <c r="O112" s="41">
        <v>60251.887049999998</v>
      </c>
      <c r="P112" s="41">
        <v>2865613.3902099999</v>
      </c>
      <c r="Q112" s="41">
        <v>474737.6</v>
      </c>
      <c r="R112" s="41">
        <v>383781.8</v>
      </c>
      <c r="S112" s="42">
        <v>1.1992988233552875</v>
      </c>
      <c r="T112" s="41">
        <v>54781.113799999999</v>
      </c>
      <c r="U112" s="41">
        <v>2660613.1534299999</v>
      </c>
      <c r="V112" s="41">
        <v>241787.9</v>
      </c>
      <c r="W112" s="41">
        <v>177676.3</v>
      </c>
      <c r="X112" s="42">
        <v>1.1420915128430511</v>
      </c>
      <c r="Y112" s="43">
        <v>1</v>
      </c>
      <c r="Z112" s="43" t="s">
        <v>2090</v>
      </c>
      <c r="AA112" s="43" t="s">
        <v>2091</v>
      </c>
      <c r="AB112" s="43" t="s">
        <v>2090</v>
      </c>
      <c r="AC112" s="43" t="s">
        <v>2090</v>
      </c>
      <c r="AD112" s="43">
        <v>0</v>
      </c>
      <c r="AE112" s="43">
        <v>0</v>
      </c>
      <c r="AF112" s="43">
        <v>0</v>
      </c>
      <c r="AG112" s="43">
        <v>0</v>
      </c>
      <c r="AH112" s="43">
        <v>0</v>
      </c>
      <c r="AI112" s="43">
        <v>0</v>
      </c>
      <c r="AJ112" s="43">
        <v>0</v>
      </c>
      <c r="AK112" s="43">
        <v>0</v>
      </c>
      <c r="AL112" s="43">
        <v>0</v>
      </c>
      <c r="AM112" s="43">
        <v>0</v>
      </c>
      <c r="AN112" s="43">
        <v>0</v>
      </c>
      <c r="AO112" s="43">
        <v>0</v>
      </c>
      <c r="AP112" s="43">
        <v>0</v>
      </c>
      <c r="AQ112" s="43">
        <v>0</v>
      </c>
      <c r="AR112" s="43">
        <v>0</v>
      </c>
      <c r="AS112" s="43">
        <v>0</v>
      </c>
      <c r="AT112" s="43">
        <v>0</v>
      </c>
      <c r="AU112" s="43">
        <v>0</v>
      </c>
      <c r="AV112" s="43">
        <v>0</v>
      </c>
      <c r="AW112" s="43">
        <v>0</v>
      </c>
      <c r="AX112" s="43">
        <v>0</v>
      </c>
      <c r="AY112" s="43">
        <v>0</v>
      </c>
      <c r="AZ112" s="43">
        <v>0</v>
      </c>
      <c r="BA112" s="43">
        <v>0</v>
      </c>
      <c r="BB112" s="43">
        <v>0</v>
      </c>
      <c r="BC112" s="43">
        <v>0</v>
      </c>
      <c r="BD112" s="43">
        <v>0</v>
      </c>
      <c r="BE112" s="43">
        <v>0</v>
      </c>
      <c r="BF112" s="43">
        <v>0</v>
      </c>
      <c r="BG112" s="43">
        <v>0</v>
      </c>
      <c r="BH112" s="43">
        <v>0</v>
      </c>
      <c r="BI112" s="43">
        <v>0</v>
      </c>
      <c r="BJ112" s="43" t="s">
        <v>2090</v>
      </c>
      <c r="BK112" s="43" t="s">
        <v>2090</v>
      </c>
      <c r="BL112" s="43" t="s">
        <v>2090</v>
      </c>
      <c r="BM112" s="43" t="s">
        <v>2090</v>
      </c>
      <c r="BN112" s="43" t="s">
        <v>2090</v>
      </c>
      <c r="BO112" s="43" t="s">
        <v>2090</v>
      </c>
      <c r="BP112" s="43" t="s">
        <v>2090</v>
      </c>
      <c r="BQ112" s="43" t="s">
        <v>2090</v>
      </c>
      <c r="BR112" s="43" t="s">
        <v>2091</v>
      </c>
      <c r="BS112" s="43" t="s">
        <v>2090</v>
      </c>
      <c r="BT112" s="43" t="s">
        <v>2091</v>
      </c>
      <c r="BU112" s="43" t="s">
        <v>2090</v>
      </c>
      <c r="BV112" s="43" t="s">
        <v>2090</v>
      </c>
      <c r="BW112" s="43" t="s">
        <v>2090</v>
      </c>
    </row>
    <row r="113" spans="1:75" ht="126.2" customHeight="1" x14ac:dyDescent="0.25">
      <c r="A113" s="38" t="s">
        <v>804</v>
      </c>
      <c r="B113" s="38" t="s">
        <v>1689</v>
      </c>
      <c r="C113" s="39" t="s">
        <v>805</v>
      </c>
      <c r="D113" s="40" t="s">
        <v>806</v>
      </c>
      <c r="E113" s="41">
        <v>3442.5432000000001</v>
      </c>
      <c r="F113" s="41">
        <v>516547.78554000001</v>
      </c>
      <c r="G113" s="41">
        <v>57256.3</v>
      </c>
      <c r="H113" s="41">
        <v>112613.4</v>
      </c>
      <c r="I113" s="42">
        <v>0.4902151865743522</v>
      </c>
      <c r="J113" s="41">
        <v>0</v>
      </c>
      <c r="K113" s="41">
        <v>37761.512210000001</v>
      </c>
      <c r="L113" s="41">
        <v>35068.400000000001</v>
      </c>
      <c r="M113" s="41">
        <v>232574.6</v>
      </c>
      <c r="N113" s="42">
        <v>0.14557335812325695</v>
      </c>
      <c r="O113" s="41">
        <v>2292.7800299999999</v>
      </c>
      <c r="P113" s="41">
        <v>490589.94767000002</v>
      </c>
      <c r="Q113" s="41">
        <v>46245.7</v>
      </c>
      <c r="R113" s="41">
        <v>104666.9</v>
      </c>
      <c r="S113" s="42">
        <v>0.43126806800921158</v>
      </c>
      <c r="T113" s="41">
        <v>3961.5417699999998</v>
      </c>
      <c r="U113" s="41">
        <v>585182.73718000005</v>
      </c>
      <c r="V113" s="41">
        <v>91993.9</v>
      </c>
      <c r="W113" s="41">
        <v>351795.4</v>
      </c>
      <c r="X113" s="42">
        <v>0.2460635061791131</v>
      </c>
      <c r="Y113" s="43">
        <v>1</v>
      </c>
      <c r="Z113" s="43" t="s">
        <v>2090</v>
      </c>
      <c r="AA113" s="43" t="s">
        <v>2091</v>
      </c>
      <c r="AB113" s="43" t="s">
        <v>2090</v>
      </c>
      <c r="AC113" s="43" t="s">
        <v>2090</v>
      </c>
      <c r="AD113" s="43">
        <v>0</v>
      </c>
      <c r="AE113" s="43">
        <v>0</v>
      </c>
      <c r="AF113" s="43">
        <v>0</v>
      </c>
      <c r="AG113" s="43">
        <v>0</v>
      </c>
      <c r="AH113" s="43">
        <v>0</v>
      </c>
      <c r="AI113" s="43">
        <v>0</v>
      </c>
      <c r="AJ113" s="43">
        <v>0</v>
      </c>
      <c r="AK113" s="43">
        <v>0</v>
      </c>
      <c r="AL113" s="43">
        <v>0</v>
      </c>
      <c r="AM113" s="43">
        <v>0</v>
      </c>
      <c r="AN113" s="43">
        <v>0</v>
      </c>
      <c r="AO113" s="43">
        <v>0</v>
      </c>
      <c r="AP113" s="43">
        <v>0</v>
      </c>
      <c r="AQ113" s="43">
        <v>0</v>
      </c>
      <c r="AR113" s="43">
        <v>0</v>
      </c>
      <c r="AS113" s="43">
        <v>0</v>
      </c>
      <c r="AT113" s="43">
        <v>0</v>
      </c>
      <c r="AU113" s="43">
        <v>0</v>
      </c>
      <c r="AV113" s="43">
        <v>0</v>
      </c>
      <c r="AW113" s="43">
        <v>0</v>
      </c>
      <c r="AX113" s="43">
        <v>0</v>
      </c>
      <c r="AY113" s="43">
        <v>0</v>
      </c>
      <c r="AZ113" s="43">
        <v>0</v>
      </c>
      <c r="BA113" s="43">
        <v>0</v>
      </c>
      <c r="BB113" s="43">
        <v>0</v>
      </c>
      <c r="BC113" s="43">
        <v>0</v>
      </c>
      <c r="BD113" s="43">
        <v>0</v>
      </c>
      <c r="BE113" s="43">
        <v>0</v>
      </c>
      <c r="BF113" s="43">
        <v>0</v>
      </c>
      <c r="BG113" s="43">
        <v>0</v>
      </c>
      <c r="BH113" s="43">
        <v>0</v>
      </c>
      <c r="BI113" s="43">
        <v>0</v>
      </c>
      <c r="BJ113" s="43" t="s">
        <v>2090</v>
      </c>
      <c r="BK113" s="43" t="s">
        <v>2090</v>
      </c>
      <c r="BL113" s="43" t="s">
        <v>2090</v>
      </c>
      <c r="BM113" s="43" t="s">
        <v>2090</v>
      </c>
      <c r="BN113" s="43" t="s">
        <v>2090</v>
      </c>
      <c r="BO113" s="43" t="s">
        <v>2091</v>
      </c>
      <c r="BP113" s="43" t="s">
        <v>2090</v>
      </c>
      <c r="BQ113" s="43" t="s">
        <v>2091</v>
      </c>
      <c r="BR113" s="43" t="s">
        <v>2090</v>
      </c>
      <c r="BS113" s="43" t="s">
        <v>2090</v>
      </c>
      <c r="BT113" s="43" t="s">
        <v>2090</v>
      </c>
      <c r="BU113" s="43" t="s">
        <v>2090</v>
      </c>
      <c r="BV113" s="43" t="s">
        <v>2090</v>
      </c>
      <c r="BW113" s="43" t="s">
        <v>2090</v>
      </c>
    </row>
    <row r="114" spans="1:75" ht="120.2" customHeight="1" x14ac:dyDescent="0.25">
      <c r="A114" s="38" t="s">
        <v>807</v>
      </c>
      <c r="B114" s="38" t="s">
        <v>1690</v>
      </c>
      <c r="C114" s="39" t="s">
        <v>808</v>
      </c>
      <c r="D114" s="40" t="s">
        <v>809</v>
      </c>
      <c r="E114" s="41">
        <v>22294.41475</v>
      </c>
      <c r="F114" s="41">
        <v>1809225.2758599999</v>
      </c>
      <c r="G114" s="41">
        <v>109144.6</v>
      </c>
      <c r="H114" s="41">
        <v>149692.4</v>
      </c>
      <c r="I114" s="42">
        <v>0.70276473925826577</v>
      </c>
      <c r="J114" s="41">
        <v>0</v>
      </c>
      <c r="K114" s="41">
        <v>40815.30459</v>
      </c>
      <c r="L114" s="41">
        <v>114903.4</v>
      </c>
      <c r="M114" s="41">
        <v>188211.20000000001</v>
      </c>
      <c r="N114" s="42">
        <v>0.59009275043288012</v>
      </c>
      <c r="O114" s="41">
        <v>2972.7602700000002</v>
      </c>
      <c r="P114" s="41">
        <v>335211.22248</v>
      </c>
      <c r="Q114" s="41">
        <v>4056</v>
      </c>
      <c r="R114" s="41">
        <v>28081.3</v>
      </c>
      <c r="S114" s="42">
        <v>0.14796310530361262</v>
      </c>
      <c r="T114" s="41">
        <v>3825.0622600000002</v>
      </c>
      <c r="U114" s="41">
        <v>588090.69891000004</v>
      </c>
      <c r="V114" s="41">
        <v>5149.6000000000004</v>
      </c>
      <c r="W114" s="41">
        <v>21700.5</v>
      </c>
      <c r="X114" s="42">
        <v>0.23071297989031081</v>
      </c>
      <c r="Y114" s="43">
        <v>2</v>
      </c>
      <c r="Z114" s="43" t="s">
        <v>2090</v>
      </c>
      <c r="AA114" s="43" t="s">
        <v>2091</v>
      </c>
      <c r="AB114" s="43" t="s">
        <v>2091</v>
      </c>
      <c r="AC114" s="43" t="s">
        <v>2090</v>
      </c>
      <c r="AD114" s="43">
        <v>0</v>
      </c>
      <c r="AE114" s="43">
        <v>0</v>
      </c>
      <c r="AF114" s="43">
        <v>0</v>
      </c>
      <c r="AG114" s="43">
        <v>0</v>
      </c>
      <c r="AH114" s="43">
        <v>0</v>
      </c>
      <c r="AI114" s="43">
        <v>0</v>
      </c>
      <c r="AJ114" s="43">
        <v>0</v>
      </c>
      <c r="AK114" s="43">
        <v>0</v>
      </c>
      <c r="AL114" s="43">
        <v>0</v>
      </c>
      <c r="AM114" s="43">
        <v>0</v>
      </c>
      <c r="AN114" s="43">
        <v>0</v>
      </c>
      <c r="AO114" s="43">
        <v>0</v>
      </c>
      <c r="AP114" s="43">
        <v>0</v>
      </c>
      <c r="AQ114" s="43">
        <v>0</v>
      </c>
      <c r="AR114" s="43">
        <v>0</v>
      </c>
      <c r="AS114" s="43">
        <v>0</v>
      </c>
      <c r="AT114" s="43">
        <v>0</v>
      </c>
      <c r="AU114" s="43">
        <v>0</v>
      </c>
      <c r="AV114" s="43">
        <v>0</v>
      </c>
      <c r="AW114" s="43">
        <v>0</v>
      </c>
      <c r="AX114" s="43">
        <v>0</v>
      </c>
      <c r="AY114" s="43">
        <v>0</v>
      </c>
      <c r="AZ114" s="43">
        <v>0</v>
      </c>
      <c r="BA114" s="43">
        <v>0</v>
      </c>
      <c r="BB114" s="43">
        <v>0</v>
      </c>
      <c r="BC114" s="43">
        <v>0</v>
      </c>
      <c r="BD114" s="43">
        <v>0</v>
      </c>
      <c r="BE114" s="43">
        <v>0</v>
      </c>
      <c r="BF114" s="43">
        <v>0</v>
      </c>
      <c r="BG114" s="43">
        <v>0</v>
      </c>
      <c r="BH114" s="43">
        <v>0</v>
      </c>
      <c r="BI114" s="43">
        <v>0</v>
      </c>
      <c r="BJ114" s="43" t="s">
        <v>2090</v>
      </c>
      <c r="BK114" s="43" t="s">
        <v>2090</v>
      </c>
      <c r="BL114" s="43" t="s">
        <v>2090</v>
      </c>
      <c r="BM114" s="43" t="s">
        <v>2090</v>
      </c>
      <c r="BN114" s="43" t="s">
        <v>2090</v>
      </c>
      <c r="BO114" s="43" t="s">
        <v>2091</v>
      </c>
      <c r="BP114" s="43" t="s">
        <v>2090</v>
      </c>
      <c r="BQ114" s="43" t="s">
        <v>2091</v>
      </c>
      <c r="BR114" s="43" t="s">
        <v>2090</v>
      </c>
      <c r="BS114" s="43" t="s">
        <v>2090</v>
      </c>
      <c r="BT114" s="43" t="s">
        <v>2090</v>
      </c>
      <c r="BU114" s="43" t="s">
        <v>2090</v>
      </c>
      <c r="BV114" s="43" t="s">
        <v>2090</v>
      </c>
      <c r="BW114" s="43" t="s">
        <v>2090</v>
      </c>
    </row>
    <row r="115" spans="1:75" ht="108.2" customHeight="1" x14ac:dyDescent="0.25">
      <c r="A115" s="38" t="s">
        <v>810</v>
      </c>
      <c r="B115" s="38" t="s">
        <v>1691</v>
      </c>
      <c r="C115" s="39" t="s">
        <v>811</v>
      </c>
      <c r="D115" s="40" t="s">
        <v>812</v>
      </c>
      <c r="E115" s="41">
        <v>41077.002439999997</v>
      </c>
      <c r="F115" s="41">
        <v>2369040.1855500001</v>
      </c>
      <c r="G115" s="41">
        <v>346115.2</v>
      </c>
      <c r="H115" s="41">
        <v>336003.5</v>
      </c>
      <c r="I115" s="42">
        <v>0.99860396444860244</v>
      </c>
      <c r="J115" s="41">
        <v>15101.665209999999</v>
      </c>
      <c r="K115" s="41">
        <v>1288418.0112999999</v>
      </c>
      <c r="L115" s="41">
        <v>124000.7</v>
      </c>
      <c r="M115" s="41">
        <v>197340.1</v>
      </c>
      <c r="N115" s="42">
        <v>0.59410748350878995</v>
      </c>
      <c r="O115" s="41">
        <v>0</v>
      </c>
      <c r="P115" s="41">
        <v>5000.35581</v>
      </c>
      <c r="Q115" s="41">
        <v>150450.9</v>
      </c>
      <c r="R115" s="41">
        <v>222935.2</v>
      </c>
      <c r="S115" s="42">
        <v>0.6487011221993555</v>
      </c>
      <c r="T115" s="41">
        <v>13790.46214</v>
      </c>
      <c r="U115" s="41">
        <v>1320266.8772100001</v>
      </c>
      <c r="V115" s="41">
        <v>93732.6</v>
      </c>
      <c r="W115" s="41">
        <v>170597.6</v>
      </c>
      <c r="X115" s="42">
        <v>0.51821814326910964</v>
      </c>
      <c r="Y115" s="43">
        <v>1</v>
      </c>
      <c r="Z115" s="43" t="s">
        <v>2090</v>
      </c>
      <c r="AA115" s="43" t="s">
        <v>2091</v>
      </c>
      <c r="AB115" s="43" t="s">
        <v>2090</v>
      </c>
      <c r="AC115" s="43" t="s">
        <v>2090</v>
      </c>
      <c r="AD115" s="43">
        <v>0</v>
      </c>
      <c r="AE115" s="43">
        <v>0</v>
      </c>
      <c r="AF115" s="43">
        <v>0</v>
      </c>
      <c r="AG115" s="43">
        <v>0</v>
      </c>
      <c r="AH115" s="43">
        <v>0</v>
      </c>
      <c r="AI115" s="43">
        <v>0</v>
      </c>
      <c r="AJ115" s="43">
        <v>0</v>
      </c>
      <c r="AK115" s="43">
        <v>0</v>
      </c>
      <c r="AL115" s="43">
        <v>0</v>
      </c>
      <c r="AM115" s="43">
        <v>0</v>
      </c>
      <c r="AN115" s="43">
        <v>0</v>
      </c>
      <c r="AO115" s="43">
        <v>0</v>
      </c>
      <c r="AP115" s="43">
        <v>0</v>
      </c>
      <c r="AQ115" s="43">
        <v>0</v>
      </c>
      <c r="AR115" s="43">
        <v>0</v>
      </c>
      <c r="AS115" s="43">
        <v>0</v>
      </c>
      <c r="AT115" s="43">
        <v>0</v>
      </c>
      <c r="AU115" s="43">
        <v>0</v>
      </c>
      <c r="AV115" s="43">
        <v>0</v>
      </c>
      <c r="AW115" s="43">
        <v>0</v>
      </c>
      <c r="AX115" s="43">
        <v>0</v>
      </c>
      <c r="AY115" s="43">
        <v>0</v>
      </c>
      <c r="AZ115" s="43">
        <v>0</v>
      </c>
      <c r="BA115" s="43">
        <v>0</v>
      </c>
      <c r="BB115" s="43">
        <v>0</v>
      </c>
      <c r="BC115" s="43">
        <v>0</v>
      </c>
      <c r="BD115" s="43">
        <v>0</v>
      </c>
      <c r="BE115" s="43">
        <v>0</v>
      </c>
      <c r="BF115" s="43">
        <v>0</v>
      </c>
      <c r="BG115" s="43">
        <v>0</v>
      </c>
      <c r="BH115" s="43">
        <v>0</v>
      </c>
      <c r="BI115" s="43">
        <v>0</v>
      </c>
      <c r="BJ115" s="43" t="s">
        <v>2090</v>
      </c>
      <c r="BK115" s="43" t="s">
        <v>2090</v>
      </c>
      <c r="BL115" s="43" t="s">
        <v>2090</v>
      </c>
      <c r="BM115" s="43" t="s">
        <v>2090</v>
      </c>
      <c r="BN115" s="43" t="s">
        <v>2090</v>
      </c>
      <c r="BO115" s="43" t="s">
        <v>2091</v>
      </c>
      <c r="BP115" s="43" t="s">
        <v>2090</v>
      </c>
      <c r="BQ115" s="43" t="s">
        <v>2091</v>
      </c>
      <c r="BR115" s="43" t="s">
        <v>2090</v>
      </c>
      <c r="BS115" s="43" t="s">
        <v>2090</v>
      </c>
      <c r="BT115" s="43" t="s">
        <v>2090</v>
      </c>
      <c r="BU115" s="43" t="s">
        <v>2090</v>
      </c>
      <c r="BV115" s="43" t="s">
        <v>2090</v>
      </c>
      <c r="BW115" s="43" t="s">
        <v>2090</v>
      </c>
    </row>
    <row r="116" spans="1:75" ht="216.2" customHeight="1" x14ac:dyDescent="0.25">
      <c r="A116" s="38" t="s">
        <v>813</v>
      </c>
      <c r="B116" s="38" t="s">
        <v>1692</v>
      </c>
      <c r="C116" s="39" t="s">
        <v>814</v>
      </c>
      <c r="D116" s="40" t="s">
        <v>815</v>
      </c>
      <c r="E116" s="41">
        <v>66765.746169999999</v>
      </c>
      <c r="F116" s="41">
        <v>2955670.4480699999</v>
      </c>
      <c r="G116" s="41">
        <v>425078.1</v>
      </c>
      <c r="H116" s="41">
        <v>329830.40000000002</v>
      </c>
      <c r="I116" s="42">
        <v>1.2420307699052642</v>
      </c>
      <c r="J116" s="41">
        <v>0</v>
      </c>
      <c r="K116" s="41">
        <v>70800.279829999999</v>
      </c>
      <c r="L116" s="41">
        <v>181569.8</v>
      </c>
      <c r="M116" s="41">
        <v>412439.4</v>
      </c>
      <c r="N116" s="42">
        <v>0.40554751288435925</v>
      </c>
      <c r="O116" s="41">
        <v>0</v>
      </c>
      <c r="P116" s="41">
        <v>2524.1119399999998</v>
      </c>
      <c r="Q116" s="41">
        <v>158356.29999999999</v>
      </c>
      <c r="R116" s="41">
        <v>190603.5</v>
      </c>
      <c r="S116" s="42">
        <v>0.80682121325294776</v>
      </c>
      <c r="T116" s="41">
        <v>5817.6094199999998</v>
      </c>
      <c r="U116" s="41">
        <v>824131.35283999995</v>
      </c>
      <c r="V116" s="41">
        <v>126628.6</v>
      </c>
      <c r="W116" s="41">
        <v>306243.09999999998</v>
      </c>
      <c r="X116" s="42">
        <v>0.3809029123498176</v>
      </c>
      <c r="Y116" s="43">
        <v>1</v>
      </c>
      <c r="Z116" s="43" t="s">
        <v>2090</v>
      </c>
      <c r="AA116" s="43" t="s">
        <v>2091</v>
      </c>
      <c r="AB116" s="43" t="s">
        <v>2090</v>
      </c>
      <c r="AC116" s="43" t="s">
        <v>2090</v>
      </c>
      <c r="AD116" s="43">
        <v>0</v>
      </c>
      <c r="AE116" s="43">
        <v>0</v>
      </c>
      <c r="AF116" s="43">
        <v>0</v>
      </c>
      <c r="AG116" s="43">
        <v>0</v>
      </c>
      <c r="AH116" s="43">
        <v>0</v>
      </c>
      <c r="AI116" s="43">
        <v>0</v>
      </c>
      <c r="AJ116" s="43">
        <v>0</v>
      </c>
      <c r="AK116" s="43">
        <v>0</v>
      </c>
      <c r="AL116" s="43">
        <v>0</v>
      </c>
      <c r="AM116" s="43">
        <v>0</v>
      </c>
      <c r="AN116" s="43">
        <v>0</v>
      </c>
      <c r="AO116" s="43">
        <v>0</v>
      </c>
      <c r="AP116" s="43">
        <v>0</v>
      </c>
      <c r="AQ116" s="43">
        <v>0</v>
      </c>
      <c r="AR116" s="43">
        <v>0</v>
      </c>
      <c r="AS116" s="43">
        <v>0</v>
      </c>
      <c r="AT116" s="43">
        <v>0</v>
      </c>
      <c r="AU116" s="43">
        <v>0</v>
      </c>
      <c r="AV116" s="43">
        <v>0</v>
      </c>
      <c r="AW116" s="43">
        <v>0</v>
      </c>
      <c r="AX116" s="43">
        <v>0</v>
      </c>
      <c r="AY116" s="43">
        <v>0</v>
      </c>
      <c r="AZ116" s="43">
        <v>0</v>
      </c>
      <c r="BA116" s="43">
        <v>0</v>
      </c>
      <c r="BB116" s="43">
        <v>0</v>
      </c>
      <c r="BC116" s="43">
        <v>0</v>
      </c>
      <c r="BD116" s="43">
        <v>0</v>
      </c>
      <c r="BE116" s="43">
        <v>0</v>
      </c>
      <c r="BF116" s="43">
        <v>0</v>
      </c>
      <c r="BG116" s="43">
        <v>0</v>
      </c>
      <c r="BH116" s="43">
        <v>0</v>
      </c>
      <c r="BI116" s="43">
        <v>0</v>
      </c>
      <c r="BJ116" s="43" t="s">
        <v>2090</v>
      </c>
      <c r="BK116" s="43" t="s">
        <v>2090</v>
      </c>
      <c r="BL116" s="43" t="s">
        <v>2090</v>
      </c>
      <c r="BM116" s="43" t="s">
        <v>2090</v>
      </c>
      <c r="BN116" s="43" t="s">
        <v>2090</v>
      </c>
      <c r="BO116" s="43" t="s">
        <v>2091</v>
      </c>
      <c r="BP116" s="43" t="s">
        <v>2090</v>
      </c>
      <c r="BQ116" s="43" t="s">
        <v>2091</v>
      </c>
      <c r="BR116" s="43" t="s">
        <v>2090</v>
      </c>
      <c r="BS116" s="43" t="s">
        <v>2090</v>
      </c>
      <c r="BT116" s="43" t="s">
        <v>2090</v>
      </c>
      <c r="BU116" s="43" t="s">
        <v>2090</v>
      </c>
      <c r="BV116" s="43" t="s">
        <v>2090</v>
      </c>
      <c r="BW116" s="43" t="s">
        <v>2090</v>
      </c>
    </row>
    <row r="117" spans="1:75" ht="114.2" customHeight="1" x14ac:dyDescent="0.25">
      <c r="A117" s="38" t="s">
        <v>816</v>
      </c>
      <c r="B117" s="38" t="s">
        <v>1693</v>
      </c>
      <c r="C117" s="39" t="s">
        <v>817</v>
      </c>
      <c r="D117" s="40" t="s">
        <v>818</v>
      </c>
      <c r="E117" s="41">
        <v>76925.399780000007</v>
      </c>
      <c r="F117" s="41">
        <v>2608730.44086</v>
      </c>
      <c r="G117" s="41">
        <v>290278.40000000002</v>
      </c>
      <c r="H117" s="41">
        <v>243120</v>
      </c>
      <c r="I117" s="42">
        <v>1.1683631235245422</v>
      </c>
      <c r="J117" s="41">
        <v>89442.535220000005</v>
      </c>
      <c r="K117" s="41">
        <v>2339908.6310800002</v>
      </c>
      <c r="L117" s="41">
        <v>285705.09999999998</v>
      </c>
      <c r="M117" s="41">
        <v>232331</v>
      </c>
      <c r="N117" s="42">
        <v>1.1308200130087629</v>
      </c>
      <c r="O117" s="41">
        <v>109562.91377</v>
      </c>
      <c r="P117" s="41">
        <v>3398962.1708900002</v>
      </c>
      <c r="Q117" s="41">
        <v>196637.9</v>
      </c>
      <c r="R117" s="41">
        <v>111143</v>
      </c>
      <c r="S117" s="42">
        <v>1.7239821509638702</v>
      </c>
      <c r="T117" s="41">
        <v>107834.31818</v>
      </c>
      <c r="U117" s="41">
        <v>2731364.1469899998</v>
      </c>
      <c r="V117" s="41">
        <v>275825.7</v>
      </c>
      <c r="W117" s="41">
        <v>189664.8</v>
      </c>
      <c r="X117" s="42">
        <v>1.3154680094421605</v>
      </c>
      <c r="Y117" s="43">
        <v>1</v>
      </c>
      <c r="Z117" s="43" t="s">
        <v>2090</v>
      </c>
      <c r="AA117" s="43" t="s">
        <v>2090</v>
      </c>
      <c r="AB117" s="43" t="s">
        <v>2090</v>
      </c>
      <c r="AC117" s="43" t="s">
        <v>2090</v>
      </c>
      <c r="AD117" s="43">
        <v>0</v>
      </c>
      <c r="AE117" s="43">
        <v>0</v>
      </c>
      <c r="AF117" s="43">
        <v>0</v>
      </c>
      <c r="AG117" s="43">
        <v>0</v>
      </c>
      <c r="AH117" s="43">
        <v>0</v>
      </c>
      <c r="AI117" s="43">
        <v>0</v>
      </c>
      <c r="AJ117" s="43">
        <v>0</v>
      </c>
      <c r="AK117" s="43">
        <v>0</v>
      </c>
      <c r="AL117" s="43">
        <v>1</v>
      </c>
      <c r="AM117" s="43">
        <v>0</v>
      </c>
      <c r="AN117" s="43">
        <v>0</v>
      </c>
      <c r="AO117" s="43">
        <v>0</v>
      </c>
      <c r="AP117" s="43">
        <v>0</v>
      </c>
      <c r="AQ117" s="43">
        <v>0</v>
      </c>
      <c r="AR117" s="43">
        <v>0</v>
      </c>
      <c r="AS117" s="43">
        <v>0</v>
      </c>
      <c r="AT117" s="43">
        <v>0</v>
      </c>
      <c r="AU117" s="43">
        <v>0</v>
      </c>
      <c r="AV117" s="43">
        <v>0</v>
      </c>
      <c r="AW117" s="43">
        <v>0</v>
      </c>
      <c r="AX117" s="43">
        <v>0</v>
      </c>
      <c r="AY117" s="43">
        <v>0</v>
      </c>
      <c r="AZ117" s="43">
        <v>0</v>
      </c>
      <c r="BA117" s="43">
        <v>0</v>
      </c>
      <c r="BB117" s="43">
        <v>0</v>
      </c>
      <c r="BC117" s="43">
        <v>0</v>
      </c>
      <c r="BD117" s="43">
        <v>0</v>
      </c>
      <c r="BE117" s="43">
        <v>0</v>
      </c>
      <c r="BF117" s="43">
        <v>0</v>
      </c>
      <c r="BG117" s="43">
        <v>0</v>
      </c>
      <c r="BH117" s="43">
        <v>0</v>
      </c>
      <c r="BI117" s="43">
        <v>0</v>
      </c>
      <c r="BJ117" s="43" t="s">
        <v>2090</v>
      </c>
      <c r="BK117" s="43" t="s">
        <v>2090</v>
      </c>
      <c r="BL117" s="43" t="s">
        <v>2090</v>
      </c>
      <c r="BM117" s="43" t="s">
        <v>2090</v>
      </c>
      <c r="BN117" s="43" t="s">
        <v>2090</v>
      </c>
      <c r="BO117" s="43" t="s">
        <v>2090</v>
      </c>
      <c r="BP117" s="43" t="s">
        <v>2090</v>
      </c>
      <c r="BQ117" s="43" t="s">
        <v>2090</v>
      </c>
      <c r="BR117" s="43" t="s">
        <v>2090</v>
      </c>
      <c r="BS117" s="43" t="s">
        <v>2090</v>
      </c>
      <c r="BT117" s="43" t="s">
        <v>2090</v>
      </c>
      <c r="BU117" s="43" t="s">
        <v>2090</v>
      </c>
      <c r="BV117" s="43" t="s">
        <v>2090</v>
      </c>
      <c r="BW117" s="43" t="s">
        <v>2090</v>
      </c>
    </row>
    <row r="118" spans="1:75" ht="114.2" customHeight="1" x14ac:dyDescent="0.25">
      <c r="A118" s="38" t="s">
        <v>819</v>
      </c>
      <c r="B118" s="38" t="s">
        <v>1694</v>
      </c>
      <c r="C118" s="39" t="s">
        <v>820</v>
      </c>
      <c r="D118" s="40" t="s">
        <v>821</v>
      </c>
      <c r="E118" s="41">
        <v>52066.057280000001</v>
      </c>
      <c r="F118" s="41">
        <v>2704926.4874200001</v>
      </c>
      <c r="G118" s="41">
        <v>487691.5</v>
      </c>
      <c r="H118" s="41">
        <v>399924.1</v>
      </c>
      <c r="I118" s="42">
        <v>1.1965453018296024</v>
      </c>
      <c r="J118" s="41">
        <v>51786.873720000003</v>
      </c>
      <c r="K118" s="41">
        <v>2376106.5763400001</v>
      </c>
      <c r="L118" s="41">
        <v>420974.1</v>
      </c>
      <c r="M118" s="41">
        <v>339615.5</v>
      </c>
      <c r="N118" s="42">
        <v>1.1488208036517047</v>
      </c>
      <c r="O118" s="41">
        <v>85169.636670000007</v>
      </c>
      <c r="P118" s="41">
        <v>3208564.33225</v>
      </c>
      <c r="Q118" s="41">
        <v>161503.5</v>
      </c>
      <c r="R118" s="41">
        <v>96295.5</v>
      </c>
      <c r="S118" s="42">
        <v>1.6210766965462016</v>
      </c>
      <c r="T118" s="41">
        <v>63563.56611</v>
      </c>
      <c r="U118" s="41">
        <v>2832063.5805600001</v>
      </c>
      <c r="V118" s="41">
        <v>161863.20000000001</v>
      </c>
      <c r="W118" s="41">
        <v>102496.7</v>
      </c>
      <c r="X118" s="42">
        <v>1.2771954630682691</v>
      </c>
      <c r="Y118" s="43">
        <v>1</v>
      </c>
      <c r="Z118" s="43" t="s">
        <v>2090</v>
      </c>
      <c r="AA118" s="43" t="s">
        <v>2091</v>
      </c>
      <c r="AB118" s="43" t="s">
        <v>2090</v>
      </c>
      <c r="AC118" s="43" t="s">
        <v>2090</v>
      </c>
      <c r="AD118" s="43">
        <v>0</v>
      </c>
      <c r="AE118" s="43">
        <v>0</v>
      </c>
      <c r="AF118" s="43">
        <v>0</v>
      </c>
      <c r="AG118" s="43">
        <v>0</v>
      </c>
      <c r="AH118" s="43">
        <v>0</v>
      </c>
      <c r="AI118" s="43">
        <v>0</v>
      </c>
      <c r="AJ118" s="43">
        <v>0</v>
      </c>
      <c r="AK118" s="43">
        <v>0</v>
      </c>
      <c r="AL118" s="43">
        <v>0</v>
      </c>
      <c r="AM118" s="43">
        <v>0</v>
      </c>
      <c r="AN118" s="43">
        <v>0</v>
      </c>
      <c r="AO118" s="43">
        <v>0</v>
      </c>
      <c r="AP118" s="43">
        <v>0</v>
      </c>
      <c r="AQ118" s="43">
        <v>0</v>
      </c>
      <c r="AR118" s="43">
        <v>0</v>
      </c>
      <c r="AS118" s="43">
        <v>0</v>
      </c>
      <c r="AT118" s="43">
        <v>0</v>
      </c>
      <c r="AU118" s="43">
        <v>0</v>
      </c>
      <c r="AV118" s="43">
        <v>0</v>
      </c>
      <c r="AW118" s="43">
        <v>0</v>
      </c>
      <c r="AX118" s="43">
        <v>0</v>
      </c>
      <c r="AY118" s="43">
        <v>0</v>
      </c>
      <c r="AZ118" s="43">
        <v>0</v>
      </c>
      <c r="BA118" s="43">
        <v>0</v>
      </c>
      <c r="BB118" s="43">
        <v>0</v>
      </c>
      <c r="BC118" s="43">
        <v>0</v>
      </c>
      <c r="BD118" s="43">
        <v>0</v>
      </c>
      <c r="BE118" s="43">
        <v>0</v>
      </c>
      <c r="BF118" s="43">
        <v>0</v>
      </c>
      <c r="BG118" s="43">
        <v>0</v>
      </c>
      <c r="BH118" s="43">
        <v>0</v>
      </c>
      <c r="BI118" s="43">
        <v>0</v>
      </c>
      <c r="BJ118" s="43" t="s">
        <v>2090</v>
      </c>
      <c r="BK118" s="43" t="s">
        <v>2090</v>
      </c>
      <c r="BL118" s="43" t="s">
        <v>2090</v>
      </c>
      <c r="BM118" s="43" t="s">
        <v>2090</v>
      </c>
      <c r="BN118" s="43" t="s">
        <v>2090</v>
      </c>
      <c r="BO118" s="43" t="s">
        <v>2090</v>
      </c>
      <c r="BP118" s="43" t="s">
        <v>2090</v>
      </c>
      <c r="BQ118" s="43" t="s">
        <v>2090</v>
      </c>
      <c r="BR118" s="43" t="s">
        <v>2091</v>
      </c>
      <c r="BS118" s="43" t="s">
        <v>2090</v>
      </c>
      <c r="BT118" s="43" t="s">
        <v>2091</v>
      </c>
      <c r="BU118" s="43" t="s">
        <v>2090</v>
      </c>
      <c r="BV118" s="43" t="s">
        <v>2090</v>
      </c>
      <c r="BW118" s="43" t="s">
        <v>2090</v>
      </c>
    </row>
    <row r="119" spans="1:75" ht="96.95" customHeight="1" x14ac:dyDescent="0.25">
      <c r="A119" s="38" t="s">
        <v>822</v>
      </c>
      <c r="B119" s="38" t="s">
        <v>1695</v>
      </c>
      <c r="C119" s="39" t="s">
        <v>823</v>
      </c>
      <c r="D119" s="40" t="s">
        <v>824</v>
      </c>
      <c r="E119" s="41">
        <v>62255.992030000001</v>
      </c>
      <c r="F119" s="41">
        <v>2891894.2266899999</v>
      </c>
      <c r="G119" s="41">
        <v>321256.90000000002</v>
      </c>
      <c r="H119" s="41">
        <v>232631.7</v>
      </c>
      <c r="I119" s="42">
        <v>1.347948105011531</v>
      </c>
      <c r="J119" s="41">
        <v>22231.923729999999</v>
      </c>
      <c r="K119" s="41">
        <v>1634267.33265</v>
      </c>
      <c r="L119" s="41">
        <v>472186</v>
      </c>
      <c r="M119" s="41">
        <v>556841.4</v>
      </c>
      <c r="N119" s="42">
        <v>0.7792819903864141</v>
      </c>
      <c r="O119" s="41">
        <v>59036.046320000001</v>
      </c>
      <c r="P119" s="41">
        <v>2798044.8637000001</v>
      </c>
      <c r="Q119" s="41">
        <v>267877.09999999998</v>
      </c>
      <c r="R119" s="41">
        <v>207297</v>
      </c>
      <c r="S119" s="42">
        <v>1.2562956182966041</v>
      </c>
      <c r="T119" s="41">
        <v>50542.4712</v>
      </c>
      <c r="U119" s="41">
        <v>2556606.3458799999</v>
      </c>
      <c r="V119" s="41">
        <v>280709.40000000002</v>
      </c>
      <c r="W119" s="41">
        <v>221321.2</v>
      </c>
      <c r="X119" s="42">
        <v>1.1094543179226335</v>
      </c>
      <c r="Y119" s="43">
        <v>1</v>
      </c>
      <c r="Z119" s="43" t="s">
        <v>2090</v>
      </c>
      <c r="AA119" s="43" t="s">
        <v>2091</v>
      </c>
      <c r="AB119" s="43" t="s">
        <v>2090</v>
      </c>
      <c r="AC119" s="43" t="s">
        <v>2090</v>
      </c>
      <c r="AD119" s="43">
        <v>0</v>
      </c>
      <c r="AE119" s="43">
        <v>0</v>
      </c>
      <c r="AF119" s="43">
        <v>0</v>
      </c>
      <c r="AG119" s="43">
        <v>0</v>
      </c>
      <c r="AH119" s="43">
        <v>0</v>
      </c>
      <c r="AI119" s="43">
        <v>0</v>
      </c>
      <c r="AJ119" s="43">
        <v>0</v>
      </c>
      <c r="AK119" s="43">
        <v>0</v>
      </c>
      <c r="AL119" s="43">
        <v>0</v>
      </c>
      <c r="AM119" s="43">
        <v>0</v>
      </c>
      <c r="AN119" s="43">
        <v>0</v>
      </c>
      <c r="AO119" s="43">
        <v>0</v>
      </c>
      <c r="AP119" s="43">
        <v>0</v>
      </c>
      <c r="AQ119" s="43">
        <v>0</v>
      </c>
      <c r="AR119" s="43">
        <v>0</v>
      </c>
      <c r="AS119" s="43">
        <v>0</v>
      </c>
      <c r="AT119" s="43">
        <v>0</v>
      </c>
      <c r="AU119" s="43">
        <v>0</v>
      </c>
      <c r="AV119" s="43">
        <v>0</v>
      </c>
      <c r="AW119" s="43">
        <v>0</v>
      </c>
      <c r="AX119" s="43">
        <v>0</v>
      </c>
      <c r="AY119" s="43">
        <v>0</v>
      </c>
      <c r="AZ119" s="43">
        <v>0</v>
      </c>
      <c r="BA119" s="43">
        <v>0</v>
      </c>
      <c r="BB119" s="43">
        <v>0</v>
      </c>
      <c r="BC119" s="43">
        <v>0</v>
      </c>
      <c r="BD119" s="43">
        <v>0</v>
      </c>
      <c r="BE119" s="43">
        <v>0</v>
      </c>
      <c r="BF119" s="43">
        <v>0</v>
      </c>
      <c r="BG119" s="43">
        <v>0</v>
      </c>
      <c r="BH119" s="43">
        <v>0</v>
      </c>
      <c r="BI119" s="43">
        <v>0</v>
      </c>
      <c r="BJ119" s="43" t="s">
        <v>2090</v>
      </c>
      <c r="BK119" s="43" t="s">
        <v>2090</v>
      </c>
      <c r="BL119" s="43" t="s">
        <v>2090</v>
      </c>
      <c r="BM119" s="43" t="s">
        <v>2090</v>
      </c>
      <c r="BN119" s="43" t="s">
        <v>2090</v>
      </c>
      <c r="BO119" s="43" t="s">
        <v>2090</v>
      </c>
      <c r="BP119" s="43" t="s">
        <v>2090</v>
      </c>
      <c r="BQ119" s="43" t="s">
        <v>2090</v>
      </c>
      <c r="BR119" s="43" t="s">
        <v>2091</v>
      </c>
      <c r="BS119" s="43" t="s">
        <v>2090</v>
      </c>
      <c r="BT119" s="43" t="s">
        <v>2091</v>
      </c>
      <c r="BU119" s="43" t="s">
        <v>2090</v>
      </c>
      <c r="BV119" s="43" t="s">
        <v>2090</v>
      </c>
      <c r="BW119" s="43" t="s">
        <v>2090</v>
      </c>
    </row>
    <row r="120" spans="1:75" ht="114.2" customHeight="1" x14ac:dyDescent="0.25">
      <c r="A120" s="38" t="s">
        <v>825</v>
      </c>
      <c r="B120" s="38" t="s">
        <v>1696</v>
      </c>
      <c r="C120" s="39" t="s">
        <v>826</v>
      </c>
      <c r="D120" s="40" t="s">
        <v>827</v>
      </c>
      <c r="E120" s="41">
        <v>56864.099719999998</v>
      </c>
      <c r="F120" s="41">
        <v>2768877.8273499999</v>
      </c>
      <c r="G120" s="41">
        <v>273734.40000000002</v>
      </c>
      <c r="H120" s="41">
        <v>227065.4</v>
      </c>
      <c r="I120" s="42">
        <v>1.1923098841094768</v>
      </c>
      <c r="J120" s="41">
        <v>19739.361850000001</v>
      </c>
      <c r="K120" s="41">
        <v>1562759.6181099999</v>
      </c>
      <c r="L120" s="41">
        <v>385306.3</v>
      </c>
      <c r="M120" s="41">
        <v>486442.9</v>
      </c>
      <c r="N120" s="42">
        <v>0.75123693868344366</v>
      </c>
      <c r="O120" s="41">
        <v>60415.193460000002</v>
      </c>
      <c r="P120" s="41">
        <v>2796921.5418099998</v>
      </c>
      <c r="Q120" s="41">
        <v>67861.3</v>
      </c>
      <c r="R120" s="41">
        <v>49394.5</v>
      </c>
      <c r="S120" s="42">
        <v>1.3453584321815368</v>
      </c>
      <c r="T120" s="41">
        <v>51999.058729999997</v>
      </c>
      <c r="U120" s="41">
        <v>2599982.79269</v>
      </c>
      <c r="V120" s="41">
        <v>104374.5</v>
      </c>
      <c r="W120" s="41">
        <v>79873.7</v>
      </c>
      <c r="X120" s="42">
        <v>1.140877988342297</v>
      </c>
      <c r="Y120" s="43">
        <v>1</v>
      </c>
      <c r="Z120" s="43" t="s">
        <v>2090</v>
      </c>
      <c r="AA120" s="43" t="s">
        <v>2091</v>
      </c>
      <c r="AB120" s="43" t="s">
        <v>2090</v>
      </c>
      <c r="AC120" s="43" t="s">
        <v>2090</v>
      </c>
      <c r="AD120" s="43">
        <v>0</v>
      </c>
      <c r="AE120" s="43">
        <v>0</v>
      </c>
      <c r="AF120" s="43">
        <v>0</v>
      </c>
      <c r="AG120" s="43">
        <v>0</v>
      </c>
      <c r="AH120" s="43">
        <v>0</v>
      </c>
      <c r="AI120" s="43">
        <v>0</v>
      </c>
      <c r="AJ120" s="43">
        <v>0</v>
      </c>
      <c r="AK120" s="43">
        <v>0</v>
      </c>
      <c r="AL120" s="43">
        <v>0</v>
      </c>
      <c r="AM120" s="43">
        <v>0</v>
      </c>
      <c r="AN120" s="43">
        <v>0</v>
      </c>
      <c r="AO120" s="43">
        <v>0</v>
      </c>
      <c r="AP120" s="43">
        <v>0</v>
      </c>
      <c r="AQ120" s="43">
        <v>0</v>
      </c>
      <c r="AR120" s="43">
        <v>0</v>
      </c>
      <c r="AS120" s="43">
        <v>0</v>
      </c>
      <c r="AT120" s="43">
        <v>0</v>
      </c>
      <c r="AU120" s="43">
        <v>0</v>
      </c>
      <c r="AV120" s="43">
        <v>0</v>
      </c>
      <c r="AW120" s="43">
        <v>0</v>
      </c>
      <c r="AX120" s="43">
        <v>0</v>
      </c>
      <c r="AY120" s="43">
        <v>0</v>
      </c>
      <c r="AZ120" s="43">
        <v>0</v>
      </c>
      <c r="BA120" s="43">
        <v>0</v>
      </c>
      <c r="BB120" s="43">
        <v>0</v>
      </c>
      <c r="BC120" s="43">
        <v>0</v>
      </c>
      <c r="BD120" s="43">
        <v>0</v>
      </c>
      <c r="BE120" s="43">
        <v>0</v>
      </c>
      <c r="BF120" s="43">
        <v>0</v>
      </c>
      <c r="BG120" s="43">
        <v>0</v>
      </c>
      <c r="BH120" s="43">
        <v>0</v>
      </c>
      <c r="BI120" s="43">
        <v>0</v>
      </c>
      <c r="BJ120" s="43" t="s">
        <v>2090</v>
      </c>
      <c r="BK120" s="43" t="s">
        <v>2090</v>
      </c>
      <c r="BL120" s="43" t="s">
        <v>2090</v>
      </c>
      <c r="BM120" s="43" t="s">
        <v>2090</v>
      </c>
      <c r="BN120" s="43" t="s">
        <v>2090</v>
      </c>
      <c r="BO120" s="43" t="s">
        <v>2090</v>
      </c>
      <c r="BP120" s="43" t="s">
        <v>2090</v>
      </c>
      <c r="BQ120" s="43" t="s">
        <v>2090</v>
      </c>
      <c r="BR120" s="43" t="s">
        <v>2091</v>
      </c>
      <c r="BS120" s="43" t="s">
        <v>2090</v>
      </c>
      <c r="BT120" s="43" t="s">
        <v>2091</v>
      </c>
      <c r="BU120" s="43" t="s">
        <v>2090</v>
      </c>
      <c r="BV120" s="43" t="s">
        <v>2090</v>
      </c>
      <c r="BW120" s="43" t="s">
        <v>2090</v>
      </c>
    </row>
    <row r="121" spans="1:75" ht="114.95" customHeight="1" x14ac:dyDescent="0.25">
      <c r="A121" s="38" t="s">
        <v>828</v>
      </c>
      <c r="B121" s="38" t="s">
        <v>1697</v>
      </c>
      <c r="C121" s="39" t="s">
        <v>829</v>
      </c>
      <c r="D121" s="40" t="s">
        <v>830</v>
      </c>
      <c r="E121" s="41">
        <v>6094.4148299999997</v>
      </c>
      <c r="F121" s="41">
        <v>877415.10756000003</v>
      </c>
      <c r="G121" s="41">
        <v>168590.3</v>
      </c>
      <c r="H121" s="41">
        <v>385291.9</v>
      </c>
      <c r="I121" s="42">
        <v>0.40478990934174219</v>
      </c>
      <c r="J121" s="41">
        <v>3438.8946099999998</v>
      </c>
      <c r="K121" s="41">
        <v>518164.70045</v>
      </c>
      <c r="L121" s="41">
        <v>149563.29999999999</v>
      </c>
      <c r="M121" s="41">
        <v>356770.2</v>
      </c>
      <c r="N121" s="42">
        <v>0.3831918309253099</v>
      </c>
      <c r="O121" s="41">
        <v>0</v>
      </c>
      <c r="P121" s="41">
        <v>93927.84345</v>
      </c>
      <c r="Q121" s="41">
        <v>27419.7</v>
      </c>
      <c r="R121" s="41">
        <v>220200.7</v>
      </c>
      <c r="S121" s="42">
        <v>0.11828157289635301</v>
      </c>
      <c r="T121" s="41">
        <v>8716.2168299999994</v>
      </c>
      <c r="U121" s="41">
        <v>1032504.38929</v>
      </c>
      <c r="V121" s="41">
        <v>245003.5</v>
      </c>
      <c r="W121" s="41">
        <v>429070.5</v>
      </c>
      <c r="X121" s="42">
        <v>0.52940062283081624</v>
      </c>
      <c r="Y121" s="43">
        <v>1</v>
      </c>
      <c r="Z121" s="43" t="s">
        <v>2090</v>
      </c>
      <c r="AA121" s="43" t="s">
        <v>2091</v>
      </c>
      <c r="AB121" s="43" t="s">
        <v>2090</v>
      </c>
      <c r="AC121" s="43" t="s">
        <v>2090</v>
      </c>
      <c r="AD121" s="43">
        <v>0</v>
      </c>
      <c r="AE121" s="43">
        <v>0</v>
      </c>
      <c r="AF121" s="43">
        <v>0</v>
      </c>
      <c r="AG121" s="43">
        <v>0</v>
      </c>
      <c r="AH121" s="43">
        <v>0</v>
      </c>
      <c r="AI121" s="43">
        <v>0</v>
      </c>
      <c r="AJ121" s="43">
        <v>0</v>
      </c>
      <c r="AK121" s="43">
        <v>0</v>
      </c>
      <c r="AL121" s="43">
        <v>0</v>
      </c>
      <c r="AM121" s="43">
        <v>0</v>
      </c>
      <c r="AN121" s="43">
        <v>0</v>
      </c>
      <c r="AO121" s="43">
        <v>0</v>
      </c>
      <c r="AP121" s="43">
        <v>0</v>
      </c>
      <c r="AQ121" s="43">
        <v>0</v>
      </c>
      <c r="AR121" s="43">
        <v>0</v>
      </c>
      <c r="AS121" s="43">
        <v>0</v>
      </c>
      <c r="AT121" s="43">
        <v>0</v>
      </c>
      <c r="AU121" s="43">
        <v>0</v>
      </c>
      <c r="AV121" s="43">
        <v>0</v>
      </c>
      <c r="AW121" s="43">
        <v>0</v>
      </c>
      <c r="AX121" s="43">
        <v>0</v>
      </c>
      <c r="AY121" s="43">
        <v>0</v>
      </c>
      <c r="AZ121" s="43">
        <v>0</v>
      </c>
      <c r="BA121" s="43">
        <v>0</v>
      </c>
      <c r="BB121" s="43">
        <v>0</v>
      </c>
      <c r="BC121" s="43">
        <v>0</v>
      </c>
      <c r="BD121" s="43">
        <v>0</v>
      </c>
      <c r="BE121" s="43">
        <v>0</v>
      </c>
      <c r="BF121" s="43">
        <v>0</v>
      </c>
      <c r="BG121" s="43">
        <v>0</v>
      </c>
      <c r="BH121" s="43">
        <v>0</v>
      </c>
      <c r="BI121" s="43">
        <v>0</v>
      </c>
      <c r="BJ121" s="43" t="s">
        <v>2090</v>
      </c>
      <c r="BK121" s="43" t="s">
        <v>2090</v>
      </c>
      <c r="BL121" s="43" t="s">
        <v>2090</v>
      </c>
      <c r="BM121" s="43" t="s">
        <v>2090</v>
      </c>
      <c r="BN121" s="43" t="s">
        <v>2090</v>
      </c>
      <c r="BO121" s="43" t="s">
        <v>2091</v>
      </c>
      <c r="BP121" s="43" t="s">
        <v>2090</v>
      </c>
      <c r="BQ121" s="43" t="s">
        <v>2091</v>
      </c>
      <c r="BR121" s="43" t="s">
        <v>2090</v>
      </c>
      <c r="BS121" s="43" t="s">
        <v>2090</v>
      </c>
      <c r="BT121" s="43" t="s">
        <v>2090</v>
      </c>
      <c r="BU121" s="43" t="s">
        <v>2090</v>
      </c>
      <c r="BV121" s="43" t="s">
        <v>2090</v>
      </c>
      <c r="BW121" s="43" t="s">
        <v>2090</v>
      </c>
    </row>
    <row r="122" spans="1:75" ht="148.69999999999999" customHeight="1" x14ac:dyDescent="0.25">
      <c r="A122" s="38" t="s">
        <v>831</v>
      </c>
      <c r="B122" s="38" t="s">
        <v>1698</v>
      </c>
      <c r="C122" s="39" t="s">
        <v>832</v>
      </c>
      <c r="D122" s="40" t="s">
        <v>833</v>
      </c>
      <c r="E122" s="41">
        <v>40403.034800000001</v>
      </c>
      <c r="F122" s="41">
        <v>2339975.7256299998</v>
      </c>
      <c r="G122" s="41">
        <v>229133.5</v>
      </c>
      <c r="H122" s="41">
        <v>266695</v>
      </c>
      <c r="I122" s="42">
        <v>0.81547315044506063</v>
      </c>
      <c r="J122" s="41">
        <v>0</v>
      </c>
      <c r="K122" s="41">
        <v>5944.9939299999996</v>
      </c>
      <c r="L122" s="41">
        <v>41175.1</v>
      </c>
      <c r="M122" s="41">
        <v>217876</v>
      </c>
      <c r="N122" s="42">
        <v>0.18246120239006125</v>
      </c>
      <c r="O122" s="41">
        <v>3614.8739500000001</v>
      </c>
      <c r="P122" s="41">
        <v>122262.82966</v>
      </c>
      <c r="Q122" s="41">
        <v>51000.7</v>
      </c>
      <c r="R122" s="41">
        <v>208271.6</v>
      </c>
      <c r="S122" s="42">
        <v>0.23634651600753295</v>
      </c>
      <c r="T122" s="41">
        <v>2796.5579600000001</v>
      </c>
      <c r="U122" s="41">
        <v>478990.57120000001</v>
      </c>
      <c r="V122" s="41">
        <v>49617.7</v>
      </c>
      <c r="W122" s="41">
        <v>268457.40000000002</v>
      </c>
      <c r="X122" s="42">
        <v>0.17514201339252128</v>
      </c>
      <c r="Y122" s="43">
        <v>2</v>
      </c>
      <c r="Z122" s="43" t="s">
        <v>2090</v>
      </c>
      <c r="AA122" s="43" t="s">
        <v>2090</v>
      </c>
      <c r="AB122" s="43" t="s">
        <v>2090</v>
      </c>
      <c r="AC122" s="43" t="s">
        <v>2090</v>
      </c>
      <c r="AD122" s="43">
        <v>0</v>
      </c>
      <c r="AE122" s="43">
        <v>0</v>
      </c>
      <c r="AF122" s="43">
        <v>0</v>
      </c>
      <c r="AG122" s="43">
        <v>0</v>
      </c>
      <c r="AH122" s="43">
        <v>0</v>
      </c>
      <c r="AI122" s="43">
        <v>0</v>
      </c>
      <c r="AJ122" s="43">
        <v>0</v>
      </c>
      <c r="AK122" s="43">
        <v>1</v>
      </c>
      <c r="AL122" s="43">
        <v>0</v>
      </c>
      <c r="AM122" s="43">
        <v>0</v>
      </c>
      <c r="AN122" s="43">
        <v>0</v>
      </c>
      <c r="AO122" s="43">
        <v>0</v>
      </c>
      <c r="AP122" s="43">
        <v>0</v>
      </c>
      <c r="AQ122" s="43">
        <v>0</v>
      </c>
      <c r="AR122" s="43">
        <v>0</v>
      </c>
      <c r="AS122" s="43">
        <v>0</v>
      </c>
      <c r="AT122" s="43">
        <v>0</v>
      </c>
      <c r="AU122" s="43">
        <v>0</v>
      </c>
      <c r="AV122" s="43">
        <v>0</v>
      </c>
      <c r="AW122" s="43">
        <v>1</v>
      </c>
      <c r="AX122" s="43">
        <v>0</v>
      </c>
      <c r="AY122" s="43">
        <v>0</v>
      </c>
      <c r="AZ122" s="43">
        <v>0</v>
      </c>
      <c r="BA122" s="43">
        <v>0</v>
      </c>
      <c r="BB122" s="43">
        <v>0</v>
      </c>
      <c r="BC122" s="43">
        <v>0</v>
      </c>
      <c r="BD122" s="43">
        <v>0</v>
      </c>
      <c r="BE122" s="43">
        <v>0</v>
      </c>
      <c r="BF122" s="43">
        <v>0</v>
      </c>
      <c r="BG122" s="43">
        <v>0</v>
      </c>
      <c r="BH122" s="43">
        <v>0</v>
      </c>
      <c r="BI122" s="43">
        <v>0</v>
      </c>
      <c r="BJ122" s="43" t="s">
        <v>2090</v>
      </c>
      <c r="BK122" s="43" t="s">
        <v>2091</v>
      </c>
      <c r="BL122" s="43" t="s">
        <v>2090</v>
      </c>
      <c r="BM122" s="43" t="s">
        <v>2090</v>
      </c>
      <c r="BN122" s="43" t="s">
        <v>2090</v>
      </c>
      <c r="BO122" s="43" t="s">
        <v>2090</v>
      </c>
      <c r="BP122" s="43" t="s">
        <v>2090</v>
      </c>
      <c r="BQ122" s="43" t="s">
        <v>2090</v>
      </c>
      <c r="BR122" s="43" t="s">
        <v>2090</v>
      </c>
      <c r="BS122" s="43" t="s">
        <v>2090</v>
      </c>
      <c r="BT122" s="43" t="s">
        <v>2090</v>
      </c>
      <c r="BU122" s="43" t="s">
        <v>2090</v>
      </c>
      <c r="BV122" s="43" t="s">
        <v>2090</v>
      </c>
      <c r="BW122" s="43" t="s">
        <v>2090</v>
      </c>
    </row>
    <row r="123" spans="1:75" ht="118.7" customHeight="1" x14ac:dyDescent="0.25">
      <c r="A123" s="38" t="s">
        <v>834</v>
      </c>
      <c r="B123" s="38" t="s">
        <v>1699</v>
      </c>
      <c r="C123" s="39" t="s">
        <v>835</v>
      </c>
      <c r="D123" s="40" t="s">
        <v>836</v>
      </c>
      <c r="E123" s="41">
        <v>76556.243440000006</v>
      </c>
      <c r="F123" s="41">
        <v>3078872.5027000001</v>
      </c>
      <c r="G123" s="41">
        <v>354090.5</v>
      </c>
      <c r="H123" s="41">
        <v>248972.1</v>
      </c>
      <c r="I123" s="42">
        <v>1.3780024024203639</v>
      </c>
      <c r="J123" s="41">
        <v>34344.975630000001</v>
      </c>
      <c r="K123" s="41">
        <v>1986015.96994</v>
      </c>
      <c r="L123" s="41">
        <v>291549.7</v>
      </c>
      <c r="M123" s="41">
        <v>308241.59999999998</v>
      </c>
      <c r="N123" s="42">
        <v>0.89071018324368678</v>
      </c>
      <c r="O123" s="41">
        <v>92362.819520000005</v>
      </c>
      <c r="P123" s="41">
        <v>3201300.1050499999</v>
      </c>
      <c r="Q123" s="41">
        <v>384240.3</v>
      </c>
      <c r="R123" s="41">
        <v>250074.4</v>
      </c>
      <c r="S123" s="42">
        <v>1.5114459418481532</v>
      </c>
      <c r="T123" s="41">
        <v>49442.103719999999</v>
      </c>
      <c r="U123" s="41">
        <v>2536203.6348600001</v>
      </c>
      <c r="V123" s="41">
        <v>98173.9</v>
      </c>
      <c r="W123" s="41">
        <v>72752.5</v>
      </c>
      <c r="X123" s="42">
        <v>1.1926870417234443</v>
      </c>
      <c r="Y123" s="43">
        <v>1</v>
      </c>
      <c r="Z123" s="43" t="s">
        <v>2090</v>
      </c>
      <c r="AA123" s="43" t="s">
        <v>2090</v>
      </c>
      <c r="AB123" s="43" t="s">
        <v>2090</v>
      </c>
      <c r="AC123" s="43" t="s">
        <v>2090</v>
      </c>
      <c r="AD123" s="43">
        <v>0</v>
      </c>
      <c r="AE123" s="43">
        <v>0</v>
      </c>
      <c r="AF123" s="43">
        <v>0</v>
      </c>
      <c r="AG123" s="43">
        <v>0</v>
      </c>
      <c r="AH123" s="43">
        <v>0</v>
      </c>
      <c r="AI123" s="43">
        <v>0</v>
      </c>
      <c r="AJ123" s="43">
        <v>0</v>
      </c>
      <c r="AK123" s="43">
        <v>0</v>
      </c>
      <c r="AL123" s="43">
        <v>0</v>
      </c>
      <c r="AM123" s="43">
        <v>0</v>
      </c>
      <c r="AN123" s="43">
        <v>0</v>
      </c>
      <c r="AO123" s="43">
        <v>0</v>
      </c>
      <c r="AP123" s="43">
        <v>0</v>
      </c>
      <c r="AQ123" s="43">
        <v>0</v>
      </c>
      <c r="AR123" s="43">
        <v>0</v>
      </c>
      <c r="AS123" s="43">
        <v>0</v>
      </c>
      <c r="AT123" s="43">
        <v>0</v>
      </c>
      <c r="AU123" s="43">
        <v>0</v>
      </c>
      <c r="AV123" s="43">
        <v>0</v>
      </c>
      <c r="AW123" s="43">
        <v>0</v>
      </c>
      <c r="AX123" s="43">
        <v>0</v>
      </c>
      <c r="AY123" s="43">
        <v>0</v>
      </c>
      <c r="AZ123" s="43">
        <v>0</v>
      </c>
      <c r="BA123" s="43">
        <v>0</v>
      </c>
      <c r="BB123" s="43">
        <v>0</v>
      </c>
      <c r="BC123" s="43">
        <v>0</v>
      </c>
      <c r="BD123" s="43">
        <v>0</v>
      </c>
      <c r="BE123" s="43">
        <v>0</v>
      </c>
      <c r="BF123" s="43">
        <v>0</v>
      </c>
      <c r="BG123" s="43">
        <v>0</v>
      </c>
      <c r="BH123" s="43">
        <v>0</v>
      </c>
      <c r="BI123" s="43">
        <v>1</v>
      </c>
      <c r="BJ123" s="43" t="s">
        <v>2090</v>
      </c>
      <c r="BK123" s="43" t="s">
        <v>2090</v>
      </c>
      <c r="BL123" s="43" t="s">
        <v>2090</v>
      </c>
      <c r="BM123" s="43" t="s">
        <v>2090</v>
      </c>
      <c r="BN123" s="43" t="s">
        <v>2090</v>
      </c>
      <c r="BO123" s="43" t="s">
        <v>2090</v>
      </c>
      <c r="BP123" s="43" t="s">
        <v>2090</v>
      </c>
      <c r="BQ123" s="43" t="s">
        <v>2090</v>
      </c>
      <c r="BR123" s="43" t="s">
        <v>2090</v>
      </c>
      <c r="BS123" s="43" t="s">
        <v>2090</v>
      </c>
      <c r="BT123" s="43" t="s">
        <v>2090</v>
      </c>
      <c r="BU123" s="43" t="s">
        <v>2090</v>
      </c>
      <c r="BV123" s="43" t="s">
        <v>2090</v>
      </c>
      <c r="BW123" s="43" t="s">
        <v>2090</v>
      </c>
    </row>
    <row r="124" spans="1:75" ht="121.7" customHeight="1" x14ac:dyDescent="0.25">
      <c r="A124" s="38" t="s">
        <v>837</v>
      </c>
      <c r="B124" s="38" t="s">
        <v>1700</v>
      </c>
      <c r="C124" s="39" t="s">
        <v>838</v>
      </c>
      <c r="D124" s="40" t="s">
        <v>839</v>
      </c>
      <c r="E124" s="41">
        <v>0</v>
      </c>
      <c r="F124" s="41">
        <v>231171.43687000001</v>
      </c>
      <c r="G124" s="41">
        <v>329797.7</v>
      </c>
      <c r="H124" s="41">
        <v>306359.2</v>
      </c>
      <c r="I124" s="42">
        <v>1.0559149167820805</v>
      </c>
      <c r="J124" s="41">
        <v>0</v>
      </c>
      <c r="K124" s="41">
        <v>0</v>
      </c>
      <c r="L124" s="41">
        <v>196696.1</v>
      </c>
      <c r="M124" s="41">
        <v>532749.6</v>
      </c>
      <c r="N124" s="42">
        <v>0.33426361764869522</v>
      </c>
      <c r="O124" s="41">
        <v>22282.202399999998</v>
      </c>
      <c r="P124" s="41">
        <v>2170634.53785</v>
      </c>
      <c r="Q124" s="41">
        <v>206274</v>
      </c>
      <c r="R124" s="41">
        <v>210308.2</v>
      </c>
      <c r="S124" s="42">
        <v>0.95273227460297605</v>
      </c>
      <c r="T124" s="41">
        <v>2814.7396899999999</v>
      </c>
      <c r="U124" s="41">
        <v>455094.14454000001</v>
      </c>
      <c r="V124" s="41">
        <v>163384.5</v>
      </c>
      <c r="W124" s="41">
        <v>401930.7</v>
      </c>
      <c r="X124" s="42">
        <v>0.37763069288309992</v>
      </c>
      <c r="Y124" s="43">
        <v>1</v>
      </c>
      <c r="Z124" s="43" t="s">
        <v>2090</v>
      </c>
      <c r="AA124" s="43" t="s">
        <v>2090</v>
      </c>
      <c r="AB124" s="43" t="s">
        <v>2090</v>
      </c>
      <c r="AC124" s="43" t="s">
        <v>2090</v>
      </c>
      <c r="AD124" s="43">
        <v>0</v>
      </c>
      <c r="AE124" s="43">
        <v>0</v>
      </c>
      <c r="AF124" s="43">
        <v>0</v>
      </c>
      <c r="AG124" s="43">
        <v>0</v>
      </c>
      <c r="AH124" s="43">
        <v>0</v>
      </c>
      <c r="AI124" s="43">
        <v>0</v>
      </c>
      <c r="AJ124" s="43">
        <v>0</v>
      </c>
      <c r="AK124" s="43">
        <v>0</v>
      </c>
      <c r="AL124" s="43">
        <v>0</v>
      </c>
      <c r="AM124" s="43">
        <v>0</v>
      </c>
      <c r="AN124" s="43">
        <v>0</v>
      </c>
      <c r="AO124" s="43">
        <v>0</v>
      </c>
      <c r="AP124" s="43">
        <v>0</v>
      </c>
      <c r="AQ124" s="43">
        <v>0</v>
      </c>
      <c r="AR124" s="43">
        <v>0</v>
      </c>
      <c r="AS124" s="43">
        <v>0</v>
      </c>
      <c r="AT124" s="43">
        <v>0</v>
      </c>
      <c r="AU124" s="43">
        <v>0</v>
      </c>
      <c r="AV124" s="43">
        <v>0</v>
      </c>
      <c r="AW124" s="43">
        <v>0</v>
      </c>
      <c r="AX124" s="43">
        <v>0</v>
      </c>
      <c r="AY124" s="43">
        <v>0</v>
      </c>
      <c r="AZ124" s="43">
        <v>0</v>
      </c>
      <c r="BA124" s="43">
        <v>0</v>
      </c>
      <c r="BB124" s="43">
        <v>0</v>
      </c>
      <c r="BC124" s="43">
        <v>0</v>
      </c>
      <c r="BD124" s="43">
        <v>0</v>
      </c>
      <c r="BE124" s="43">
        <v>0</v>
      </c>
      <c r="BF124" s="43">
        <v>0</v>
      </c>
      <c r="BG124" s="43">
        <v>0</v>
      </c>
      <c r="BH124" s="43">
        <v>1</v>
      </c>
      <c r="BI124" s="43">
        <v>0</v>
      </c>
      <c r="BJ124" s="43" t="s">
        <v>2090</v>
      </c>
      <c r="BK124" s="43" t="s">
        <v>2090</v>
      </c>
      <c r="BL124" s="43" t="s">
        <v>2090</v>
      </c>
      <c r="BM124" s="43" t="s">
        <v>2090</v>
      </c>
      <c r="BN124" s="43" t="s">
        <v>2090</v>
      </c>
      <c r="BO124" s="43" t="s">
        <v>2090</v>
      </c>
      <c r="BP124" s="43" t="s">
        <v>2090</v>
      </c>
      <c r="BQ124" s="43" t="s">
        <v>2090</v>
      </c>
      <c r="BR124" s="43" t="s">
        <v>2090</v>
      </c>
      <c r="BS124" s="43" t="s">
        <v>2090</v>
      </c>
      <c r="BT124" s="43" t="s">
        <v>2090</v>
      </c>
      <c r="BU124" s="43" t="s">
        <v>2090</v>
      </c>
      <c r="BV124" s="43" t="s">
        <v>2090</v>
      </c>
      <c r="BW124" s="43" t="s">
        <v>2090</v>
      </c>
    </row>
    <row r="125" spans="1:75" ht="151.69999999999999" customHeight="1" x14ac:dyDescent="0.25">
      <c r="A125" s="38" t="s">
        <v>840</v>
      </c>
      <c r="B125" s="38" t="s">
        <v>1701</v>
      </c>
      <c r="C125" s="39" t="s">
        <v>841</v>
      </c>
      <c r="D125" s="40" t="s">
        <v>842</v>
      </c>
      <c r="E125" s="41">
        <v>3709.9562299999998</v>
      </c>
      <c r="F125" s="41">
        <v>611836.63697999995</v>
      </c>
      <c r="G125" s="41">
        <v>60855.1</v>
      </c>
      <c r="H125" s="41">
        <v>153749.79999999999</v>
      </c>
      <c r="I125" s="42">
        <v>0.37213566997815373</v>
      </c>
      <c r="J125" s="41">
        <v>0</v>
      </c>
      <c r="K125" s="41">
        <v>15048.53739</v>
      </c>
      <c r="L125" s="41">
        <v>276299.7</v>
      </c>
      <c r="M125" s="41">
        <v>505266.4</v>
      </c>
      <c r="N125" s="42">
        <v>0.50632718794767839</v>
      </c>
      <c r="O125" s="41">
        <v>2203.2391899999998</v>
      </c>
      <c r="P125" s="41">
        <v>384566.53260999999</v>
      </c>
      <c r="Q125" s="41">
        <v>2544.5</v>
      </c>
      <c r="R125" s="41">
        <v>9887</v>
      </c>
      <c r="S125" s="42">
        <v>0.24957643685650985</v>
      </c>
      <c r="T125" s="41">
        <v>5580.1437999999998</v>
      </c>
      <c r="U125" s="41">
        <v>431912.39935999998</v>
      </c>
      <c r="V125" s="41">
        <v>143730.79999999999</v>
      </c>
      <c r="W125" s="41">
        <v>342638.9</v>
      </c>
      <c r="X125" s="42">
        <v>0.39663058558298164</v>
      </c>
      <c r="Y125" s="43">
        <v>1</v>
      </c>
      <c r="Z125" s="43" t="s">
        <v>2090</v>
      </c>
      <c r="AA125" s="43" t="s">
        <v>2090</v>
      </c>
      <c r="AB125" s="43" t="s">
        <v>2090</v>
      </c>
      <c r="AC125" s="43" t="s">
        <v>2090</v>
      </c>
      <c r="AD125" s="43">
        <v>0</v>
      </c>
      <c r="AE125" s="43">
        <v>0</v>
      </c>
      <c r="AF125" s="43">
        <v>0</v>
      </c>
      <c r="AG125" s="43">
        <v>0</v>
      </c>
      <c r="AH125" s="43">
        <v>0</v>
      </c>
      <c r="AI125" s="43">
        <v>0</v>
      </c>
      <c r="AJ125" s="43">
        <v>0</v>
      </c>
      <c r="AK125" s="43">
        <v>0</v>
      </c>
      <c r="AL125" s="43">
        <v>0</v>
      </c>
      <c r="AM125" s="43">
        <v>0</v>
      </c>
      <c r="AN125" s="43">
        <v>0</v>
      </c>
      <c r="AO125" s="43">
        <v>0</v>
      </c>
      <c r="AP125" s="43">
        <v>0</v>
      </c>
      <c r="AQ125" s="43">
        <v>0</v>
      </c>
      <c r="AR125" s="43">
        <v>0</v>
      </c>
      <c r="AS125" s="43">
        <v>0</v>
      </c>
      <c r="AT125" s="43">
        <v>0</v>
      </c>
      <c r="AU125" s="43">
        <v>0</v>
      </c>
      <c r="AV125" s="43">
        <v>0</v>
      </c>
      <c r="AW125" s="43">
        <v>0</v>
      </c>
      <c r="AX125" s="43">
        <v>0</v>
      </c>
      <c r="AY125" s="43">
        <v>0</v>
      </c>
      <c r="AZ125" s="43">
        <v>0</v>
      </c>
      <c r="BA125" s="43">
        <v>0</v>
      </c>
      <c r="BB125" s="43">
        <v>0</v>
      </c>
      <c r="BC125" s="43">
        <v>0</v>
      </c>
      <c r="BD125" s="43">
        <v>0</v>
      </c>
      <c r="BE125" s="43">
        <v>0</v>
      </c>
      <c r="BF125" s="43">
        <v>1</v>
      </c>
      <c r="BG125" s="43">
        <v>0</v>
      </c>
      <c r="BH125" s="43">
        <v>0</v>
      </c>
      <c r="BI125" s="43">
        <v>0</v>
      </c>
      <c r="BJ125" s="43" t="s">
        <v>2090</v>
      </c>
      <c r="BK125" s="43" t="s">
        <v>2090</v>
      </c>
      <c r="BL125" s="43" t="s">
        <v>2090</v>
      </c>
      <c r="BM125" s="43" t="s">
        <v>2090</v>
      </c>
      <c r="BN125" s="43" t="s">
        <v>2090</v>
      </c>
      <c r="BO125" s="43" t="s">
        <v>2090</v>
      </c>
      <c r="BP125" s="43" t="s">
        <v>2090</v>
      </c>
      <c r="BQ125" s="43" t="s">
        <v>2090</v>
      </c>
      <c r="BR125" s="43" t="s">
        <v>2090</v>
      </c>
      <c r="BS125" s="43" t="s">
        <v>2090</v>
      </c>
      <c r="BT125" s="43" t="s">
        <v>2090</v>
      </c>
      <c r="BU125" s="43" t="s">
        <v>2090</v>
      </c>
      <c r="BV125" s="43" t="s">
        <v>2090</v>
      </c>
      <c r="BW125" s="43" t="s">
        <v>2090</v>
      </c>
    </row>
    <row r="126" spans="1:75" ht="122.45" customHeight="1" x14ac:dyDescent="0.25">
      <c r="A126" s="38" t="s">
        <v>843</v>
      </c>
      <c r="B126" s="38" t="s">
        <v>1702</v>
      </c>
      <c r="C126" s="39" t="s">
        <v>844</v>
      </c>
      <c r="D126" s="40" t="s">
        <v>845</v>
      </c>
      <c r="E126" s="41">
        <v>58981.581019999998</v>
      </c>
      <c r="F126" s="41">
        <v>2806357.2013500002</v>
      </c>
      <c r="G126" s="41">
        <v>172615.6</v>
      </c>
      <c r="H126" s="41">
        <v>127666.2</v>
      </c>
      <c r="I126" s="42">
        <v>1.3171149982850703</v>
      </c>
      <c r="J126" s="41">
        <v>23958.66418</v>
      </c>
      <c r="K126" s="41">
        <v>1638172.81421</v>
      </c>
      <c r="L126" s="41">
        <v>311291.90000000002</v>
      </c>
      <c r="M126" s="41">
        <v>369004.7</v>
      </c>
      <c r="N126" s="42">
        <v>0.79904149159663862</v>
      </c>
      <c r="O126" s="41">
        <v>96189.871960000004</v>
      </c>
      <c r="P126" s="41">
        <v>3285466.2187600001</v>
      </c>
      <c r="Q126" s="41">
        <v>117262.9</v>
      </c>
      <c r="R126" s="41">
        <v>73324.100000000006</v>
      </c>
      <c r="S126" s="42">
        <v>1.581222257852188</v>
      </c>
      <c r="T126" s="41">
        <v>50326.021070000003</v>
      </c>
      <c r="U126" s="41">
        <v>2500040.9622</v>
      </c>
      <c r="V126" s="41">
        <v>229873.2</v>
      </c>
      <c r="W126" s="41">
        <v>156873.60000000001</v>
      </c>
      <c r="X126" s="42">
        <v>1.21962970419377</v>
      </c>
      <c r="Y126" s="43">
        <v>2</v>
      </c>
      <c r="Z126" s="43" t="s">
        <v>2091</v>
      </c>
      <c r="AA126" s="43" t="s">
        <v>2090</v>
      </c>
      <c r="AB126" s="43" t="s">
        <v>2090</v>
      </c>
      <c r="AC126" s="43" t="s">
        <v>2090</v>
      </c>
      <c r="AD126" s="43">
        <v>0</v>
      </c>
      <c r="AE126" s="43">
        <v>0</v>
      </c>
      <c r="AF126" s="43">
        <v>0</v>
      </c>
      <c r="AG126" s="43">
        <v>0</v>
      </c>
      <c r="AH126" s="43">
        <v>0</v>
      </c>
      <c r="AI126" s="43">
        <v>0</v>
      </c>
      <c r="AJ126" s="43">
        <v>0</v>
      </c>
      <c r="AK126" s="43">
        <v>1</v>
      </c>
      <c r="AL126" s="43">
        <v>0</v>
      </c>
      <c r="AM126" s="43">
        <v>0</v>
      </c>
      <c r="AN126" s="43">
        <v>0</v>
      </c>
      <c r="AO126" s="43">
        <v>0</v>
      </c>
      <c r="AP126" s="43">
        <v>0</v>
      </c>
      <c r="AQ126" s="43">
        <v>0</v>
      </c>
      <c r="AR126" s="43">
        <v>0</v>
      </c>
      <c r="AS126" s="43">
        <v>0</v>
      </c>
      <c r="AT126" s="43">
        <v>0</v>
      </c>
      <c r="AU126" s="43">
        <v>0</v>
      </c>
      <c r="AV126" s="43">
        <v>0</v>
      </c>
      <c r="AW126" s="43">
        <v>0</v>
      </c>
      <c r="AX126" s="43">
        <v>0</v>
      </c>
      <c r="AY126" s="43">
        <v>0</v>
      </c>
      <c r="AZ126" s="43">
        <v>0</v>
      </c>
      <c r="BA126" s="43">
        <v>0</v>
      </c>
      <c r="BB126" s="43">
        <v>0</v>
      </c>
      <c r="BC126" s="43">
        <v>0</v>
      </c>
      <c r="BD126" s="43">
        <v>0</v>
      </c>
      <c r="BE126" s="43">
        <v>0</v>
      </c>
      <c r="BF126" s="43">
        <v>0</v>
      </c>
      <c r="BG126" s="43">
        <v>0</v>
      </c>
      <c r="BH126" s="43">
        <v>0</v>
      </c>
      <c r="BI126" s="43">
        <v>0</v>
      </c>
      <c r="BJ126" s="43" t="s">
        <v>2090</v>
      </c>
      <c r="BK126" s="43" t="s">
        <v>2091</v>
      </c>
      <c r="BL126" s="43" t="s">
        <v>2090</v>
      </c>
      <c r="BM126" s="43" t="s">
        <v>2090</v>
      </c>
      <c r="BN126" s="43" t="s">
        <v>2090</v>
      </c>
      <c r="BO126" s="43" t="s">
        <v>2090</v>
      </c>
      <c r="BP126" s="43" t="s">
        <v>2090</v>
      </c>
      <c r="BQ126" s="43" t="s">
        <v>2090</v>
      </c>
      <c r="BR126" s="43" t="s">
        <v>2090</v>
      </c>
      <c r="BS126" s="43" t="s">
        <v>2090</v>
      </c>
      <c r="BT126" s="43" t="s">
        <v>2090</v>
      </c>
      <c r="BU126" s="43" t="s">
        <v>2090</v>
      </c>
      <c r="BV126" s="43" t="s">
        <v>2090</v>
      </c>
      <c r="BW126" s="43" t="s">
        <v>2090</v>
      </c>
    </row>
    <row r="127" spans="1:75" ht="129.19999999999999" customHeight="1" x14ac:dyDescent="0.25">
      <c r="A127" s="38" t="s">
        <v>846</v>
      </c>
      <c r="B127" s="38" t="s">
        <v>1703</v>
      </c>
      <c r="C127" s="39" t="s">
        <v>847</v>
      </c>
      <c r="D127" s="40" t="s">
        <v>848</v>
      </c>
      <c r="E127" s="41">
        <v>4114.6419900000001</v>
      </c>
      <c r="F127" s="41">
        <v>690269.40969</v>
      </c>
      <c r="G127" s="41">
        <v>66133.3</v>
      </c>
      <c r="H127" s="41">
        <v>185782.3</v>
      </c>
      <c r="I127" s="42">
        <v>0.33798476616668788</v>
      </c>
      <c r="J127" s="41">
        <v>27632.16948</v>
      </c>
      <c r="K127" s="41">
        <v>1817957.7267</v>
      </c>
      <c r="L127" s="41">
        <v>35789.1</v>
      </c>
      <c r="M127" s="41">
        <v>41384.199999999997</v>
      </c>
      <c r="N127" s="42">
        <v>0.8297161424805346</v>
      </c>
      <c r="O127" s="41">
        <v>13515.014440000001</v>
      </c>
      <c r="P127" s="41">
        <v>1357523.9089200001</v>
      </c>
      <c r="Q127" s="41">
        <v>114018.8</v>
      </c>
      <c r="R127" s="41">
        <v>160501.5</v>
      </c>
      <c r="S127" s="42">
        <v>0.60976037918019832</v>
      </c>
      <c r="T127" s="41">
        <v>39710.118730000002</v>
      </c>
      <c r="U127" s="41">
        <v>2334860.5573900002</v>
      </c>
      <c r="V127" s="41">
        <v>203506.8</v>
      </c>
      <c r="W127" s="41">
        <v>194485.7</v>
      </c>
      <c r="X127" s="42">
        <v>0.89262717959463367</v>
      </c>
      <c r="Y127" s="43">
        <v>3</v>
      </c>
      <c r="Z127" s="43" t="s">
        <v>2090</v>
      </c>
      <c r="AA127" s="43" t="s">
        <v>2090</v>
      </c>
      <c r="AB127" s="43" t="s">
        <v>2090</v>
      </c>
      <c r="AC127" s="43" t="s">
        <v>2091</v>
      </c>
      <c r="AD127" s="43">
        <v>0</v>
      </c>
      <c r="AE127" s="43">
        <v>0</v>
      </c>
      <c r="AF127" s="43">
        <v>0</v>
      </c>
      <c r="AG127" s="43">
        <v>0</v>
      </c>
      <c r="AH127" s="43">
        <v>0</v>
      </c>
      <c r="AI127" s="43">
        <v>1</v>
      </c>
      <c r="AJ127" s="43">
        <v>0</v>
      </c>
      <c r="AK127" s="43">
        <v>0</v>
      </c>
      <c r="AL127" s="43">
        <v>0</v>
      </c>
      <c r="AM127" s="43">
        <v>0</v>
      </c>
      <c r="AN127" s="43">
        <v>0</v>
      </c>
      <c r="AO127" s="43">
        <v>0</v>
      </c>
      <c r="AP127" s="43">
        <v>0</v>
      </c>
      <c r="AQ127" s="43">
        <v>0</v>
      </c>
      <c r="AR127" s="43">
        <v>0</v>
      </c>
      <c r="AS127" s="43">
        <v>0</v>
      </c>
      <c r="AT127" s="43">
        <v>0</v>
      </c>
      <c r="AU127" s="43">
        <v>0</v>
      </c>
      <c r="AV127" s="43">
        <v>0</v>
      </c>
      <c r="AW127" s="43">
        <v>0</v>
      </c>
      <c r="AX127" s="43">
        <v>0</v>
      </c>
      <c r="AY127" s="43">
        <v>0</v>
      </c>
      <c r="AZ127" s="43">
        <v>0</v>
      </c>
      <c r="BA127" s="43">
        <v>0</v>
      </c>
      <c r="BB127" s="43">
        <v>0</v>
      </c>
      <c r="BC127" s="43">
        <v>0</v>
      </c>
      <c r="BD127" s="43">
        <v>0</v>
      </c>
      <c r="BE127" s="43">
        <v>0</v>
      </c>
      <c r="BF127" s="43">
        <v>0</v>
      </c>
      <c r="BG127" s="43">
        <v>0</v>
      </c>
      <c r="BH127" s="43">
        <v>0</v>
      </c>
      <c r="BI127" s="43">
        <v>1</v>
      </c>
      <c r="BJ127" s="43" t="s">
        <v>2090</v>
      </c>
      <c r="BK127" s="43" t="s">
        <v>2090</v>
      </c>
      <c r="BL127" s="43" t="s">
        <v>2090</v>
      </c>
      <c r="BM127" s="43" t="s">
        <v>2090</v>
      </c>
      <c r="BN127" s="43" t="s">
        <v>2090</v>
      </c>
      <c r="BO127" s="43" t="s">
        <v>2090</v>
      </c>
      <c r="BP127" s="43" t="s">
        <v>2090</v>
      </c>
      <c r="BQ127" s="43" t="s">
        <v>2090</v>
      </c>
      <c r="BR127" s="43" t="s">
        <v>2090</v>
      </c>
      <c r="BS127" s="43" t="s">
        <v>2090</v>
      </c>
      <c r="BT127" s="43" t="s">
        <v>2090</v>
      </c>
      <c r="BU127" s="43" t="s">
        <v>2090</v>
      </c>
      <c r="BV127" s="43" t="s">
        <v>2090</v>
      </c>
      <c r="BW127" s="43" t="s">
        <v>2091</v>
      </c>
    </row>
    <row r="128" spans="1:75" ht="131.44999999999999" customHeight="1" x14ac:dyDescent="0.25">
      <c r="A128" s="38" t="s">
        <v>849</v>
      </c>
      <c r="B128" s="38" t="s">
        <v>1704</v>
      </c>
      <c r="C128" s="39" t="s">
        <v>850</v>
      </c>
      <c r="D128" s="40" t="s">
        <v>851</v>
      </c>
      <c r="E128" s="41">
        <v>52828.45938</v>
      </c>
      <c r="F128" s="41">
        <v>2722914.4048600001</v>
      </c>
      <c r="G128" s="41">
        <v>408724.1</v>
      </c>
      <c r="H128" s="41">
        <v>333032.8</v>
      </c>
      <c r="I128" s="42">
        <v>1.1854685765247619</v>
      </c>
      <c r="J128" s="41">
        <v>62965.429400000001</v>
      </c>
      <c r="K128" s="41">
        <v>2609845.6293199998</v>
      </c>
      <c r="L128" s="41">
        <v>299133.09999999998</v>
      </c>
      <c r="M128" s="41">
        <v>206962.2</v>
      </c>
      <c r="N128" s="42">
        <v>1.3912137513508349</v>
      </c>
      <c r="O128" s="41">
        <v>81393.977299999999</v>
      </c>
      <c r="P128" s="41">
        <v>3091477.0837400001</v>
      </c>
      <c r="Q128" s="41">
        <v>466990.9</v>
      </c>
      <c r="R128" s="41">
        <v>302535.8</v>
      </c>
      <c r="S128" s="42">
        <v>1.5160632970879451</v>
      </c>
      <c r="T128" s="41">
        <v>62243.906049999998</v>
      </c>
      <c r="U128" s="41">
        <v>2828378.84069</v>
      </c>
      <c r="V128" s="41">
        <v>295413</v>
      </c>
      <c r="W128" s="41">
        <v>193954.8</v>
      </c>
      <c r="X128" s="42">
        <v>1.2566038769028582</v>
      </c>
      <c r="Y128" s="43">
        <v>1</v>
      </c>
      <c r="Z128" s="43" t="s">
        <v>2091</v>
      </c>
      <c r="AA128" s="43" t="s">
        <v>2090</v>
      </c>
      <c r="AB128" s="43" t="s">
        <v>2090</v>
      </c>
      <c r="AC128" s="43" t="s">
        <v>2090</v>
      </c>
      <c r="AD128" s="43">
        <v>0</v>
      </c>
      <c r="AE128" s="43">
        <v>0</v>
      </c>
      <c r="AF128" s="43">
        <v>0</v>
      </c>
      <c r="AG128" s="43">
        <v>0</v>
      </c>
      <c r="AH128" s="43">
        <v>0</v>
      </c>
      <c r="AI128" s="43">
        <v>0</v>
      </c>
      <c r="AJ128" s="43">
        <v>0</v>
      </c>
      <c r="AK128" s="43">
        <v>0</v>
      </c>
      <c r="AL128" s="43">
        <v>0</v>
      </c>
      <c r="AM128" s="43">
        <v>0</v>
      </c>
      <c r="AN128" s="43">
        <v>0</v>
      </c>
      <c r="AO128" s="43">
        <v>0</v>
      </c>
      <c r="AP128" s="43">
        <v>0</v>
      </c>
      <c r="AQ128" s="43">
        <v>0</v>
      </c>
      <c r="AR128" s="43">
        <v>0</v>
      </c>
      <c r="AS128" s="43">
        <v>0</v>
      </c>
      <c r="AT128" s="43">
        <v>0</v>
      </c>
      <c r="AU128" s="43">
        <v>0</v>
      </c>
      <c r="AV128" s="43">
        <v>0</v>
      </c>
      <c r="AW128" s="43">
        <v>0</v>
      </c>
      <c r="AX128" s="43">
        <v>0</v>
      </c>
      <c r="AY128" s="43">
        <v>0</v>
      </c>
      <c r="AZ128" s="43">
        <v>0</v>
      </c>
      <c r="BA128" s="43">
        <v>0</v>
      </c>
      <c r="BB128" s="43">
        <v>0</v>
      </c>
      <c r="BC128" s="43">
        <v>0</v>
      </c>
      <c r="BD128" s="43">
        <v>0</v>
      </c>
      <c r="BE128" s="43">
        <v>0</v>
      </c>
      <c r="BF128" s="43">
        <v>0</v>
      </c>
      <c r="BG128" s="43">
        <v>0</v>
      </c>
      <c r="BH128" s="43">
        <v>0</v>
      </c>
      <c r="BI128" s="43">
        <v>0</v>
      </c>
      <c r="BJ128" s="43" t="s">
        <v>2090</v>
      </c>
      <c r="BK128" s="43" t="s">
        <v>2090</v>
      </c>
      <c r="BL128" s="43" t="s">
        <v>2090</v>
      </c>
      <c r="BM128" s="43" t="s">
        <v>2090</v>
      </c>
      <c r="BN128" s="43" t="s">
        <v>2090</v>
      </c>
      <c r="BO128" s="43" t="s">
        <v>2090</v>
      </c>
      <c r="BP128" s="43" t="s">
        <v>2090</v>
      </c>
      <c r="BQ128" s="43" t="s">
        <v>2090</v>
      </c>
      <c r="BR128" s="43" t="s">
        <v>2090</v>
      </c>
      <c r="BS128" s="43" t="s">
        <v>2090</v>
      </c>
      <c r="BT128" s="43" t="s">
        <v>2090</v>
      </c>
      <c r="BU128" s="43" t="s">
        <v>2090</v>
      </c>
      <c r="BV128" s="43" t="s">
        <v>2090</v>
      </c>
      <c r="BW128" s="43" t="s">
        <v>2090</v>
      </c>
    </row>
    <row r="129" spans="1:75" ht="138.19999999999999" customHeight="1" x14ac:dyDescent="0.25">
      <c r="A129" s="38" t="s">
        <v>852</v>
      </c>
      <c r="B129" s="38" t="s">
        <v>1705</v>
      </c>
      <c r="C129" s="39" t="s">
        <v>853</v>
      </c>
      <c r="D129" s="40" t="s">
        <v>854</v>
      </c>
      <c r="E129" s="41">
        <v>42948.030019999998</v>
      </c>
      <c r="F129" s="41">
        <v>2517220.9486099998</v>
      </c>
      <c r="G129" s="41">
        <v>119132.6</v>
      </c>
      <c r="H129" s="41">
        <v>108528.2</v>
      </c>
      <c r="I129" s="42">
        <v>1.0651433106152555</v>
      </c>
      <c r="J129" s="41">
        <v>1386.9833699999999</v>
      </c>
      <c r="K129" s="41">
        <v>264656.84703</v>
      </c>
      <c r="L129" s="41">
        <v>231407.7</v>
      </c>
      <c r="M129" s="41">
        <v>656101.9</v>
      </c>
      <c r="N129" s="42">
        <v>0.30863125550242537</v>
      </c>
      <c r="O129" s="41">
        <v>66789.672550000003</v>
      </c>
      <c r="P129" s="41">
        <v>2826265.66921</v>
      </c>
      <c r="Q129" s="41">
        <v>434620.7</v>
      </c>
      <c r="R129" s="41">
        <v>389986</v>
      </c>
      <c r="S129" s="42">
        <v>1.0236042969001267</v>
      </c>
      <c r="T129" s="41">
        <v>5792.7879899999998</v>
      </c>
      <c r="U129" s="41">
        <v>758504.09652000002</v>
      </c>
      <c r="V129" s="41">
        <v>66780.100000000006</v>
      </c>
      <c r="W129" s="41">
        <v>142908.20000000001</v>
      </c>
      <c r="X129" s="42">
        <v>0.44039910652980696</v>
      </c>
      <c r="Y129" s="43">
        <v>2</v>
      </c>
      <c r="Z129" s="43" t="s">
        <v>2090</v>
      </c>
      <c r="AA129" s="43" t="s">
        <v>2091</v>
      </c>
      <c r="AB129" s="43" t="s">
        <v>2090</v>
      </c>
      <c r="AC129" s="43" t="s">
        <v>2090</v>
      </c>
      <c r="AD129" s="43">
        <v>0</v>
      </c>
      <c r="AE129" s="43">
        <v>0</v>
      </c>
      <c r="AF129" s="43">
        <v>0</v>
      </c>
      <c r="AG129" s="43">
        <v>0</v>
      </c>
      <c r="AH129" s="43">
        <v>0</v>
      </c>
      <c r="AI129" s="43">
        <v>0</v>
      </c>
      <c r="AJ129" s="43">
        <v>0</v>
      </c>
      <c r="AK129" s="43">
        <v>0</v>
      </c>
      <c r="AL129" s="43">
        <v>0</v>
      </c>
      <c r="AM129" s="43">
        <v>0</v>
      </c>
      <c r="AN129" s="43">
        <v>1</v>
      </c>
      <c r="AO129" s="43">
        <v>0</v>
      </c>
      <c r="AP129" s="43">
        <v>0</v>
      </c>
      <c r="AQ129" s="43">
        <v>0</v>
      </c>
      <c r="AR129" s="43">
        <v>0</v>
      </c>
      <c r="AS129" s="43">
        <v>0</v>
      </c>
      <c r="AT129" s="43">
        <v>0</v>
      </c>
      <c r="AU129" s="43">
        <v>0</v>
      </c>
      <c r="AV129" s="43">
        <v>0</v>
      </c>
      <c r="AW129" s="43">
        <v>0</v>
      </c>
      <c r="AX129" s="43">
        <v>0</v>
      </c>
      <c r="AY129" s="43">
        <v>0</v>
      </c>
      <c r="AZ129" s="43">
        <v>0</v>
      </c>
      <c r="BA129" s="43">
        <v>0</v>
      </c>
      <c r="BB129" s="43">
        <v>0</v>
      </c>
      <c r="BC129" s="43">
        <v>0</v>
      </c>
      <c r="BD129" s="43">
        <v>0</v>
      </c>
      <c r="BE129" s="43">
        <v>0</v>
      </c>
      <c r="BF129" s="43">
        <v>0</v>
      </c>
      <c r="BG129" s="43">
        <v>0</v>
      </c>
      <c r="BH129" s="43">
        <v>0</v>
      </c>
      <c r="BI129" s="43">
        <v>0</v>
      </c>
      <c r="BJ129" s="43" t="s">
        <v>2090</v>
      </c>
      <c r="BK129" s="43" t="s">
        <v>2090</v>
      </c>
      <c r="BL129" s="43" t="s">
        <v>2090</v>
      </c>
      <c r="BM129" s="43" t="s">
        <v>2090</v>
      </c>
      <c r="BN129" s="43" t="s">
        <v>2090</v>
      </c>
      <c r="BO129" s="43" t="s">
        <v>2090</v>
      </c>
      <c r="BP129" s="43" t="s">
        <v>2090</v>
      </c>
      <c r="BQ129" s="43" t="s">
        <v>2090</v>
      </c>
      <c r="BR129" s="43" t="s">
        <v>2091</v>
      </c>
      <c r="BS129" s="43" t="s">
        <v>2091</v>
      </c>
      <c r="BT129" s="43" t="s">
        <v>2090</v>
      </c>
      <c r="BU129" s="43" t="s">
        <v>2090</v>
      </c>
      <c r="BV129" s="43" t="s">
        <v>2090</v>
      </c>
      <c r="BW129" s="43" t="s">
        <v>2090</v>
      </c>
    </row>
    <row r="130" spans="1:75" ht="260.45" customHeight="1" x14ac:dyDescent="0.25">
      <c r="A130" s="38" t="s">
        <v>855</v>
      </c>
      <c r="B130" s="38" t="s">
        <v>1706</v>
      </c>
      <c r="C130" s="39" t="s">
        <v>856</v>
      </c>
      <c r="D130" s="40" t="s">
        <v>857</v>
      </c>
      <c r="E130" s="41">
        <v>54052.826869999997</v>
      </c>
      <c r="F130" s="41">
        <v>2665847.1993300002</v>
      </c>
      <c r="G130" s="41">
        <v>479935</v>
      </c>
      <c r="H130" s="41">
        <v>410611.4</v>
      </c>
      <c r="I130" s="42">
        <v>1.141911756228599</v>
      </c>
      <c r="J130" s="41">
        <v>40206.135320000001</v>
      </c>
      <c r="K130" s="41">
        <v>2182354.4873000002</v>
      </c>
      <c r="L130" s="41">
        <v>193550</v>
      </c>
      <c r="M130" s="41">
        <v>184688.1</v>
      </c>
      <c r="N130" s="42">
        <v>0.97464071099356298</v>
      </c>
      <c r="O130" s="41">
        <v>34693.567600000002</v>
      </c>
      <c r="P130" s="41">
        <v>2353152.5003399998</v>
      </c>
      <c r="Q130" s="41">
        <v>91825</v>
      </c>
      <c r="R130" s="41">
        <v>91544.9</v>
      </c>
      <c r="S130" s="42">
        <v>0.95587396351575449</v>
      </c>
      <c r="T130" s="41">
        <v>52730.542009999997</v>
      </c>
      <c r="U130" s="41">
        <v>2592117.0343499999</v>
      </c>
      <c r="V130" s="41">
        <v>297332</v>
      </c>
      <c r="W130" s="41">
        <v>269817.5</v>
      </c>
      <c r="X130" s="42">
        <v>1.0355089219493041</v>
      </c>
      <c r="Y130" s="43">
        <v>3</v>
      </c>
      <c r="Z130" s="43" t="s">
        <v>2090</v>
      </c>
      <c r="AA130" s="43" t="s">
        <v>2090</v>
      </c>
      <c r="AB130" s="43" t="s">
        <v>2090</v>
      </c>
      <c r="AC130" s="43" t="s">
        <v>2090</v>
      </c>
      <c r="AD130" s="43">
        <v>0</v>
      </c>
      <c r="AE130" s="43">
        <v>2</v>
      </c>
      <c r="AF130" s="43">
        <v>0</v>
      </c>
      <c r="AG130" s="43">
        <v>0</v>
      </c>
      <c r="AH130" s="43">
        <v>0</v>
      </c>
      <c r="AI130" s="43">
        <v>0</v>
      </c>
      <c r="AJ130" s="43">
        <v>0</v>
      </c>
      <c r="AK130" s="43">
        <v>0</v>
      </c>
      <c r="AL130" s="43">
        <v>0</v>
      </c>
      <c r="AM130" s="43">
        <v>0</v>
      </c>
      <c r="AN130" s="43">
        <v>0</v>
      </c>
      <c r="AO130" s="43">
        <v>0</v>
      </c>
      <c r="AP130" s="43">
        <v>0</v>
      </c>
      <c r="AQ130" s="43">
        <v>0</v>
      </c>
      <c r="AR130" s="43">
        <v>0</v>
      </c>
      <c r="AS130" s="43">
        <v>0</v>
      </c>
      <c r="AT130" s="43">
        <v>0</v>
      </c>
      <c r="AU130" s="43">
        <v>0</v>
      </c>
      <c r="AV130" s="43">
        <v>0</v>
      </c>
      <c r="AW130" s="43">
        <v>0</v>
      </c>
      <c r="AX130" s="43">
        <v>0</v>
      </c>
      <c r="AY130" s="43">
        <v>0</v>
      </c>
      <c r="AZ130" s="43">
        <v>0</v>
      </c>
      <c r="BA130" s="43">
        <v>0</v>
      </c>
      <c r="BB130" s="43">
        <v>0</v>
      </c>
      <c r="BC130" s="43">
        <v>0</v>
      </c>
      <c r="BD130" s="43">
        <v>1</v>
      </c>
      <c r="BE130" s="43">
        <v>0</v>
      </c>
      <c r="BF130" s="43">
        <v>0</v>
      </c>
      <c r="BG130" s="43">
        <v>0</v>
      </c>
      <c r="BH130" s="43">
        <v>0</v>
      </c>
      <c r="BI130" s="43">
        <v>0</v>
      </c>
      <c r="BJ130" s="43" t="s">
        <v>2090</v>
      </c>
      <c r="BK130" s="43" t="s">
        <v>2090</v>
      </c>
      <c r="BL130" s="43" t="s">
        <v>2090</v>
      </c>
      <c r="BM130" s="43" t="s">
        <v>2090</v>
      </c>
      <c r="BN130" s="43" t="s">
        <v>2090</v>
      </c>
      <c r="BO130" s="43" t="s">
        <v>2090</v>
      </c>
      <c r="BP130" s="43" t="s">
        <v>2090</v>
      </c>
      <c r="BQ130" s="43" t="s">
        <v>2090</v>
      </c>
      <c r="BR130" s="43" t="s">
        <v>2090</v>
      </c>
      <c r="BS130" s="43" t="s">
        <v>2090</v>
      </c>
      <c r="BT130" s="43" t="s">
        <v>2090</v>
      </c>
      <c r="BU130" s="43" t="s">
        <v>2090</v>
      </c>
      <c r="BV130" s="43" t="s">
        <v>2090</v>
      </c>
      <c r="BW130" s="43" t="s">
        <v>2090</v>
      </c>
    </row>
    <row r="131" spans="1:75" ht="145.69999999999999" customHeight="1" x14ac:dyDescent="0.25">
      <c r="A131" s="38" t="s">
        <v>858</v>
      </c>
      <c r="B131" s="38" t="s">
        <v>1707</v>
      </c>
      <c r="C131" s="39" t="s">
        <v>859</v>
      </c>
      <c r="D131" s="40" t="s">
        <v>860</v>
      </c>
      <c r="E131" s="41">
        <v>53051.844250000002</v>
      </c>
      <c r="F131" s="41">
        <v>2707117.2925</v>
      </c>
      <c r="G131" s="41">
        <v>465205.3</v>
      </c>
      <c r="H131" s="41">
        <v>408608.3</v>
      </c>
      <c r="I131" s="42">
        <v>1.1087749428991307</v>
      </c>
      <c r="J131" s="41">
        <v>13489.64241</v>
      </c>
      <c r="K131" s="41">
        <v>1275243.8792900001</v>
      </c>
      <c r="L131" s="41">
        <v>167144.9</v>
      </c>
      <c r="M131" s="41">
        <v>280140.90000000002</v>
      </c>
      <c r="N131" s="42">
        <v>0.56870134135840278</v>
      </c>
      <c r="O131" s="41">
        <v>5170.2874599999996</v>
      </c>
      <c r="P131" s="41">
        <v>854594.91156000004</v>
      </c>
      <c r="Q131" s="41">
        <v>196259.1</v>
      </c>
      <c r="R131" s="41">
        <v>431059.5</v>
      </c>
      <c r="S131" s="42">
        <v>0.42749532416727348</v>
      </c>
      <c r="T131" s="41">
        <v>41637.273029999997</v>
      </c>
      <c r="U131" s="41">
        <v>2354447.7881900002</v>
      </c>
      <c r="V131" s="41">
        <v>179121.4</v>
      </c>
      <c r="W131" s="41">
        <v>164053.6</v>
      </c>
      <c r="X131" s="42">
        <v>0.98332522703679781</v>
      </c>
      <c r="Y131" s="43">
        <v>2</v>
      </c>
      <c r="Z131" s="43" t="s">
        <v>2090</v>
      </c>
      <c r="AA131" s="43" t="s">
        <v>2091</v>
      </c>
      <c r="AB131" s="43" t="s">
        <v>2090</v>
      </c>
      <c r="AC131" s="43" t="s">
        <v>2090</v>
      </c>
      <c r="AD131" s="43">
        <v>0</v>
      </c>
      <c r="AE131" s="43">
        <v>0</v>
      </c>
      <c r="AF131" s="43">
        <v>0</v>
      </c>
      <c r="AG131" s="43">
        <v>0</v>
      </c>
      <c r="AH131" s="43">
        <v>0</v>
      </c>
      <c r="AI131" s="43">
        <v>0</v>
      </c>
      <c r="AJ131" s="43">
        <v>0</v>
      </c>
      <c r="AK131" s="43">
        <v>1</v>
      </c>
      <c r="AL131" s="43">
        <v>0</v>
      </c>
      <c r="AM131" s="43">
        <v>0</v>
      </c>
      <c r="AN131" s="43">
        <v>0</v>
      </c>
      <c r="AO131" s="43">
        <v>0</v>
      </c>
      <c r="AP131" s="43">
        <v>0</v>
      </c>
      <c r="AQ131" s="43">
        <v>0</v>
      </c>
      <c r="AR131" s="43">
        <v>0</v>
      </c>
      <c r="AS131" s="43">
        <v>0</v>
      </c>
      <c r="AT131" s="43">
        <v>0</v>
      </c>
      <c r="AU131" s="43">
        <v>0</v>
      </c>
      <c r="AV131" s="43">
        <v>0</v>
      </c>
      <c r="AW131" s="43">
        <v>0</v>
      </c>
      <c r="AX131" s="43">
        <v>0</v>
      </c>
      <c r="AY131" s="43">
        <v>0</v>
      </c>
      <c r="AZ131" s="43">
        <v>0</v>
      </c>
      <c r="BA131" s="43">
        <v>0</v>
      </c>
      <c r="BB131" s="43">
        <v>0</v>
      </c>
      <c r="BC131" s="43">
        <v>0</v>
      </c>
      <c r="BD131" s="43">
        <v>0</v>
      </c>
      <c r="BE131" s="43">
        <v>0</v>
      </c>
      <c r="BF131" s="43">
        <v>0</v>
      </c>
      <c r="BG131" s="43">
        <v>0</v>
      </c>
      <c r="BH131" s="43">
        <v>0</v>
      </c>
      <c r="BI131" s="43">
        <v>0</v>
      </c>
      <c r="BJ131" s="43" t="s">
        <v>2091</v>
      </c>
      <c r="BK131" s="43" t="s">
        <v>2090</v>
      </c>
      <c r="BL131" s="43" t="s">
        <v>2090</v>
      </c>
      <c r="BM131" s="43" t="s">
        <v>2090</v>
      </c>
      <c r="BN131" s="43" t="s">
        <v>2090</v>
      </c>
      <c r="BO131" s="43" t="s">
        <v>2090</v>
      </c>
      <c r="BP131" s="43" t="s">
        <v>2090</v>
      </c>
      <c r="BQ131" s="43" t="s">
        <v>2090</v>
      </c>
      <c r="BR131" s="43" t="s">
        <v>2091</v>
      </c>
      <c r="BS131" s="43" t="s">
        <v>2091</v>
      </c>
      <c r="BT131" s="43" t="s">
        <v>2090</v>
      </c>
      <c r="BU131" s="43" t="s">
        <v>2090</v>
      </c>
      <c r="BV131" s="43" t="s">
        <v>2090</v>
      </c>
      <c r="BW131" s="43" t="s">
        <v>2090</v>
      </c>
    </row>
    <row r="132" spans="1:75" ht="236.45" customHeight="1" x14ac:dyDescent="0.25">
      <c r="A132" s="38" t="s">
        <v>861</v>
      </c>
      <c r="B132" s="38" t="s">
        <v>1708</v>
      </c>
      <c r="C132" s="39" t="s">
        <v>862</v>
      </c>
      <c r="D132" s="40" t="s">
        <v>863</v>
      </c>
      <c r="E132" s="41">
        <v>55033.892079999998</v>
      </c>
      <c r="F132" s="41">
        <v>2760812.39964</v>
      </c>
      <c r="G132" s="41">
        <v>86470.5</v>
      </c>
      <c r="H132" s="41">
        <v>69527.5</v>
      </c>
      <c r="I132" s="42">
        <v>1.1949922089087099</v>
      </c>
      <c r="J132" s="41">
        <v>0</v>
      </c>
      <c r="K132" s="41">
        <v>101483.52387</v>
      </c>
      <c r="L132" s="41">
        <v>41829.300000000003</v>
      </c>
      <c r="M132" s="41">
        <v>181062.1</v>
      </c>
      <c r="N132" s="42">
        <v>0.21777226757306437</v>
      </c>
      <c r="O132" s="41">
        <v>1971.2714900000001</v>
      </c>
      <c r="P132" s="41">
        <v>415209.22209</v>
      </c>
      <c r="Q132" s="41">
        <v>36228.199999999997</v>
      </c>
      <c r="R132" s="41">
        <v>104748.8</v>
      </c>
      <c r="S132" s="42">
        <v>0.3351099022274498</v>
      </c>
      <c r="T132" s="41">
        <v>4258.5440200000003</v>
      </c>
      <c r="U132" s="41">
        <v>675615.38612000004</v>
      </c>
      <c r="V132" s="41">
        <v>33194</v>
      </c>
      <c r="W132" s="41">
        <v>112674.7</v>
      </c>
      <c r="X132" s="42">
        <v>0.28133786185024406</v>
      </c>
      <c r="Y132" s="43">
        <v>2</v>
      </c>
      <c r="Z132" s="43" t="s">
        <v>2090</v>
      </c>
      <c r="AA132" s="43" t="s">
        <v>2090</v>
      </c>
      <c r="AB132" s="43" t="s">
        <v>2091</v>
      </c>
      <c r="AC132" s="43" t="s">
        <v>2090</v>
      </c>
      <c r="AD132" s="43">
        <v>0</v>
      </c>
      <c r="AE132" s="43">
        <v>0</v>
      </c>
      <c r="AF132" s="43">
        <v>0</v>
      </c>
      <c r="AG132" s="43">
        <v>0</v>
      </c>
      <c r="AH132" s="43">
        <v>0</v>
      </c>
      <c r="AI132" s="43">
        <v>0</v>
      </c>
      <c r="AJ132" s="43">
        <v>0</v>
      </c>
      <c r="AK132" s="43">
        <v>0</v>
      </c>
      <c r="AL132" s="43">
        <v>0</v>
      </c>
      <c r="AM132" s="43">
        <v>0</v>
      </c>
      <c r="AN132" s="43">
        <v>0</v>
      </c>
      <c r="AO132" s="43">
        <v>0</v>
      </c>
      <c r="AP132" s="43">
        <v>0</v>
      </c>
      <c r="AQ132" s="43">
        <v>0</v>
      </c>
      <c r="AR132" s="43">
        <v>0</v>
      </c>
      <c r="AS132" s="43">
        <v>0</v>
      </c>
      <c r="AT132" s="43">
        <v>0</v>
      </c>
      <c r="AU132" s="43">
        <v>0</v>
      </c>
      <c r="AV132" s="43">
        <v>0</v>
      </c>
      <c r="AW132" s="43">
        <v>0</v>
      </c>
      <c r="AX132" s="43">
        <v>0</v>
      </c>
      <c r="AY132" s="43">
        <v>0</v>
      </c>
      <c r="AZ132" s="43">
        <v>0</v>
      </c>
      <c r="BA132" s="43">
        <v>0</v>
      </c>
      <c r="BB132" s="43">
        <v>1</v>
      </c>
      <c r="BC132" s="43">
        <v>0</v>
      </c>
      <c r="BD132" s="43">
        <v>0</v>
      </c>
      <c r="BE132" s="43">
        <v>0</v>
      </c>
      <c r="BF132" s="43">
        <v>0</v>
      </c>
      <c r="BG132" s="43">
        <v>0</v>
      </c>
      <c r="BH132" s="43">
        <v>0</v>
      </c>
      <c r="BI132" s="43">
        <v>0</v>
      </c>
      <c r="BJ132" s="43" t="s">
        <v>2090</v>
      </c>
      <c r="BK132" s="43" t="s">
        <v>2090</v>
      </c>
      <c r="BL132" s="43" t="s">
        <v>2090</v>
      </c>
      <c r="BM132" s="43" t="s">
        <v>2090</v>
      </c>
      <c r="BN132" s="43" t="s">
        <v>2090</v>
      </c>
      <c r="BO132" s="43" t="s">
        <v>2090</v>
      </c>
      <c r="BP132" s="43" t="s">
        <v>2090</v>
      </c>
      <c r="BQ132" s="43" t="s">
        <v>2090</v>
      </c>
      <c r="BR132" s="43" t="s">
        <v>2090</v>
      </c>
      <c r="BS132" s="43" t="s">
        <v>2090</v>
      </c>
      <c r="BT132" s="43" t="s">
        <v>2090</v>
      </c>
      <c r="BU132" s="43" t="s">
        <v>2090</v>
      </c>
      <c r="BV132" s="43" t="s">
        <v>2090</v>
      </c>
      <c r="BW132" s="43" t="s">
        <v>2090</v>
      </c>
    </row>
    <row r="133" spans="1:75" ht="265.7" customHeight="1" x14ac:dyDescent="0.25">
      <c r="A133" s="38" t="s">
        <v>864</v>
      </c>
      <c r="B133" s="38" t="s">
        <v>1709</v>
      </c>
      <c r="C133" s="39" t="s">
        <v>865</v>
      </c>
      <c r="D133" s="40" t="s">
        <v>866</v>
      </c>
      <c r="E133" s="41">
        <v>51062.617140000002</v>
      </c>
      <c r="F133" s="41">
        <v>2585323.3849499999</v>
      </c>
      <c r="G133" s="41">
        <v>171120.7</v>
      </c>
      <c r="H133" s="41">
        <v>136391.1</v>
      </c>
      <c r="I133" s="42">
        <v>1.209748566387296</v>
      </c>
      <c r="J133" s="41">
        <v>19948.56637</v>
      </c>
      <c r="K133" s="41">
        <v>1562296.7383900001</v>
      </c>
      <c r="L133" s="41">
        <v>27809.599999999999</v>
      </c>
      <c r="M133" s="41">
        <v>41955.199999999997</v>
      </c>
      <c r="N133" s="42">
        <v>0.62504083390253307</v>
      </c>
      <c r="O133" s="41">
        <v>2060.5743900000002</v>
      </c>
      <c r="P133" s="41">
        <v>312017.28242</v>
      </c>
      <c r="Q133" s="41">
        <v>15067.1</v>
      </c>
      <c r="R133" s="41">
        <v>117382.9</v>
      </c>
      <c r="S133" s="42">
        <v>0.12397857322089002</v>
      </c>
      <c r="T133" s="41">
        <v>49331.928590000003</v>
      </c>
      <c r="U133" s="41">
        <v>2488752.3102600002</v>
      </c>
      <c r="V133" s="41">
        <v>137902.29999999999</v>
      </c>
      <c r="W133" s="41">
        <v>104292.6</v>
      </c>
      <c r="X133" s="42">
        <v>1.1689145934968324</v>
      </c>
      <c r="Y133" s="43">
        <v>4</v>
      </c>
      <c r="Z133" s="43" t="s">
        <v>2091</v>
      </c>
      <c r="AA133" s="43" t="s">
        <v>2091</v>
      </c>
      <c r="AB133" s="43" t="s">
        <v>2090</v>
      </c>
      <c r="AC133" s="43" t="s">
        <v>2090</v>
      </c>
      <c r="AD133" s="43">
        <v>0</v>
      </c>
      <c r="AE133" s="43">
        <v>0</v>
      </c>
      <c r="AF133" s="43">
        <v>0</v>
      </c>
      <c r="AG133" s="43">
        <v>0</v>
      </c>
      <c r="AH133" s="43">
        <v>0</v>
      </c>
      <c r="AI133" s="43">
        <v>0</v>
      </c>
      <c r="AJ133" s="43">
        <v>0</v>
      </c>
      <c r="AK133" s="43">
        <v>1</v>
      </c>
      <c r="AL133" s="43">
        <v>0</v>
      </c>
      <c r="AM133" s="43">
        <v>0</v>
      </c>
      <c r="AN133" s="43">
        <v>0</v>
      </c>
      <c r="AO133" s="43">
        <v>0</v>
      </c>
      <c r="AP133" s="43">
        <v>0</v>
      </c>
      <c r="AQ133" s="43">
        <v>0</v>
      </c>
      <c r="AR133" s="43">
        <v>0</v>
      </c>
      <c r="AS133" s="43">
        <v>1</v>
      </c>
      <c r="AT133" s="43">
        <v>0</v>
      </c>
      <c r="AU133" s="43">
        <v>0</v>
      </c>
      <c r="AV133" s="43">
        <v>0</v>
      </c>
      <c r="AW133" s="43">
        <v>0</v>
      </c>
      <c r="AX133" s="43">
        <v>0</v>
      </c>
      <c r="AY133" s="43">
        <v>0</v>
      </c>
      <c r="AZ133" s="43">
        <v>0</v>
      </c>
      <c r="BA133" s="43">
        <v>0</v>
      </c>
      <c r="BB133" s="43">
        <v>0</v>
      </c>
      <c r="BC133" s="43">
        <v>0</v>
      </c>
      <c r="BD133" s="43">
        <v>0</v>
      </c>
      <c r="BE133" s="43">
        <v>0</v>
      </c>
      <c r="BF133" s="43">
        <v>0</v>
      </c>
      <c r="BG133" s="43">
        <v>0</v>
      </c>
      <c r="BH133" s="43">
        <v>0</v>
      </c>
      <c r="BI133" s="43">
        <v>0</v>
      </c>
      <c r="BJ133" s="43" t="s">
        <v>2090</v>
      </c>
      <c r="BK133" s="43" t="s">
        <v>2091</v>
      </c>
      <c r="BL133" s="43" t="s">
        <v>2090</v>
      </c>
      <c r="BM133" s="43" t="s">
        <v>2090</v>
      </c>
      <c r="BN133" s="43" t="s">
        <v>2090</v>
      </c>
      <c r="BO133" s="43" t="s">
        <v>2090</v>
      </c>
      <c r="BP133" s="43" t="s">
        <v>2090</v>
      </c>
      <c r="BQ133" s="43" t="s">
        <v>2090</v>
      </c>
      <c r="BR133" s="43" t="s">
        <v>2091</v>
      </c>
      <c r="BS133" s="43" t="s">
        <v>2090</v>
      </c>
      <c r="BT133" s="43" t="s">
        <v>2091</v>
      </c>
      <c r="BU133" s="43" t="s">
        <v>2090</v>
      </c>
      <c r="BV133" s="43" t="s">
        <v>2090</v>
      </c>
      <c r="BW133" s="43" t="s">
        <v>2090</v>
      </c>
    </row>
    <row r="134" spans="1:75" ht="114.95" customHeight="1" x14ac:dyDescent="0.25">
      <c r="A134" s="38" t="s">
        <v>867</v>
      </c>
      <c r="B134" s="38" t="s">
        <v>1710</v>
      </c>
      <c r="C134" s="39" t="s">
        <v>868</v>
      </c>
      <c r="D134" s="40" t="s">
        <v>869</v>
      </c>
      <c r="E134" s="41">
        <v>66394.584189999994</v>
      </c>
      <c r="F134" s="41">
        <v>3010836.5620300001</v>
      </c>
      <c r="G134" s="41">
        <v>513260.6</v>
      </c>
      <c r="H134" s="41">
        <v>409622.1</v>
      </c>
      <c r="I134" s="42">
        <v>1.241918160369053</v>
      </c>
      <c r="J134" s="41">
        <v>2981.3759799999998</v>
      </c>
      <c r="K134" s="41">
        <v>443821.79327999998</v>
      </c>
      <c r="L134" s="41">
        <v>187405.5</v>
      </c>
      <c r="M134" s="41">
        <v>400254.2</v>
      </c>
      <c r="N134" s="42">
        <v>0.43586873004057919</v>
      </c>
      <c r="O134" s="41">
        <v>0</v>
      </c>
      <c r="P134" s="41">
        <v>57514.055370000002</v>
      </c>
      <c r="Q134" s="41">
        <v>204472.4</v>
      </c>
      <c r="R134" s="41">
        <v>293002.5</v>
      </c>
      <c r="S134" s="42">
        <v>0.66289161331599522</v>
      </c>
      <c r="T134" s="41">
        <v>6585.2471400000004</v>
      </c>
      <c r="U134" s="41">
        <v>784505.54686999996</v>
      </c>
      <c r="V134" s="41">
        <v>194505.1</v>
      </c>
      <c r="W134" s="41">
        <v>345685.5</v>
      </c>
      <c r="X134" s="42">
        <v>0.52537827531061632</v>
      </c>
      <c r="Y134" s="43">
        <v>2</v>
      </c>
      <c r="Z134" s="43" t="s">
        <v>2090</v>
      </c>
      <c r="AA134" s="43" t="s">
        <v>2091</v>
      </c>
      <c r="AB134" s="43" t="s">
        <v>2090</v>
      </c>
      <c r="AC134" s="43" t="s">
        <v>2090</v>
      </c>
      <c r="AD134" s="43">
        <v>0</v>
      </c>
      <c r="AE134" s="43">
        <v>0</v>
      </c>
      <c r="AF134" s="43">
        <v>0</v>
      </c>
      <c r="AG134" s="43">
        <v>0</v>
      </c>
      <c r="AH134" s="43">
        <v>0</v>
      </c>
      <c r="AI134" s="43">
        <v>1</v>
      </c>
      <c r="AJ134" s="43">
        <v>0</v>
      </c>
      <c r="AK134" s="43">
        <v>0</v>
      </c>
      <c r="AL134" s="43">
        <v>0</v>
      </c>
      <c r="AM134" s="43">
        <v>0</v>
      </c>
      <c r="AN134" s="43">
        <v>0</v>
      </c>
      <c r="AO134" s="43">
        <v>0</v>
      </c>
      <c r="AP134" s="43">
        <v>0</v>
      </c>
      <c r="AQ134" s="43">
        <v>0</v>
      </c>
      <c r="AR134" s="43">
        <v>0</v>
      </c>
      <c r="AS134" s="43">
        <v>0</v>
      </c>
      <c r="AT134" s="43">
        <v>0</v>
      </c>
      <c r="AU134" s="43">
        <v>0</v>
      </c>
      <c r="AV134" s="43">
        <v>0</v>
      </c>
      <c r="AW134" s="43">
        <v>0</v>
      </c>
      <c r="AX134" s="43">
        <v>0</v>
      </c>
      <c r="AY134" s="43">
        <v>0</v>
      </c>
      <c r="AZ134" s="43">
        <v>0</v>
      </c>
      <c r="BA134" s="43">
        <v>0</v>
      </c>
      <c r="BB134" s="43">
        <v>0</v>
      </c>
      <c r="BC134" s="43">
        <v>0</v>
      </c>
      <c r="BD134" s="43">
        <v>0</v>
      </c>
      <c r="BE134" s="43">
        <v>0</v>
      </c>
      <c r="BF134" s="43">
        <v>0</v>
      </c>
      <c r="BG134" s="43">
        <v>0</v>
      </c>
      <c r="BH134" s="43">
        <v>0</v>
      </c>
      <c r="BI134" s="43">
        <v>0</v>
      </c>
      <c r="BJ134" s="43" t="s">
        <v>2090</v>
      </c>
      <c r="BK134" s="43" t="s">
        <v>2090</v>
      </c>
      <c r="BL134" s="43" t="s">
        <v>2090</v>
      </c>
      <c r="BM134" s="43" t="s">
        <v>2090</v>
      </c>
      <c r="BN134" s="43" t="s">
        <v>2090</v>
      </c>
      <c r="BO134" s="43" t="s">
        <v>2090</v>
      </c>
      <c r="BP134" s="43" t="s">
        <v>2090</v>
      </c>
      <c r="BQ134" s="43" t="s">
        <v>2090</v>
      </c>
      <c r="BR134" s="43" t="s">
        <v>2091</v>
      </c>
      <c r="BS134" s="43" t="s">
        <v>2090</v>
      </c>
      <c r="BT134" s="43" t="s">
        <v>2091</v>
      </c>
      <c r="BU134" s="43" t="s">
        <v>2090</v>
      </c>
      <c r="BV134" s="43" t="s">
        <v>2091</v>
      </c>
      <c r="BW134" s="43" t="s">
        <v>2090</v>
      </c>
    </row>
    <row r="135" spans="1:75" ht="213.95" customHeight="1" x14ac:dyDescent="0.25">
      <c r="A135" s="38" t="s">
        <v>870</v>
      </c>
      <c r="B135" s="38" t="s">
        <v>1711</v>
      </c>
      <c r="C135" s="39" t="s">
        <v>871</v>
      </c>
      <c r="D135" s="40" t="s">
        <v>872</v>
      </c>
      <c r="E135" s="41">
        <v>64280.022969999998</v>
      </c>
      <c r="F135" s="41">
        <v>2902351.3880500002</v>
      </c>
      <c r="G135" s="41">
        <v>447843.7</v>
      </c>
      <c r="H135" s="41">
        <v>423659</v>
      </c>
      <c r="I135" s="42">
        <v>1.030356969665851</v>
      </c>
      <c r="J135" s="41">
        <v>0</v>
      </c>
      <c r="K135" s="41">
        <v>0</v>
      </c>
      <c r="L135" s="41">
        <v>66520.899999999994</v>
      </c>
      <c r="M135" s="41">
        <v>305147.7</v>
      </c>
      <c r="N135" s="42">
        <v>0.20274469801205103</v>
      </c>
      <c r="O135" s="41">
        <v>21173.93778</v>
      </c>
      <c r="P135" s="41">
        <v>1831070.13689</v>
      </c>
      <c r="Q135" s="41">
        <v>162034.9</v>
      </c>
      <c r="R135" s="41">
        <v>227896.3</v>
      </c>
      <c r="S135" s="42">
        <v>0.67073373040718798</v>
      </c>
      <c r="T135" s="41">
        <v>3202.4190600000002</v>
      </c>
      <c r="U135" s="41">
        <v>500735.84360999998</v>
      </c>
      <c r="V135" s="41">
        <v>77887</v>
      </c>
      <c r="W135" s="41">
        <v>225915.1</v>
      </c>
      <c r="X135" s="42">
        <v>0.31218114868756686</v>
      </c>
      <c r="Y135" s="43">
        <v>3</v>
      </c>
      <c r="Z135" s="43" t="s">
        <v>2090</v>
      </c>
      <c r="AA135" s="43" t="s">
        <v>2090</v>
      </c>
      <c r="AB135" s="43" t="s">
        <v>2090</v>
      </c>
      <c r="AC135" s="43" t="s">
        <v>2090</v>
      </c>
      <c r="AD135" s="43">
        <v>0</v>
      </c>
      <c r="AE135" s="43">
        <v>0</v>
      </c>
      <c r="AF135" s="43">
        <v>0</v>
      </c>
      <c r="AG135" s="43">
        <v>0</v>
      </c>
      <c r="AH135" s="43">
        <v>0</v>
      </c>
      <c r="AI135" s="43">
        <v>0</v>
      </c>
      <c r="AJ135" s="43">
        <v>0</v>
      </c>
      <c r="AK135" s="43">
        <v>0</v>
      </c>
      <c r="AL135" s="43">
        <v>0</v>
      </c>
      <c r="AM135" s="43">
        <v>0</v>
      </c>
      <c r="AN135" s="43">
        <v>0</v>
      </c>
      <c r="AO135" s="43">
        <v>0</v>
      </c>
      <c r="AP135" s="43">
        <v>0</v>
      </c>
      <c r="AQ135" s="43">
        <v>0</v>
      </c>
      <c r="AR135" s="43">
        <v>2</v>
      </c>
      <c r="AS135" s="43">
        <v>0</v>
      </c>
      <c r="AT135" s="43">
        <v>0</v>
      </c>
      <c r="AU135" s="43">
        <v>0</v>
      </c>
      <c r="AV135" s="43">
        <v>0</v>
      </c>
      <c r="AW135" s="43">
        <v>1</v>
      </c>
      <c r="AX135" s="43">
        <v>0</v>
      </c>
      <c r="AY135" s="43">
        <v>0</v>
      </c>
      <c r="AZ135" s="43">
        <v>0</v>
      </c>
      <c r="BA135" s="43">
        <v>0</v>
      </c>
      <c r="BB135" s="43">
        <v>0</v>
      </c>
      <c r="BC135" s="43">
        <v>0</v>
      </c>
      <c r="BD135" s="43">
        <v>0</v>
      </c>
      <c r="BE135" s="43">
        <v>0</v>
      </c>
      <c r="BF135" s="43">
        <v>0</v>
      </c>
      <c r="BG135" s="43">
        <v>0</v>
      </c>
      <c r="BH135" s="43">
        <v>0</v>
      </c>
      <c r="BI135" s="43">
        <v>0</v>
      </c>
      <c r="BJ135" s="43" t="s">
        <v>2090</v>
      </c>
      <c r="BK135" s="43" t="s">
        <v>2090</v>
      </c>
      <c r="BL135" s="43" t="s">
        <v>2090</v>
      </c>
      <c r="BM135" s="43" t="s">
        <v>2090</v>
      </c>
      <c r="BN135" s="43" t="s">
        <v>2090</v>
      </c>
      <c r="BO135" s="43" t="s">
        <v>2090</v>
      </c>
      <c r="BP135" s="43" t="s">
        <v>2090</v>
      </c>
      <c r="BQ135" s="43" t="s">
        <v>2090</v>
      </c>
      <c r="BR135" s="43" t="s">
        <v>2090</v>
      </c>
      <c r="BS135" s="43" t="s">
        <v>2090</v>
      </c>
      <c r="BT135" s="43" t="s">
        <v>2090</v>
      </c>
      <c r="BU135" s="43" t="s">
        <v>2090</v>
      </c>
      <c r="BV135" s="43" t="s">
        <v>2090</v>
      </c>
      <c r="BW135" s="43" t="s">
        <v>2090</v>
      </c>
    </row>
    <row r="136" spans="1:75" ht="126.95" customHeight="1" x14ac:dyDescent="0.25">
      <c r="A136" s="38" t="s">
        <v>873</v>
      </c>
      <c r="B136" s="38" t="s">
        <v>1712</v>
      </c>
      <c r="C136" s="39" t="s">
        <v>874</v>
      </c>
      <c r="D136" s="40" t="s">
        <v>875</v>
      </c>
      <c r="E136" s="41">
        <v>4236.7097100000001</v>
      </c>
      <c r="F136" s="41">
        <v>276040.64419000002</v>
      </c>
      <c r="G136" s="41">
        <v>39928.699999999997</v>
      </c>
      <c r="H136" s="41">
        <v>97216.1</v>
      </c>
      <c r="I136" s="42">
        <v>0.39274247942803187</v>
      </c>
      <c r="J136" s="41">
        <v>0</v>
      </c>
      <c r="K136" s="41">
        <v>6586.6730100000004</v>
      </c>
      <c r="L136" s="41">
        <v>142014.1</v>
      </c>
      <c r="M136" s="41">
        <v>445481.9</v>
      </c>
      <c r="N136" s="42">
        <v>0.28520058199958426</v>
      </c>
      <c r="O136" s="41">
        <v>0</v>
      </c>
      <c r="P136" s="41">
        <v>124529.17660000001</v>
      </c>
      <c r="Q136" s="41">
        <v>142591.20000000001</v>
      </c>
      <c r="R136" s="41">
        <v>322246.59999999998</v>
      </c>
      <c r="S136" s="42">
        <v>0.41264800757180664</v>
      </c>
      <c r="T136" s="41">
        <v>3261.6891300000002</v>
      </c>
      <c r="U136" s="41">
        <v>525570.52797000005</v>
      </c>
      <c r="V136" s="41">
        <v>219498.1</v>
      </c>
      <c r="W136" s="41">
        <v>566331.6</v>
      </c>
      <c r="X136" s="42">
        <v>0.34925980023671727</v>
      </c>
      <c r="Y136" s="43">
        <v>3</v>
      </c>
      <c r="Z136" s="43" t="s">
        <v>2090</v>
      </c>
      <c r="AA136" s="43" t="s">
        <v>2090</v>
      </c>
      <c r="AB136" s="43" t="s">
        <v>2090</v>
      </c>
      <c r="AC136" s="43" t="s">
        <v>2090</v>
      </c>
      <c r="AD136" s="43">
        <v>0</v>
      </c>
      <c r="AE136" s="43">
        <v>0</v>
      </c>
      <c r="AF136" s="43">
        <v>0</v>
      </c>
      <c r="AG136" s="43">
        <v>0</v>
      </c>
      <c r="AH136" s="43">
        <v>0</v>
      </c>
      <c r="AI136" s="43">
        <v>0</v>
      </c>
      <c r="AJ136" s="43">
        <v>0</v>
      </c>
      <c r="AK136" s="43">
        <v>1</v>
      </c>
      <c r="AL136" s="43">
        <v>0</v>
      </c>
      <c r="AM136" s="43">
        <v>0</v>
      </c>
      <c r="AN136" s="43">
        <v>0</v>
      </c>
      <c r="AO136" s="43">
        <v>0</v>
      </c>
      <c r="AP136" s="43">
        <v>0</v>
      </c>
      <c r="AQ136" s="43">
        <v>0</v>
      </c>
      <c r="AR136" s="43">
        <v>0</v>
      </c>
      <c r="AS136" s="43">
        <v>0</v>
      </c>
      <c r="AT136" s="43">
        <v>0</v>
      </c>
      <c r="AU136" s="43">
        <v>0</v>
      </c>
      <c r="AV136" s="43">
        <v>0</v>
      </c>
      <c r="AW136" s="43">
        <v>0</v>
      </c>
      <c r="AX136" s="43">
        <v>0</v>
      </c>
      <c r="AY136" s="43">
        <v>0</v>
      </c>
      <c r="AZ136" s="43">
        <v>0</v>
      </c>
      <c r="BA136" s="43">
        <v>0</v>
      </c>
      <c r="BB136" s="43">
        <v>0</v>
      </c>
      <c r="BC136" s="43">
        <v>0</v>
      </c>
      <c r="BD136" s="43">
        <v>0</v>
      </c>
      <c r="BE136" s="43">
        <v>0</v>
      </c>
      <c r="BF136" s="43">
        <v>0</v>
      </c>
      <c r="BG136" s="43">
        <v>0</v>
      </c>
      <c r="BH136" s="43">
        <v>0</v>
      </c>
      <c r="BI136" s="43">
        <v>0</v>
      </c>
      <c r="BJ136" s="43" t="s">
        <v>2091</v>
      </c>
      <c r="BK136" s="43" t="s">
        <v>2090</v>
      </c>
      <c r="BL136" s="43" t="s">
        <v>2090</v>
      </c>
      <c r="BM136" s="43" t="s">
        <v>2090</v>
      </c>
      <c r="BN136" s="43" t="s">
        <v>2090</v>
      </c>
      <c r="BO136" s="43" t="s">
        <v>2091</v>
      </c>
      <c r="BP136" s="43" t="s">
        <v>2090</v>
      </c>
      <c r="BQ136" s="43" t="s">
        <v>2091</v>
      </c>
      <c r="BR136" s="43" t="s">
        <v>2091</v>
      </c>
      <c r="BS136" s="43" t="s">
        <v>2090</v>
      </c>
      <c r="BT136" s="43" t="s">
        <v>2090</v>
      </c>
      <c r="BU136" s="43" t="s">
        <v>2090</v>
      </c>
      <c r="BV136" s="43" t="s">
        <v>2090</v>
      </c>
      <c r="BW136" s="43" t="s">
        <v>2090</v>
      </c>
    </row>
    <row r="137" spans="1:75" ht="185.45" customHeight="1" x14ac:dyDescent="0.25">
      <c r="A137" s="38" t="s">
        <v>876</v>
      </c>
      <c r="B137" s="38" t="s">
        <v>1713</v>
      </c>
      <c r="C137" s="39" t="s">
        <v>877</v>
      </c>
      <c r="D137" s="40" t="s">
        <v>878</v>
      </c>
      <c r="E137" s="41">
        <v>41543.145279999997</v>
      </c>
      <c r="F137" s="41">
        <v>2370276.6955300001</v>
      </c>
      <c r="G137" s="41">
        <v>490529.8</v>
      </c>
      <c r="H137" s="41">
        <v>467742</v>
      </c>
      <c r="I137" s="42">
        <v>1.0170930999064862</v>
      </c>
      <c r="J137" s="41">
        <v>1041.3774100000001</v>
      </c>
      <c r="K137" s="41">
        <v>160518.41367000001</v>
      </c>
      <c r="L137" s="41">
        <v>132492.5</v>
      </c>
      <c r="M137" s="41">
        <v>459411</v>
      </c>
      <c r="N137" s="42">
        <v>0.25858249419054996</v>
      </c>
      <c r="O137" s="41">
        <v>9398.5437399999992</v>
      </c>
      <c r="P137" s="41">
        <v>1372167.79223</v>
      </c>
      <c r="Q137" s="41">
        <v>332313.2</v>
      </c>
      <c r="R137" s="41">
        <v>512486.6</v>
      </c>
      <c r="S137" s="42">
        <v>0.60759452098498412</v>
      </c>
      <c r="T137" s="41">
        <v>4484.4499500000002</v>
      </c>
      <c r="U137" s="41">
        <v>500718.51909999998</v>
      </c>
      <c r="V137" s="41">
        <v>332291.59999999998</v>
      </c>
      <c r="W137" s="41">
        <v>619781.30000000005</v>
      </c>
      <c r="X137" s="42">
        <v>0.48982206621532492</v>
      </c>
      <c r="Y137" s="43">
        <v>2</v>
      </c>
      <c r="Z137" s="43" t="s">
        <v>2090</v>
      </c>
      <c r="AA137" s="43" t="s">
        <v>2090</v>
      </c>
      <c r="AB137" s="43" t="s">
        <v>2090</v>
      </c>
      <c r="AC137" s="43" t="s">
        <v>2090</v>
      </c>
      <c r="AD137" s="43">
        <v>0</v>
      </c>
      <c r="AE137" s="43">
        <v>0</v>
      </c>
      <c r="AF137" s="43">
        <v>0</v>
      </c>
      <c r="AG137" s="43">
        <v>0</v>
      </c>
      <c r="AH137" s="43">
        <v>0</v>
      </c>
      <c r="AI137" s="43">
        <v>0</v>
      </c>
      <c r="AJ137" s="43">
        <v>0</v>
      </c>
      <c r="AK137" s="43">
        <v>0</v>
      </c>
      <c r="AL137" s="43">
        <v>0</v>
      </c>
      <c r="AM137" s="43">
        <v>0</v>
      </c>
      <c r="AN137" s="43">
        <v>0</v>
      </c>
      <c r="AO137" s="43">
        <v>0</v>
      </c>
      <c r="AP137" s="43">
        <v>0</v>
      </c>
      <c r="AQ137" s="43">
        <v>0</v>
      </c>
      <c r="AR137" s="43">
        <v>1</v>
      </c>
      <c r="AS137" s="43">
        <v>0</v>
      </c>
      <c r="AT137" s="43">
        <v>0</v>
      </c>
      <c r="AU137" s="43">
        <v>0</v>
      </c>
      <c r="AV137" s="43">
        <v>0</v>
      </c>
      <c r="AW137" s="43">
        <v>1</v>
      </c>
      <c r="AX137" s="43">
        <v>0</v>
      </c>
      <c r="AY137" s="43">
        <v>0</v>
      </c>
      <c r="AZ137" s="43">
        <v>0</v>
      </c>
      <c r="BA137" s="43">
        <v>0</v>
      </c>
      <c r="BB137" s="43">
        <v>0</v>
      </c>
      <c r="BC137" s="43">
        <v>0</v>
      </c>
      <c r="BD137" s="43">
        <v>0</v>
      </c>
      <c r="BE137" s="43">
        <v>0</v>
      </c>
      <c r="BF137" s="43">
        <v>0</v>
      </c>
      <c r="BG137" s="43">
        <v>0</v>
      </c>
      <c r="BH137" s="43">
        <v>0</v>
      </c>
      <c r="BI137" s="43">
        <v>0</v>
      </c>
      <c r="BJ137" s="43" t="s">
        <v>2090</v>
      </c>
      <c r="BK137" s="43" t="s">
        <v>2090</v>
      </c>
      <c r="BL137" s="43" t="s">
        <v>2090</v>
      </c>
      <c r="BM137" s="43" t="s">
        <v>2090</v>
      </c>
      <c r="BN137" s="43" t="s">
        <v>2090</v>
      </c>
      <c r="BO137" s="43" t="s">
        <v>2090</v>
      </c>
      <c r="BP137" s="43" t="s">
        <v>2090</v>
      </c>
      <c r="BQ137" s="43" t="s">
        <v>2090</v>
      </c>
      <c r="BR137" s="43" t="s">
        <v>2090</v>
      </c>
      <c r="BS137" s="43" t="s">
        <v>2090</v>
      </c>
      <c r="BT137" s="43" t="s">
        <v>2090</v>
      </c>
      <c r="BU137" s="43" t="s">
        <v>2090</v>
      </c>
      <c r="BV137" s="43" t="s">
        <v>2090</v>
      </c>
      <c r="BW137" s="43" t="s">
        <v>2090</v>
      </c>
    </row>
    <row r="138" spans="1:75" ht="265.7" customHeight="1" x14ac:dyDescent="0.25">
      <c r="A138" s="38" t="s">
        <v>879</v>
      </c>
      <c r="B138" s="38" t="s">
        <v>1714</v>
      </c>
      <c r="C138" s="39" t="s">
        <v>880</v>
      </c>
      <c r="D138" s="40" t="s">
        <v>881</v>
      </c>
      <c r="E138" s="41">
        <v>40288.055359999998</v>
      </c>
      <c r="F138" s="41">
        <v>2332379.9818299999</v>
      </c>
      <c r="G138" s="41">
        <v>157018.9</v>
      </c>
      <c r="H138" s="41">
        <v>146250.5</v>
      </c>
      <c r="I138" s="42">
        <v>1.0318133524518653</v>
      </c>
      <c r="J138" s="41">
        <v>0</v>
      </c>
      <c r="K138" s="41">
        <v>4236.0008799999996</v>
      </c>
      <c r="L138" s="41">
        <v>31887.200000000001</v>
      </c>
      <c r="M138" s="41">
        <v>295758.8</v>
      </c>
      <c r="N138" s="42">
        <v>0.10095708807193864</v>
      </c>
      <c r="O138" s="41">
        <v>2197.55125</v>
      </c>
      <c r="P138" s="41">
        <v>156636.49429999999</v>
      </c>
      <c r="Q138" s="41">
        <v>28101.599999999999</v>
      </c>
      <c r="R138" s="41">
        <v>130267.6</v>
      </c>
      <c r="S138" s="42">
        <v>0.2080969825888285</v>
      </c>
      <c r="T138" s="41">
        <v>2710.05161</v>
      </c>
      <c r="U138" s="41">
        <v>462076.97392999998</v>
      </c>
      <c r="V138" s="41">
        <v>131869</v>
      </c>
      <c r="W138" s="41">
        <v>454346.5</v>
      </c>
      <c r="X138" s="42">
        <v>0.26307671214094747</v>
      </c>
      <c r="Y138" s="43">
        <v>5</v>
      </c>
      <c r="Z138" s="43" t="s">
        <v>2090</v>
      </c>
      <c r="AA138" s="43" t="s">
        <v>2090</v>
      </c>
      <c r="AB138" s="43" t="s">
        <v>2090</v>
      </c>
      <c r="AC138" s="43" t="s">
        <v>2090</v>
      </c>
      <c r="AD138" s="43">
        <v>0</v>
      </c>
      <c r="AE138" s="43">
        <v>1</v>
      </c>
      <c r="AF138" s="43">
        <v>0</v>
      </c>
      <c r="AG138" s="43">
        <v>1</v>
      </c>
      <c r="AH138" s="43">
        <v>0</v>
      </c>
      <c r="AI138" s="43">
        <v>1</v>
      </c>
      <c r="AJ138" s="43">
        <v>0</v>
      </c>
      <c r="AK138" s="43">
        <v>0</v>
      </c>
      <c r="AL138" s="43">
        <v>0</v>
      </c>
      <c r="AM138" s="43">
        <v>1</v>
      </c>
      <c r="AN138" s="43">
        <v>0</v>
      </c>
      <c r="AO138" s="43">
        <v>0</v>
      </c>
      <c r="AP138" s="43">
        <v>0</v>
      </c>
      <c r="AQ138" s="43">
        <v>0</v>
      </c>
      <c r="AR138" s="43">
        <v>1</v>
      </c>
      <c r="AS138" s="43">
        <v>0</v>
      </c>
      <c r="AT138" s="43">
        <v>0</v>
      </c>
      <c r="AU138" s="43">
        <v>0</v>
      </c>
      <c r="AV138" s="43">
        <v>0</v>
      </c>
      <c r="AW138" s="43">
        <v>0</v>
      </c>
      <c r="AX138" s="43">
        <v>0</v>
      </c>
      <c r="AY138" s="43">
        <v>0</v>
      </c>
      <c r="AZ138" s="43">
        <v>0</v>
      </c>
      <c r="BA138" s="43">
        <v>0</v>
      </c>
      <c r="BB138" s="43">
        <v>0</v>
      </c>
      <c r="BC138" s="43">
        <v>0</v>
      </c>
      <c r="BD138" s="43">
        <v>0</v>
      </c>
      <c r="BE138" s="43">
        <v>0</v>
      </c>
      <c r="BF138" s="43">
        <v>0</v>
      </c>
      <c r="BG138" s="43">
        <v>0</v>
      </c>
      <c r="BH138" s="43">
        <v>0</v>
      </c>
      <c r="BI138" s="43">
        <v>0</v>
      </c>
      <c r="BJ138" s="43" t="s">
        <v>2090</v>
      </c>
      <c r="BK138" s="43" t="s">
        <v>2090</v>
      </c>
      <c r="BL138" s="43" t="s">
        <v>2090</v>
      </c>
      <c r="BM138" s="43" t="s">
        <v>2090</v>
      </c>
      <c r="BN138" s="43" t="s">
        <v>2090</v>
      </c>
      <c r="BO138" s="43" t="s">
        <v>2090</v>
      </c>
      <c r="BP138" s="43" t="s">
        <v>2090</v>
      </c>
      <c r="BQ138" s="43" t="s">
        <v>2090</v>
      </c>
      <c r="BR138" s="43" t="s">
        <v>2090</v>
      </c>
      <c r="BS138" s="43" t="s">
        <v>2090</v>
      </c>
      <c r="BT138" s="43" t="s">
        <v>2090</v>
      </c>
      <c r="BU138" s="43" t="s">
        <v>2090</v>
      </c>
      <c r="BV138" s="43" t="s">
        <v>2090</v>
      </c>
      <c r="BW138" s="43" t="s">
        <v>2091</v>
      </c>
    </row>
    <row r="139" spans="1:75" ht="147.19999999999999" customHeight="1" x14ac:dyDescent="0.25">
      <c r="A139" s="38" t="s">
        <v>882</v>
      </c>
      <c r="B139" s="38" t="s">
        <v>1715</v>
      </c>
      <c r="C139" s="39" t="s">
        <v>883</v>
      </c>
      <c r="D139" s="40" t="s">
        <v>884</v>
      </c>
      <c r="E139" s="41">
        <v>85114.852150000006</v>
      </c>
      <c r="F139" s="41">
        <v>3201585.2458899999</v>
      </c>
      <c r="G139" s="41">
        <v>110545.9</v>
      </c>
      <c r="H139" s="41">
        <v>72151.3</v>
      </c>
      <c r="I139" s="42">
        <v>1.5169631847806939</v>
      </c>
      <c r="J139" s="41">
        <v>31902.783759999998</v>
      </c>
      <c r="K139" s="41">
        <v>1933540.1170699999</v>
      </c>
      <c r="L139" s="41">
        <v>385101.2</v>
      </c>
      <c r="M139" s="41">
        <v>404176.4</v>
      </c>
      <c r="N139" s="42">
        <v>0.88815723629598653</v>
      </c>
      <c r="O139" s="41">
        <v>70615.415850000005</v>
      </c>
      <c r="P139" s="41">
        <v>2985332.6198999998</v>
      </c>
      <c r="Q139" s="41">
        <v>191140.9</v>
      </c>
      <c r="R139" s="41">
        <v>120313.4</v>
      </c>
      <c r="S139" s="42">
        <v>1.5436078233862169</v>
      </c>
      <c r="T139" s="41">
        <v>52192.436049999997</v>
      </c>
      <c r="U139" s="41">
        <v>2593494.0242499998</v>
      </c>
      <c r="V139" s="41">
        <v>295939.09999999998</v>
      </c>
      <c r="W139" s="41">
        <v>228652</v>
      </c>
      <c r="X139" s="42">
        <v>1.1457691240636585</v>
      </c>
      <c r="Y139" s="43">
        <v>3</v>
      </c>
      <c r="Z139" s="43" t="s">
        <v>2090</v>
      </c>
      <c r="AA139" s="43" t="s">
        <v>2090</v>
      </c>
      <c r="AB139" s="43" t="s">
        <v>2090</v>
      </c>
      <c r="AC139" s="43" t="s">
        <v>2090</v>
      </c>
      <c r="AD139" s="43">
        <v>0</v>
      </c>
      <c r="AE139" s="43">
        <v>0</v>
      </c>
      <c r="AF139" s="43">
        <v>0</v>
      </c>
      <c r="AG139" s="43">
        <v>1</v>
      </c>
      <c r="AH139" s="43">
        <v>0</v>
      </c>
      <c r="AI139" s="43">
        <v>2</v>
      </c>
      <c r="AJ139" s="43">
        <v>0</v>
      </c>
      <c r="AK139" s="43">
        <v>0</v>
      </c>
      <c r="AL139" s="43">
        <v>0</v>
      </c>
      <c r="AM139" s="43">
        <v>0</v>
      </c>
      <c r="AN139" s="43">
        <v>0</v>
      </c>
      <c r="AO139" s="43">
        <v>0</v>
      </c>
      <c r="AP139" s="43">
        <v>0</v>
      </c>
      <c r="AQ139" s="43">
        <v>0</v>
      </c>
      <c r="AR139" s="43">
        <v>0</v>
      </c>
      <c r="AS139" s="43">
        <v>0</v>
      </c>
      <c r="AT139" s="43">
        <v>0</v>
      </c>
      <c r="AU139" s="43">
        <v>0</v>
      </c>
      <c r="AV139" s="43">
        <v>0</v>
      </c>
      <c r="AW139" s="43">
        <v>0</v>
      </c>
      <c r="AX139" s="43">
        <v>0</v>
      </c>
      <c r="AY139" s="43">
        <v>0</v>
      </c>
      <c r="AZ139" s="43">
        <v>0</v>
      </c>
      <c r="BA139" s="43">
        <v>0</v>
      </c>
      <c r="BB139" s="43">
        <v>0</v>
      </c>
      <c r="BC139" s="43">
        <v>0</v>
      </c>
      <c r="BD139" s="43">
        <v>0</v>
      </c>
      <c r="BE139" s="43">
        <v>0</v>
      </c>
      <c r="BF139" s="43">
        <v>0</v>
      </c>
      <c r="BG139" s="43">
        <v>0</v>
      </c>
      <c r="BH139" s="43">
        <v>0</v>
      </c>
      <c r="BI139" s="43">
        <v>0</v>
      </c>
      <c r="BJ139" s="43" t="s">
        <v>2090</v>
      </c>
      <c r="BK139" s="43" t="s">
        <v>2090</v>
      </c>
      <c r="BL139" s="43" t="s">
        <v>2090</v>
      </c>
      <c r="BM139" s="43" t="s">
        <v>2090</v>
      </c>
      <c r="BN139" s="43" t="s">
        <v>2090</v>
      </c>
      <c r="BO139" s="43" t="s">
        <v>2090</v>
      </c>
      <c r="BP139" s="43" t="s">
        <v>2090</v>
      </c>
      <c r="BQ139" s="43" t="s">
        <v>2090</v>
      </c>
      <c r="BR139" s="43" t="s">
        <v>2090</v>
      </c>
      <c r="BS139" s="43" t="s">
        <v>2090</v>
      </c>
      <c r="BT139" s="43" t="s">
        <v>2090</v>
      </c>
      <c r="BU139" s="43" t="s">
        <v>2090</v>
      </c>
      <c r="BV139" s="43" t="s">
        <v>2090</v>
      </c>
      <c r="BW139" s="43" t="s">
        <v>2090</v>
      </c>
    </row>
    <row r="140" spans="1:75" ht="142.69999999999999" customHeight="1" x14ac:dyDescent="0.25">
      <c r="A140" s="38" t="s">
        <v>885</v>
      </c>
      <c r="B140" s="38" t="s">
        <v>1716</v>
      </c>
      <c r="C140" s="39" t="s">
        <v>886</v>
      </c>
      <c r="D140" s="40" t="s">
        <v>887</v>
      </c>
      <c r="E140" s="41">
        <v>42761.796589999998</v>
      </c>
      <c r="F140" s="41">
        <v>2489478.9051999999</v>
      </c>
      <c r="G140" s="41">
        <v>485413.4</v>
      </c>
      <c r="H140" s="41">
        <v>472113.6</v>
      </c>
      <c r="I140" s="42">
        <v>0.99404487620141158</v>
      </c>
      <c r="J140" s="41">
        <v>0</v>
      </c>
      <c r="K140" s="41">
        <v>0</v>
      </c>
      <c r="L140" s="41">
        <v>152161.4</v>
      </c>
      <c r="M140" s="41">
        <v>674692.7</v>
      </c>
      <c r="N140" s="42">
        <v>0.196574383895879</v>
      </c>
      <c r="O140" s="41">
        <v>0</v>
      </c>
      <c r="P140" s="41">
        <v>19742.684959999999</v>
      </c>
      <c r="Q140" s="41">
        <v>136541.70000000001</v>
      </c>
      <c r="R140" s="41">
        <v>472783</v>
      </c>
      <c r="S140" s="42">
        <v>0.2699670305704866</v>
      </c>
      <c r="T140" s="41">
        <v>3376.7460599999999</v>
      </c>
      <c r="U140" s="41">
        <v>536451.98620000004</v>
      </c>
      <c r="V140" s="41">
        <v>261417.4</v>
      </c>
      <c r="W140" s="41">
        <v>624435</v>
      </c>
      <c r="X140" s="42">
        <v>0.37656867753023215</v>
      </c>
      <c r="Y140" s="43">
        <v>1</v>
      </c>
      <c r="Z140" s="43" t="s">
        <v>2090</v>
      </c>
      <c r="AA140" s="43" t="s">
        <v>2090</v>
      </c>
      <c r="AB140" s="43" t="s">
        <v>2090</v>
      </c>
      <c r="AC140" s="43" t="s">
        <v>2090</v>
      </c>
      <c r="AD140" s="43">
        <v>0</v>
      </c>
      <c r="AE140" s="43">
        <v>0</v>
      </c>
      <c r="AF140" s="43">
        <v>0</v>
      </c>
      <c r="AG140" s="43">
        <v>0</v>
      </c>
      <c r="AH140" s="43">
        <v>0</v>
      </c>
      <c r="AI140" s="43">
        <v>0</v>
      </c>
      <c r="AJ140" s="43">
        <v>0</v>
      </c>
      <c r="AK140" s="43">
        <v>0</v>
      </c>
      <c r="AL140" s="43">
        <v>0</v>
      </c>
      <c r="AM140" s="43">
        <v>0</v>
      </c>
      <c r="AN140" s="43">
        <v>0</v>
      </c>
      <c r="AO140" s="43">
        <v>0</v>
      </c>
      <c r="AP140" s="43">
        <v>0</v>
      </c>
      <c r="AQ140" s="43">
        <v>0</v>
      </c>
      <c r="AR140" s="43">
        <v>1</v>
      </c>
      <c r="AS140" s="43">
        <v>0</v>
      </c>
      <c r="AT140" s="43">
        <v>0</v>
      </c>
      <c r="AU140" s="43">
        <v>0</v>
      </c>
      <c r="AV140" s="43">
        <v>0</v>
      </c>
      <c r="AW140" s="43">
        <v>0</v>
      </c>
      <c r="AX140" s="43">
        <v>0</v>
      </c>
      <c r="AY140" s="43">
        <v>0</v>
      </c>
      <c r="AZ140" s="43">
        <v>0</v>
      </c>
      <c r="BA140" s="43">
        <v>0</v>
      </c>
      <c r="BB140" s="43">
        <v>0</v>
      </c>
      <c r="BC140" s="43">
        <v>0</v>
      </c>
      <c r="BD140" s="43">
        <v>0</v>
      </c>
      <c r="BE140" s="43">
        <v>0</v>
      </c>
      <c r="BF140" s="43">
        <v>0</v>
      </c>
      <c r="BG140" s="43">
        <v>0</v>
      </c>
      <c r="BH140" s="43">
        <v>0</v>
      </c>
      <c r="BI140" s="43">
        <v>0</v>
      </c>
      <c r="BJ140" s="43" t="s">
        <v>2090</v>
      </c>
      <c r="BK140" s="43" t="s">
        <v>2090</v>
      </c>
      <c r="BL140" s="43" t="s">
        <v>2090</v>
      </c>
      <c r="BM140" s="43" t="s">
        <v>2090</v>
      </c>
      <c r="BN140" s="43" t="s">
        <v>2090</v>
      </c>
      <c r="BO140" s="43" t="s">
        <v>2090</v>
      </c>
      <c r="BP140" s="43" t="s">
        <v>2090</v>
      </c>
      <c r="BQ140" s="43" t="s">
        <v>2090</v>
      </c>
      <c r="BR140" s="43" t="s">
        <v>2090</v>
      </c>
      <c r="BS140" s="43" t="s">
        <v>2090</v>
      </c>
      <c r="BT140" s="43" t="s">
        <v>2090</v>
      </c>
      <c r="BU140" s="43" t="s">
        <v>2090</v>
      </c>
      <c r="BV140" s="43" t="s">
        <v>2090</v>
      </c>
      <c r="BW140" s="43" t="s">
        <v>2090</v>
      </c>
    </row>
    <row r="141" spans="1:75" ht="147.94999999999999" customHeight="1" x14ac:dyDescent="0.25">
      <c r="A141" s="38" t="s">
        <v>888</v>
      </c>
      <c r="B141" s="38" t="s">
        <v>1717</v>
      </c>
      <c r="C141" s="39" t="s">
        <v>889</v>
      </c>
      <c r="D141" s="40" t="s">
        <v>890</v>
      </c>
      <c r="E141" s="41">
        <v>37709.353150000003</v>
      </c>
      <c r="F141" s="41">
        <v>2312522.3018499999</v>
      </c>
      <c r="G141" s="41">
        <v>85064.3</v>
      </c>
      <c r="H141" s="41">
        <v>89761.5</v>
      </c>
      <c r="I141" s="42">
        <v>0.92440027706704742</v>
      </c>
      <c r="J141" s="41">
        <v>2582.8543199999999</v>
      </c>
      <c r="K141" s="41">
        <v>403688.52997999999</v>
      </c>
      <c r="L141" s="41">
        <v>222402.5</v>
      </c>
      <c r="M141" s="41">
        <v>457993.6</v>
      </c>
      <c r="N141" s="42">
        <v>0.44712436676470207</v>
      </c>
      <c r="O141" s="41">
        <v>3047.5690599999998</v>
      </c>
      <c r="P141" s="41">
        <v>550480.40127999999</v>
      </c>
      <c r="Q141" s="41">
        <v>85378.8</v>
      </c>
      <c r="R141" s="41">
        <v>265448.5</v>
      </c>
      <c r="S141" s="42">
        <v>0.30261039928623329</v>
      </c>
      <c r="T141" s="41">
        <v>7694.1300499999998</v>
      </c>
      <c r="U141" s="41">
        <v>945152.73141000001</v>
      </c>
      <c r="V141" s="41">
        <v>152336.1</v>
      </c>
      <c r="W141" s="41">
        <v>352329.5</v>
      </c>
      <c r="X141" s="42">
        <v>0.4060665430256718</v>
      </c>
      <c r="Y141" s="43">
        <v>2</v>
      </c>
      <c r="Z141" s="43" t="s">
        <v>2090</v>
      </c>
      <c r="AA141" s="43" t="s">
        <v>2091</v>
      </c>
      <c r="AB141" s="43" t="s">
        <v>2090</v>
      </c>
      <c r="AC141" s="43" t="s">
        <v>2090</v>
      </c>
      <c r="AD141" s="43">
        <v>0</v>
      </c>
      <c r="AE141" s="43">
        <v>0</v>
      </c>
      <c r="AF141" s="43">
        <v>0</v>
      </c>
      <c r="AG141" s="43">
        <v>0</v>
      </c>
      <c r="AH141" s="43">
        <v>0</v>
      </c>
      <c r="AI141" s="43">
        <v>0</v>
      </c>
      <c r="AJ141" s="43">
        <v>0</v>
      </c>
      <c r="AK141" s="43">
        <v>0</v>
      </c>
      <c r="AL141" s="43">
        <v>0</v>
      </c>
      <c r="AM141" s="43">
        <v>0</v>
      </c>
      <c r="AN141" s="43">
        <v>0</v>
      </c>
      <c r="AO141" s="43">
        <v>0</v>
      </c>
      <c r="AP141" s="43">
        <v>0</v>
      </c>
      <c r="AQ141" s="43">
        <v>0</v>
      </c>
      <c r="AR141" s="43">
        <v>0</v>
      </c>
      <c r="AS141" s="43">
        <v>0</v>
      </c>
      <c r="AT141" s="43">
        <v>0</v>
      </c>
      <c r="AU141" s="43">
        <v>0</v>
      </c>
      <c r="AV141" s="43">
        <v>0</v>
      </c>
      <c r="AW141" s="43">
        <v>0</v>
      </c>
      <c r="AX141" s="43">
        <v>0</v>
      </c>
      <c r="AY141" s="43">
        <v>0</v>
      </c>
      <c r="AZ141" s="43">
        <v>1</v>
      </c>
      <c r="BA141" s="43">
        <v>0</v>
      </c>
      <c r="BB141" s="43">
        <v>0</v>
      </c>
      <c r="BC141" s="43">
        <v>0</v>
      </c>
      <c r="BD141" s="43">
        <v>0</v>
      </c>
      <c r="BE141" s="43">
        <v>0</v>
      </c>
      <c r="BF141" s="43">
        <v>0</v>
      </c>
      <c r="BG141" s="43">
        <v>0</v>
      </c>
      <c r="BH141" s="43">
        <v>0</v>
      </c>
      <c r="BI141" s="43">
        <v>0</v>
      </c>
      <c r="BJ141" s="43" t="s">
        <v>2090</v>
      </c>
      <c r="BK141" s="43" t="s">
        <v>2090</v>
      </c>
      <c r="BL141" s="43" t="s">
        <v>2090</v>
      </c>
      <c r="BM141" s="43" t="s">
        <v>2090</v>
      </c>
      <c r="BN141" s="43" t="s">
        <v>2090</v>
      </c>
      <c r="BO141" s="43" t="s">
        <v>2091</v>
      </c>
      <c r="BP141" s="43" t="s">
        <v>2090</v>
      </c>
      <c r="BQ141" s="43" t="s">
        <v>2091</v>
      </c>
      <c r="BR141" s="43" t="s">
        <v>2090</v>
      </c>
      <c r="BS141" s="43" t="s">
        <v>2090</v>
      </c>
      <c r="BT141" s="43" t="s">
        <v>2090</v>
      </c>
      <c r="BU141" s="43" t="s">
        <v>2090</v>
      </c>
      <c r="BV141" s="43" t="s">
        <v>2090</v>
      </c>
      <c r="BW141" s="43" t="s">
        <v>2090</v>
      </c>
    </row>
    <row r="142" spans="1:75" ht="132.94999999999999" customHeight="1" x14ac:dyDescent="0.25">
      <c r="A142" s="38" t="s">
        <v>891</v>
      </c>
      <c r="B142" s="38" t="s">
        <v>1718</v>
      </c>
      <c r="C142" s="39" t="s">
        <v>892</v>
      </c>
      <c r="D142" s="40" t="s">
        <v>893</v>
      </c>
      <c r="E142" s="41">
        <v>53343.015090000001</v>
      </c>
      <c r="F142" s="41">
        <v>2699993.52648</v>
      </c>
      <c r="G142" s="41">
        <v>504260.4</v>
      </c>
      <c r="H142" s="41">
        <v>438943.9</v>
      </c>
      <c r="I142" s="42">
        <v>1.1297182814129052</v>
      </c>
      <c r="J142" s="41">
        <v>0</v>
      </c>
      <c r="K142" s="41">
        <v>108032.86195999999</v>
      </c>
      <c r="L142" s="41">
        <v>78138.3</v>
      </c>
      <c r="M142" s="41">
        <v>391078.40000000002</v>
      </c>
      <c r="N142" s="42">
        <v>0.18591870496200685</v>
      </c>
      <c r="O142" s="41">
        <v>6783.2296100000003</v>
      </c>
      <c r="P142" s="41">
        <v>607630.05747999996</v>
      </c>
      <c r="Q142" s="41">
        <v>147942.1</v>
      </c>
      <c r="R142" s="41">
        <v>347070.1</v>
      </c>
      <c r="S142" s="42">
        <v>0.40447261403708334</v>
      </c>
      <c r="T142" s="41">
        <v>3500.9185000000002</v>
      </c>
      <c r="U142" s="41">
        <v>555520.47791999998</v>
      </c>
      <c r="V142" s="41">
        <v>182877.4</v>
      </c>
      <c r="W142" s="41">
        <v>478194</v>
      </c>
      <c r="X142" s="42">
        <v>0.35836174861156483</v>
      </c>
      <c r="Y142" s="43">
        <v>2</v>
      </c>
      <c r="Z142" s="43" t="s">
        <v>2090</v>
      </c>
      <c r="AA142" s="43" t="s">
        <v>2091</v>
      </c>
      <c r="AB142" s="43" t="s">
        <v>2090</v>
      </c>
      <c r="AC142" s="43" t="s">
        <v>2090</v>
      </c>
      <c r="AD142" s="43">
        <v>0</v>
      </c>
      <c r="AE142" s="43">
        <v>0</v>
      </c>
      <c r="AF142" s="43">
        <v>0</v>
      </c>
      <c r="AG142" s="43">
        <v>0</v>
      </c>
      <c r="AH142" s="43">
        <v>0</v>
      </c>
      <c r="AI142" s="43">
        <v>0</v>
      </c>
      <c r="AJ142" s="43">
        <v>0</v>
      </c>
      <c r="AK142" s="43">
        <v>0</v>
      </c>
      <c r="AL142" s="43">
        <v>0</v>
      </c>
      <c r="AM142" s="43">
        <v>0</v>
      </c>
      <c r="AN142" s="43">
        <v>0</v>
      </c>
      <c r="AO142" s="43">
        <v>0</v>
      </c>
      <c r="AP142" s="43">
        <v>0</v>
      </c>
      <c r="AQ142" s="43">
        <v>0</v>
      </c>
      <c r="AR142" s="43">
        <v>1</v>
      </c>
      <c r="AS142" s="43">
        <v>0</v>
      </c>
      <c r="AT142" s="43">
        <v>0</v>
      </c>
      <c r="AU142" s="43">
        <v>0</v>
      </c>
      <c r="AV142" s="43">
        <v>0</v>
      </c>
      <c r="AW142" s="43">
        <v>0</v>
      </c>
      <c r="AX142" s="43">
        <v>0</v>
      </c>
      <c r="AY142" s="43">
        <v>0</v>
      </c>
      <c r="AZ142" s="43">
        <v>0</v>
      </c>
      <c r="BA142" s="43">
        <v>0</v>
      </c>
      <c r="BB142" s="43">
        <v>0</v>
      </c>
      <c r="BC142" s="43">
        <v>0</v>
      </c>
      <c r="BD142" s="43">
        <v>0</v>
      </c>
      <c r="BE142" s="43">
        <v>0</v>
      </c>
      <c r="BF142" s="43">
        <v>0</v>
      </c>
      <c r="BG142" s="43">
        <v>0</v>
      </c>
      <c r="BH142" s="43">
        <v>0</v>
      </c>
      <c r="BI142" s="43">
        <v>0</v>
      </c>
      <c r="BJ142" s="43" t="s">
        <v>2090</v>
      </c>
      <c r="BK142" s="43" t="s">
        <v>2090</v>
      </c>
      <c r="BL142" s="43" t="s">
        <v>2090</v>
      </c>
      <c r="BM142" s="43" t="s">
        <v>2090</v>
      </c>
      <c r="BN142" s="43" t="s">
        <v>2090</v>
      </c>
      <c r="BO142" s="43" t="s">
        <v>2090</v>
      </c>
      <c r="BP142" s="43" t="s">
        <v>2090</v>
      </c>
      <c r="BQ142" s="43" t="s">
        <v>2090</v>
      </c>
      <c r="BR142" s="43" t="s">
        <v>2091</v>
      </c>
      <c r="BS142" s="43" t="s">
        <v>2090</v>
      </c>
      <c r="BT142" s="43" t="s">
        <v>2091</v>
      </c>
      <c r="BU142" s="43" t="s">
        <v>2090</v>
      </c>
      <c r="BV142" s="43" t="s">
        <v>2090</v>
      </c>
      <c r="BW142" s="43" t="s">
        <v>2090</v>
      </c>
    </row>
    <row r="143" spans="1:75" ht="118.7" customHeight="1" x14ac:dyDescent="0.25">
      <c r="A143" s="38" t="s">
        <v>894</v>
      </c>
      <c r="B143" s="38" t="s">
        <v>1719</v>
      </c>
      <c r="C143" s="39" t="s">
        <v>895</v>
      </c>
      <c r="D143" s="40" t="s">
        <v>896</v>
      </c>
      <c r="E143" s="41">
        <v>0</v>
      </c>
      <c r="F143" s="41">
        <v>241358.12935</v>
      </c>
      <c r="G143" s="41">
        <v>60147.4</v>
      </c>
      <c r="H143" s="41">
        <v>189273.2</v>
      </c>
      <c r="I143" s="42">
        <v>0.29361645094585281</v>
      </c>
      <c r="J143" s="41">
        <v>0</v>
      </c>
      <c r="K143" s="41">
        <v>24959.11059</v>
      </c>
      <c r="L143" s="41">
        <v>71606</v>
      </c>
      <c r="M143" s="41">
        <v>388305.1</v>
      </c>
      <c r="N143" s="42">
        <v>0.17908065309490187</v>
      </c>
      <c r="O143" s="41">
        <v>0</v>
      </c>
      <c r="P143" s="41">
        <v>4445.1194100000002</v>
      </c>
      <c r="Q143" s="41">
        <v>39261.9</v>
      </c>
      <c r="R143" s="41">
        <v>324950.7</v>
      </c>
      <c r="S143" s="42">
        <v>0.11487713675213675</v>
      </c>
      <c r="T143" s="41">
        <v>4011.9716600000002</v>
      </c>
      <c r="U143" s="41">
        <v>517261.68981000001</v>
      </c>
      <c r="V143" s="41">
        <v>48810</v>
      </c>
      <c r="W143" s="41">
        <v>212804.8</v>
      </c>
      <c r="X143" s="42">
        <v>0.22616994707736218</v>
      </c>
      <c r="Y143" s="43">
        <v>2</v>
      </c>
      <c r="Z143" s="43" t="s">
        <v>2090</v>
      </c>
      <c r="AA143" s="43" t="s">
        <v>2091</v>
      </c>
      <c r="AB143" s="43" t="s">
        <v>2090</v>
      </c>
      <c r="AC143" s="43" t="s">
        <v>2090</v>
      </c>
      <c r="AD143" s="43">
        <v>0</v>
      </c>
      <c r="AE143" s="43">
        <v>0</v>
      </c>
      <c r="AF143" s="43">
        <v>0</v>
      </c>
      <c r="AG143" s="43">
        <v>0</v>
      </c>
      <c r="AH143" s="43">
        <v>0</v>
      </c>
      <c r="AI143" s="43">
        <v>0</v>
      </c>
      <c r="AJ143" s="43">
        <v>0</v>
      </c>
      <c r="AK143" s="43">
        <v>0</v>
      </c>
      <c r="AL143" s="43">
        <v>0</v>
      </c>
      <c r="AM143" s="43">
        <v>0</v>
      </c>
      <c r="AN143" s="43">
        <v>0</v>
      </c>
      <c r="AO143" s="43">
        <v>0</v>
      </c>
      <c r="AP143" s="43">
        <v>0</v>
      </c>
      <c r="AQ143" s="43">
        <v>0</v>
      </c>
      <c r="AR143" s="43">
        <v>1</v>
      </c>
      <c r="AS143" s="43">
        <v>0</v>
      </c>
      <c r="AT143" s="43">
        <v>0</v>
      </c>
      <c r="AU143" s="43">
        <v>0</v>
      </c>
      <c r="AV143" s="43">
        <v>0</v>
      </c>
      <c r="AW143" s="43">
        <v>0</v>
      </c>
      <c r="AX143" s="43">
        <v>0</v>
      </c>
      <c r="AY143" s="43">
        <v>0</v>
      </c>
      <c r="AZ143" s="43">
        <v>0</v>
      </c>
      <c r="BA143" s="43">
        <v>0</v>
      </c>
      <c r="BB143" s="43">
        <v>0</v>
      </c>
      <c r="BC143" s="43">
        <v>0</v>
      </c>
      <c r="BD143" s="43">
        <v>0</v>
      </c>
      <c r="BE143" s="43">
        <v>0</v>
      </c>
      <c r="BF143" s="43">
        <v>0</v>
      </c>
      <c r="BG143" s="43">
        <v>0</v>
      </c>
      <c r="BH143" s="43">
        <v>0</v>
      </c>
      <c r="BI143" s="43">
        <v>0</v>
      </c>
      <c r="BJ143" s="43" t="s">
        <v>2090</v>
      </c>
      <c r="BK143" s="43" t="s">
        <v>2090</v>
      </c>
      <c r="BL143" s="43" t="s">
        <v>2090</v>
      </c>
      <c r="BM143" s="43" t="s">
        <v>2090</v>
      </c>
      <c r="BN143" s="43" t="s">
        <v>2090</v>
      </c>
      <c r="BO143" s="43" t="s">
        <v>2091</v>
      </c>
      <c r="BP143" s="43" t="s">
        <v>2090</v>
      </c>
      <c r="BQ143" s="43" t="s">
        <v>2091</v>
      </c>
      <c r="BR143" s="43" t="s">
        <v>2090</v>
      </c>
      <c r="BS143" s="43" t="s">
        <v>2090</v>
      </c>
      <c r="BT143" s="43" t="s">
        <v>2090</v>
      </c>
      <c r="BU143" s="43" t="s">
        <v>2090</v>
      </c>
      <c r="BV143" s="43" t="s">
        <v>2090</v>
      </c>
      <c r="BW143" s="43" t="s">
        <v>2090</v>
      </c>
    </row>
    <row r="144" spans="1:75" ht="119.45" customHeight="1" x14ac:dyDescent="0.25">
      <c r="A144" s="38" t="s">
        <v>897</v>
      </c>
      <c r="B144" s="38" t="s">
        <v>1720</v>
      </c>
      <c r="C144" s="39" t="s">
        <v>898</v>
      </c>
      <c r="D144" s="40" t="s">
        <v>899</v>
      </c>
      <c r="E144" s="41">
        <v>15390.770920000001</v>
      </c>
      <c r="F144" s="41">
        <v>1549392.1710900001</v>
      </c>
      <c r="G144" s="41">
        <v>333144.2</v>
      </c>
      <c r="H144" s="41">
        <v>310226.59999999998</v>
      </c>
      <c r="I144" s="42">
        <v>1.0482187547780182</v>
      </c>
      <c r="J144" s="41">
        <v>13968.771199999999</v>
      </c>
      <c r="K144" s="41">
        <v>1290163.20927</v>
      </c>
      <c r="L144" s="41">
        <v>75955.8</v>
      </c>
      <c r="M144" s="41">
        <v>111509.7</v>
      </c>
      <c r="N144" s="42">
        <v>0.65502596627200949</v>
      </c>
      <c r="O144" s="41">
        <v>0</v>
      </c>
      <c r="P144" s="41">
        <v>84485.831510000004</v>
      </c>
      <c r="Q144" s="41">
        <v>95690.6</v>
      </c>
      <c r="R144" s="41">
        <v>255481.8</v>
      </c>
      <c r="S144" s="42">
        <v>0.35296049812915942</v>
      </c>
      <c r="T144" s="41">
        <v>21366.12356</v>
      </c>
      <c r="U144" s="41">
        <v>1749130.59726</v>
      </c>
      <c r="V144" s="41">
        <v>148081.20000000001</v>
      </c>
      <c r="W144" s="41">
        <v>199504.9</v>
      </c>
      <c r="X144" s="42">
        <v>0.67914853020094212</v>
      </c>
      <c r="Y144" s="43">
        <v>1</v>
      </c>
      <c r="Z144" s="43" t="s">
        <v>2090</v>
      </c>
      <c r="AA144" s="43" t="s">
        <v>2090</v>
      </c>
      <c r="AB144" s="43" t="s">
        <v>2091</v>
      </c>
      <c r="AC144" s="43" t="s">
        <v>2090</v>
      </c>
      <c r="AD144" s="43">
        <v>0</v>
      </c>
      <c r="AE144" s="43">
        <v>0</v>
      </c>
      <c r="AF144" s="43">
        <v>0</v>
      </c>
      <c r="AG144" s="43">
        <v>0</v>
      </c>
      <c r="AH144" s="43">
        <v>0</v>
      </c>
      <c r="AI144" s="43">
        <v>0</v>
      </c>
      <c r="AJ144" s="43">
        <v>0</v>
      </c>
      <c r="AK144" s="43">
        <v>0</v>
      </c>
      <c r="AL144" s="43">
        <v>0</v>
      </c>
      <c r="AM144" s="43">
        <v>0</v>
      </c>
      <c r="AN144" s="43">
        <v>0</v>
      </c>
      <c r="AO144" s="43">
        <v>0</v>
      </c>
      <c r="AP144" s="43">
        <v>0</v>
      </c>
      <c r="AQ144" s="43">
        <v>0</v>
      </c>
      <c r="AR144" s="43">
        <v>0</v>
      </c>
      <c r="AS144" s="43">
        <v>0</v>
      </c>
      <c r="AT144" s="43">
        <v>0</v>
      </c>
      <c r="AU144" s="43">
        <v>0</v>
      </c>
      <c r="AV144" s="43">
        <v>0</v>
      </c>
      <c r="AW144" s="43">
        <v>0</v>
      </c>
      <c r="AX144" s="43">
        <v>0</v>
      </c>
      <c r="AY144" s="43">
        <v>0</v>
      </c>
      <c r="AZ144" s="43">
        <v>0</v>
      </c>
      <c r="BA144" s="43">
        <v>0</v>
      </c>
      <c r="BB144" s="43">
        <v>0</v>
      </c>
      <c r="BC144" s="43">
        <v>0</v>
      </c>
      <c r="BD144" s="43">
        <v>0</v>
      </c>
      <c r="BE144" s="43">
        <v>0</v>
      </c>
      <c r="BF144" s="43">
        <v>0</v>
      </c>
      <c r="BG144" s="43">
        <v>0</v>
      </c>
      <c r="BH144" s="43">
        <v>0</v>
      </c>
      <c r="BI144" s="43">
        <v>0</v>
      </c>
      <c r="BJ144" s="43" t="s">
        <v>2090</v>
      </c>
      <c r="BK144" s="43" t="s">
        <v>2090</v>
      </c>
      <c r="BL144" s="43" t="s">
        <v>2090</v>
      </c>
      <c r="BM144" s="43" t="s">
        <v>2090</v>
      </c>
      <c r="BN144" s="43" t="s">
        <v>2090</v>
      </c>
      <c r="BO144" s="43" t="s">
        <v>2090</v>
      </c>
      <c r="BP144" s="43" t="s">
        <v>2090</v>
      </c>
      <c r="BQ144" s="43" t="s">
        <v>2090</v>
      </c>
      <c r="BR144" s="43" t="s">
        <v>2090</v>
      </c>
      <c r="BS144" s="43" t="s">
        <v>2090</v>
      </c>
      <c r="BT144" s="43" t="s">
        <v>2090</v>
      </c>
      <c r="BU144" s="43" t="s">
        <v>2090</v>
      </c>
      <c r="BV144" s="43" t="s">
        <v>2090</v>
      </c>
      <c r="BW144" s="43" t="s">
        <v>2090</v>
      </c>
    </row>
    <row r="145" spans="1:75" ht="122.45" customHeight="1" x14ac:dyDescent="0.25">
      <c r="A145" s="38" t="s">
        <v>900</v>
      </c>
      <c r="B145" s="38" t="s">
        <v>1721</v>
      </c>
      <c r="C145" s="39" t="s">
        <v>901</v>
      </c>
      <c r="D145" s="40" t="s">
        <v>902</v>
      </c>
      <c r="E145" s="41">
        <v>85347.262959999993</v>
      </c>
      <c r="F145" s="41">
        <v>3168800.4158100002</v>
      </c>
      <c r="G145" s="41">
        <v>552839.5</v>
      </c>
      <c r="H145" s="41">
        <v>383230.5</v>
      </c>
      <c r="I145" s="42">
        <v>1.4496207545054862</v>
      </c>
      <c r="J145" s="41">
        <v>46930.311110000002</v>
      </c>
      <c r="K145" s="41">
        <v>2374348.6738499999</v>
      </c>
      <c r="L145" s="41">
        <v>329082.5</v>
      </c>
      <c r="M145" s="41">
        <v>282382.59999999998</v>
      </c>
      <c r="N145" s="42">
        <v>1.0759035637648842</v>
      </c>
      <c r="O145" s="41">
        <v>71154.664279999997</v>
      </c>
      <c r="P145" s="41">
        <v>3015828.5940899998</v>
      </c>
      <c r="Q145" s="41">
        <v>323065.59999999998</v>
      </c>
      <c r="R145" s="41">
        <v>228734.3</v>
      </c>
      <c r="S145" s="42">
        <v>1.3832452064305933</v>
      </c>
      <c r="T145" s="41">
        <v>66661.963600000003</v>
      </c>
      <c r="U145" s="41">
        <v>2836048.79746</v>
      </c>
      <c r="V145" s="41">
        <v>158630.20000000001</v>
      </c>
      <c r="W145" s="41">
        <v>98849.4</v>
      </c>
      <c r="X145" s="42">
        <v>1.2334095418425002</v>
      </c>
      <c r="Y145" s="43">
        <v>1</v>
      </c>
      <c r="Z145" s="43" t="s">
        <v>2091</v>
      </c>
      <c r="AA145" s="43" t="s">
        <v>2090</v>
      </c>
      <c r="AB145" s="43" t="s">
        <v>2090</v>
      </c>
      <c r="AC145" s="43" t="s">
        <v>2090</v>
      </c>
      <c r="AD145" s="43">
        <v>0</v>
      </c>
      <c r="AE145" s="43">
        <v>0</v>
      </c>
      <c r="AF145" s="43">
        <v>0</v>
      </c>
      <c r="AG145" s="43">
        <v>0</v>
      </c>
      <c r="AH145" s="43">
        <v>0</v>
      </c>
      <c r="AI145" s="43">
        <v>0</v>
      </c>
      <c r="AJ145" s="43">
        <v>0</v>
      </c>
      <c r="AK145" s="43">
        <v>0</v>
      </c>
      <c r="AL145" s="43">
        <v>0</v>
      </c>
      <c r="AM145" s="43">
        <v>0</v>
      </c>
      <c r="AN145" s="43">
        <v>0</v>
      </c>
      <c r="AO145" s="43">
        <v>0</v>
      </c>
      <c r="AP145" s="43">
        <v>0</v>
      </c>
      <c r="AQ145" s="43">
        <v>0</v>
      </c>
      <c r="AR145" s="43">
        <v>0</v>
      </c>
      <c r="AS145" s="43">
        <v>0</v>
      </c>
      <c r="AT145" s="43">
        <v>0</v>
      </c>
      <c r="AU145" s="43">
        <v>0</v>
      </c>
      <c r="AV145" s="43">
        <v>0</v>
      </c>
      <c r="AW145" s="43">
        <v>0</v>
      </c>
      <c r="AX145" s="43">
        <v>0</v>
      </c>
      <c r="AY145" s="43">
        <v>0</v>
      </c>
      <c r="AZ145" s="43">
        <v>0</v>
      </c>
      <c r="BA145" s="43">
        <v>0</v>
      </c>
      <c r="BB145" s="43">
        <v>0</v>
      </c>
      <c r="BC145" s="43">
        <v>0</v>
      </c>
      <c r="BD145" s="43">
        <v>0</v>
      </c>
      <c r="BE145" s="43">
        <v>0</v>
      </c>
      <c r="BF145" s="43">
        <v>0</v>
      </c>
      <c r="BG145" s="43">
        <v>0</v>
      </c>
      <c r="BH145" s="43">
        <v>0</v>
      </c>
      <c r="BI145" s="43">
        <v>0</v>
      </c>
      <c r="BJ145" s="43" t="s">
        <v>2090</v>
      </c>
      <c r="BK145" s="43" t="s">
        <v>2090</v>
      </c>
      <c r="BL145" s="43" t="s">
        <v>2090</v>
      </c>
      <c r="BM145" s="43" t="s">
        <v>2090</v>
      </c>
      <c r="BN145" s="43" t="s">
        <v>2090</v>
      </c>
      <c r="BO145" s="43" t="s">
        <v>2090</v>
      </c>
      <c r="BP145" s="43" t="s">
        <v>2090</v>
      </c>
      <c r="BQ145" s="43" t="s">
        <v>2090</v>
      </c>
      <c r="BR145" s="43" t="s">
        <v>2090</v>
      </c>
      <c r="BS145" s="43" t="s">
        <v>2090</v>
      </c>
      <c r="BT145" s="43" t="s">
        <v>2090</v>
      </c>
      <c r="BU145" s="43" t="s">
        <v>2090</v>
      </c>
      <c r="BV145" s="43" t="s">
        <v>2090</v>
      </c>
      <c r="BW145" s="43" t="s">
        <v>2090</v>
      </c>
    </row>
    <row r="146" spans="1:75" ht="155.44999999999999" customHeight="1" x14ac:dyDescent="0.25">
      <c r="A146" s="38" t="s">
        <v>903</v>
      </c>
      <c r="B146" s="38" t="s">
        <v>1722</v>
      </c>
      <c r="C146" s="39" t="s">
        <v>904</v>
      </c>
      <c r="D146" s="40" t="s">
        <v>905</v>
      </c>
      <c r="E146" s="41">
        <v>65221.043839999998</v>
      </c>
      <c r="F146" s="41">
        <v>2902513.8429200002</v>
      </c>
      <c r="G146" s="41">
        <v>140667.4</v>
      </c>
      <c r="H146" s="41">
        <v>103716.4</v>
      </c>
      <c r="I146" s="42">
        <v>1.3176117161096508</v>
      </c>
      <c r="J146" s="41">
        <v>0</v>
      </c>
      <c r="K146" s="41">
        <v>24301.094819999998</v>
      </c>
      <c r="L146" s="41">
        <v>72891.899999999994</v>
      </c>
      <c r="M146" s="41">
        <v>457679</v>
      </c>
      <c r="N146" s="42">
        <v>0.14588384564806442</v>
      </c>
      <c r="O146" s="41">
        <v>0</v>
      </c>
      <c r="P146" s="41">
        <v>46355.01412</v>
      </c>
      <c r="Q146" s="41">
        <v>62904.4</v>
      </c>
      <c r="R146" s="41">
        <v>182264.7</v>
      </c>
      <c r="S146" s="42">
        <v>0.33228673895145194</v>
      </c>
      <c r="T146" s="41">
        <v>3612.4276399999999</v>
      </c>
      <c r="U146" s="41">
        <v>598540.67833999998</v>
      </c>
      <c r="V146" s="41">
        <v>3422.8</v>
      </c>
      <c r="W146" s="41">
        <v>18380.7</v>
      </c>
      <c r="X146" s="42">
        <v>0.18014277389277392</v>
      </c>
      <c r="Y146" s="43">
        <v>2</v>
      </c>
      <c r="Z146" s="43" t="s">
        <v>2090</v>
      </c>
      <c r="AA146" s="43" t="s">
        <v>2091</v>
      </c>
      <c r="AB146" s="43" t="s">
        <v>2090</v>
      </c>
      <c r="AC146" s="43" t="s">
        <v>2090</v>
      </c>
      <c r="AD146" s="43">
        <v>0</v>
      </c>
      <c r="AE146" s="43">
        <v>0</v>
      </c>
      <c r="AF146" s="43">
        <v>0</v>
      </c>
      <c r="AG146" s="43">
        <v>0</v>
      </c>
      <c r="AH146" s="43">
        <v>0</v>
      </c>
      <c r="AI146" s="43">
        <v>0</v>
      </c>
      <c r="AJ146" s="43">
        <v>0</v>
      </c>
      <c r="AK146" s="43">
        <v>1</v>
      </c>
      <c r="AL146" s="43">
        <v>0</v>
      </c>
      <c r="AM146" s="43">
        <v>0</v>
      </c>
      <c r="AN146" s="43">
        <v>0</v>
      </c>
      <c r="AO146" s="43">
        <v>0</v>
      </c>
      <c r="AP146" s="43">
        <v>0</v>
      </c>
      <c r="AQ146" s="43">
        <v>0</v>
      </c>
      <c r="AR146" s="43">
        <v>0</v>
      </c>
      <c r="AS146" s="43">
        <v>0</v>
      </c>
      <c r="AT146" s="43">
        <v>0</v>
      </c>
      <c r="AU146" s="43">
        <v>0</v>
      </c>
      <c r="AV146" s="43">
        <v>0</v>
      </c>
      <c r="AW146" s="43">
        <v>0</v>
      </c>
      <c r="AX146" s="43">
        <v>0</v>
      </c>
      <c r="AY146" s="43">
        <v>0</v>
      </c>
      <c r="AZ146" s="43">
        <v>0</v>
      </c>
      <c r="BA146" s="43">
        <v>0</v>
      </c>
      <c r="BB146" s="43">
        <v>0</v>
      </c>
      <c r="BC146" s="43">
        <v>0</v>
      </c>
      <c r="BD146" s="43">
        <v>0</v>
      </c>
      <c r="BE146" s="43">
        <v>0</v>
      </c>
      <c r="BF146" s="43">
        <v>0</v>
      </c>
      <c r="BG146" s="43">
        <v>0</v>
      </c>
      <c r="BH146" s="43">
        <v>0</v>
      </c>
      <c r="BI146" s="43">
        <v>0</v>
      </c>
      <c r="BJ146" s="43" t="s">
        <v>2091</v>
      </c>
      <c r="BK146" s="43" t="s">
        <v>2090</v>
      </c>
      <c r="BL146" s="43" t="s">
        <v>2090</v>
      </c>
      <c r="BM146" s="43" t="s">
        <v>2090</v>
      </c>
      <c r="BN146" s="43" t="s">
        <v>2090</v>
      </c>
      <c r="BO146" s="43" t="s">
        <v>2091</v>
      </c>
      <c r="BP146" s="43" t="s">
        <v>2090</v>
      </c>
      <c r="BQ146" s="43" t="s">
        <v>2091</v>
      </c>
      <c r="BR146" s="43" t="s">
        <v>2090</v>
      </c>
      <c r="BS146" s="43" t="s">
        <v>2090</v>
      </c>
      <c r="BT146" s="43" t="s">
        <v>2090</v>
      </c>
      <c r="BU146" s="43" t="s">
        <v>2090</v>
      </c>
      <c r="BV146" s="43" t="s">
        <v>2090</v>
      </c>
      <c r="BW146" s="43" t="s">
        <v>2090</v>
      </c>
    </row>
    <row r="147" spans="1:75" ht="111.2" customHeight="1" x14ac:dyDescent="0.25">
      <c r="A147" s="38" t="s">
        <v>906</v>
      </c>
      <c r="B147" s="38" t="s">
        <v>1723</v>
      </c>
      <c r="C147" s="39" t="s">
        <v>907</v>
      </c>
      <c r="D147" s="40" t="s">
        <v>908</v>
      </c>
      <c r="E147" s="41">
        <v>70241.138829999996</v>
      </c>
      <c r="F147" s="41">
        <v>2974273.6253499999</v>
      </c>
      <c r="G147" s="41">
        <v>315062.5</v>
      </c>
      <c r="H147" s="41">
        <v>256494.9</v>
      </c>
      <c r="I147" s="42">
        <v>1.1882971729125575</v>
      </c>
      <c r="J147" s="41">
        <v>0</v>
      </c>
      <c r="K147" s="41">
        <v>21435.223010000002</v>
      </c>
      <c r="L147" s="41">
        <v>97584.5</v>
      </c>
      <c r="M147" s="41">
        <v>428457.2</v>
      </c>
      <c r="N147" s="42">
        <v>0.2074680928785145</v>
      </c>
      <c r="O147" s="41">
        <v>32519.45924</v>
      </c>
      <c r="P147" s="41">
        <v>2400268.33439</v>
      </c>
      <c r="Q147" s="41">
        <v>206278.6</v>
      </c>
      <c r="R147" s="41">
        <v>213047.6</v>
      </c>
      <c r="S147" s="42">
        <v>0.91004911585764936</v>
      </c>
      <c r="T147" s="41">
        <v>10885.32187</v>
      </c>
      <c r="U147" s="41">
        <v>1183081.50076</v>
      </c>
      <c r="V147" s="41">
        <v>205894.3</v>
      </c>
      <c r="W147" s="41">
        <v>401974.7</v>
      </c>
      <c r="X147" s="42">
        <v>0.47820799378887641</v>
      </c>
      <c r="Y147" s="43">
        <v>2</v>
      </c>
      <c r="Z147" s="43" t="s">
        <v>2090</v>
      </c>
      <c r="AA147" s="43" t="s">
        <v>2090</v>
      </c>
      <c r="AB147" s="43" t="s">
        <v>2090</v>
      </c>
      <c r="AC147" s="43" t="s">
        <v>2090</v>
      </c>
      <c r="AD147" s="43">
        <v>0</v>
      </c>
      <c r="AE147" s="43">
        <v>0</v>
      </c>
      <c r="AF147" s="43">
        <v>0</v>
      </c>
      <c r="AG147" s="43">
        <v>0</v>
      </c>
      <c r="AH147" s="43">
        <v>0</v>
      </c>
      <c r="AI147" s="43">
        <v>0</v>
      </c>
      <c r="AJ147" s="43">
        <v>0</v>
      </c>
      <c r="AK147" s="43">
        <v>0</v>
      </c>
      <c r="AL147" s="43">
        <v>0</v>
      </c>
      <c r="AM147" s="43">
        <v>0</v>
      </c>
      <c r="AN147" s="43">
        <v>0</v>
      </c>
      <c r="AO147" s="43">
        <v>0</v>
      </c>
      <c r="AP147" s="43">
        <v>0</v>
      </c>
      <c r="AQ147" s="43">
        <v>0</v>
      </c>
      <c r="AR147" s="43">
        <v>2</v>
      </c>
      <c r="AS147" s="43">
        <v>0</v>
      </c>
      <c r="AT147" s="43">
        <v>0</v>
      </c>
      <c r="AU147" s="43">
        <v>0</v>
      </c>
      <c r="AV147" s="43">
        <v>0</v>
      </c>
      <c r="AW147" s="43">
        <v>0</v>
      </c>
      <c r="AX147" s="43">
        <v>0</v>
      </c>
      <c r="AY147" s="43">
        <v>0</v>
      </c>
      <c r="AZ147" s="43">
        <v>0</v>
      </c>
      <c r="BA147" s="43">
        <v>0</v>
      </c>
      <c r="BB147" s="43">
        <v>0</v>
      </c>
      <c r="BC147" s="43">
        <v>0</v>
      </c>
      <c r="BD147" s="43">
        <v>0</v>
      </c>
      <c r="BE147" s="43">
        <v>0</v>
      </c>
      <c r="BF147" s="43">
        <v>0</v>
      </c>
      <c r="BG147" s="43">
        <v>0</v>
      </c>
      <c r="BH147" s="43">
        <v>0</v>
      </c>
      <c r="BI147" s="43">
        <v>0</v>
      </c>
      <c r="BJ147" s="43" t="s">
        <v>2090</v>
      </c>
      <c r="BK147" s="43" t="s">
        <v>2090</v>
      </c>
      <c r="BL147" s="43" t="s">
        <v>2090</v>
      </c>
      <c r="BM147" s="43" t="s">
        <v>2090</v>
      </c>
      <c r="BN147" s="43" t="s">
        <v>2090</v>
      </c>
      <c r="BO147" s="43" t="s">
        <v>2090</v>
      </c>
      <c r="BP147" s="43" t="s">
        <v>2090</v>
      </c>
      <c r="BQ147" s="43" t="s">
        <v>2090</v>
      </c>
      <c r="BR147" s="43" t="s">
        <v>2090</v>
      </c>
      <c r="BS147" s="43" t="s">
        <v>2090</v>
      </c>
      <c r="BT147" s="43" t="s">
        <v>2090</v>
      </c>
      <c r="BU147" s="43" t="s">
        <v>2090</v>
      </c>
      <c r="BV147" s="43" t="s">
        <v>2090</v>
      </c>
      <c r="BW147" s="43" t="s">
        <v>2090</v>
      </c>
    </row>
    <row r="148" spans="1:75" ht="141.94999999999999" customHeight="1" x14ac:dyDescent="0.25">
      <c r="A148" s="38" t="s">
        <v>909</v>
      </c>
      <c r="B148" s="38" t="s">
        <v>1724</v>
      </c>
      <c r="C148" s="39" t="s">
        <v>910</v>
      </c>
      <c r="D148" s="40" t="s">
        <v>911</v>
      </c>
      <c r="E148" s="41">
        <v>71259.469790000003</v>
      </c>
      <c r="F148" s="41">
        <v>2929436.6768999998</v>
      </c>
      <c r="G148" s="41">
        <v>358724.7</v>
      </c>
      <c r="H148" s="41">
        <v>268002.09999999998</v>
      </c>
      <c r="I148" s="42">
        <v>1.3073920457163923</v>
      </c>
      <c r="J148" s="41">
        <v>0</v>
      </c>
      <c r="K148" s="41">
        <v>33518.91633</v>
      </c>
      <c r="L148" s="41">
        <v>76559.3</v>
      </c>
      <c r="M148" s="41">
        <v>436867.2</v>
      </c>
      <c r="N148" s="42">
        <v>0.16254409085083499</v>
      </c>
      <c r="O148" s="41">
        <v>4373.9486900000002</v>
      </c>
      <c r="P148" s="41">
        <v>291359.90341000003</v>
      </c>
      <c r="Q148" s="41">
        <v>105595.2</v>
      </c>
      <c r="R148" s="41">
        <v>356377.8</v>
      </c>
      <c r="S148" s="42">
        <v>0.28247242692170155</v>
      </c>
      <c r="T148" s="41">
        <v>4174.5080399999997</v>
      </c>
      <c r="U148" s="41">
        <v>601109.59921999997</v>
      </c>
      <c r="V148" s="41">
        <v>122759.6</v>
      </c>
      <c r="W148" s="41">
        <v>379952.2</v>
      </c>
      <c r="X148" s="42">
        <v>0.30411996493092108</v>
      </c>
      <c r="Y148" s="43">
        <v>2</v>
      </c>
      <c r="Z148" s="43" t="s">
        <v>2090</v>
      </c>
      <c r="AA148" s="43" t="s">
        <v>2090</v>
      </c>
      <c r="AB148" s="43" t="s">
        <v>2090</v>
      </c>
      <c r="AC148" s="43" t="s">
        <v>2090</v>
      </c>
      <c r="AD148" s="43">
        <v>0</v>
      </c>
      <c r="AE148" s="43">
        <v>0</v>
      </c>
      <c r="AF148" s="43">
        <v>0</v>
      </c>
      <c r="AG148" s="43">
        <v>0</v>
      </c>
      <c r="AH148" s="43">
        <v>0</v>
      </c>
      <c r="AI148" s="43">
        <v>0</v>
      </c>
      <c r="AJ148" s="43">
        <v>0</v>
      </c>
      <c r="AK148" s="43">
        <v>0</v>
      </c>
      <c r="AL148" s="43">
        <v>0</v>
      </c>
      <c r="AM148" s="43">
        <v>0</v>
      </c>
      <c r="AN148" s="43">
        <v>1</v>
      </c>
      <c r="AO148" s="43">
        <v>0</v>
      </c>
      <c r="AP148" s="43">
        <v>0</v>
      </c>
      <c r="AQ148" s="43">
        <v>0</v>
      </c>
      <c r="AR148" s="43">
        <v>1</v>
      </c>
      <c r="AS148" s="43">
        <v>0</v>
      </c>
      <c r="AT148" s="43">
        <v>0</v>
      </c>
      <c r="AU148" s="43">
        <v>0</v>
      </c>
      <c r="AV148" s="43">
        <v>0</v>
      </c>
      <c r="AW148" s="43">
        <v>0</v>
      </c>
      <c r="AX148" s="43">
        <v>0</v>
      </c>
      <c r="AY148" s="43">
        <v>0</v>
      </c>
      <c r="AZ148" s="43">
        <v>0</v>
      </c>
      <c r="BA148" s="43">
        <v>0</v>
      </c>
      <c r="BB148" s="43">
        <v>0</v>
      </c>
      <c r="BC148" s="43">
        <v>0</v>
      </c>
      <c r="BD148" s="43">
        <v>0</v>
      </c>
      <c r="BE148" s="43">
        <v>0</v>
      </c>
      <c r="BF148" s="43">
        <v>0</v>
      </c>
      <c r="BG148" s="43">
        <v>0</v>
      </c>
      <c r="BH148" s="43">
        <v>0</v>
      </c>
      <c r="BI148" s="43">
        <v>0</v>
      </c>
      <c r="BJ148" s="43" t="s">
        <v>2090</v>
      </c>
      <c r="BK148" s="43" t="s">
        <v>2090</v>
      </c>
      <c r="BL148" s="43" t="s">
        <v>2090</v>
      </c>
      <c r="BM148" s="43" t="s">
        <v>2090</v>
      </c>
      <c r="BN148" s="43" t="s">
        <v>2090</v>
      </c>
      <c r="BO148" s="43" t="s">
        <v>2090</v>
      </c>
      <c r="BP148" s="43" t="s">
        <v>2090</v>
      </c>
      <c r="BQ148" s="43" t="s">
        <v>2090</v>
      </c>
      <c r="BR148" s="43" t="s">
        <v>2090</v>
      </c>
      <c r="BS148" s="43" t="s">
        <v>2090</v>
      </c>
      <c r="BT148" s="43" t="s">
        <v>2090</v>
      </c>
      <c r="BU148" s="43" t="s">
        <v>2090</v>
      </c>
      <c r="BV148" s="43" t="s">
        <v>2090</v>
      </c>
      <c r="BW148" s="43" t="s">
        <v>2090</v>
      </c>
    </row>
    <row r="149" spans="1:75" ht="190.7" customHeight="1" x14ac:dyDescent="0.25">
      <c r="A149" s="38" t="s">
        <v>912</v>
      </c>
      <c r="B149" s="38" t="s">
        <v>1725</v>
      </c>
      <c r="C149" s="39" t="s">
        <v>913</v>
      </c>
      <c r="D149" s="40" t="s">
        <v>914</v>
      </c>
      <c r="E149" s="41">
        <v>19952.725050000001</v>
      </c>
      <c r="F149" s="41">
        <v>1154031.81528</v>
      </c>
      <c r="G149" s="41">
        <v>46276</v>
      </c>
      <c r="H149" s="41">
        <v>85261.3</v>
      </c>
      <c r="I149" s="42">
        <v>0.52222881733194837</v>
      </c>
      <c r="J149" s="41">
        <v>0</v>
      </c>
      <c r="K149" s="41">
        <v>23472.904200000001</v>
      </c>
      <c r="L149" s="41">
        <v>11178.3</v>
      </c>
      <c r="M149" s="41">
        <v>51968.5</v>
      </c>
      <c r="N149" s="42">
        <v>0.20929438728239139</v>
      </c>
      <c r="O149" s="41">
        <v>0</v>
      </c>
      <c r="P149" s="41">
        <v>10003.61838</v>
      </c>
      <c r="Q149" s="41">
        <v>10642.8</v>
      </c>
      <c r="R149" s="41">
        <v>39406.400000000001</v>
      </c>
      <c r="S149" s="42">
        <v>0.25341993898238363</v>
      </c>
      <c r="T149" s="41">
        <v>2916.1324</v>
      </c>
      <c r="U149" s="41">
        <v>478527.85651999997</v>
      </c>
      <c r="V149" s="41">
        <v>223447.2</v>
      </c>
      <c r="W149" s="41">
        <v>436650.4</v>
      </c>
      <c r="X149" s="42">
        <v>0.47767497060173431</v>
      </c>
      <c r="Y149" s="43">
        <v>2</v>
      </c>
      <c r="Z149" s="43" t="s">
        <v>2090</v>
      </c>
      <c r="AA149" s="43" t="s">
        <v>2091</v>
      </c>
      <c r="AB149" s="43" t="s">
        <v>2090</v>
      </c>
      <c r="AC149" s="43" t="s">
        <v>2090</v>
      </c>
      <c r="AD149" s="43">
        <v>0</v>
      </c>
      <c r="AE149" s="43">
        <v>0</v>
      </c>
      <c r="AF149" s="43">
        <v>0</v>
      </c>
      <c r="AG149" s="43">
        <v>0</v>
      </c>
      <c r="AH149" s="43">
        <v>0</v>
      </c>
      <c r="AI149" s="43">
        <v>0</v>
      </c>
      <c r="AJ149" s="43">
        <v>0</v>
      </c>
      <c r="AK149" s="43">
        <v>1</v>
      </c>
      <c r="AL149" s="43">
        <v>0</v>
      </c>
      <c r="AM149" s="43">
        <v>0</v>
      </c>
      <c r="AN149" s="43">
        <v>0</v>
      </c>
      <c r="AO149" s="43">
        <v>0</v>
      </c>
      <c r="AP149" s="43">
        <v>0</v>
      </c>
      <c r="AQ149" s="43">
        <v>0</v>
      </c>
      <c r="AR149" s="43">
        <v>0</v>
      </c>
      <c r="AS149" s="43">
        <v>0</v>
      </c>
      <c r="AT149" s="43">
        <v>0</v>
      </c>
      <c r="AU149" s="43">
        <v>0</v>
      </c>
      <c r="AV149" s="43">
        <v>0</v>
      </c>
      <c r="AW149" s="43">
        <v>0</v>
      </c>
      <c r="AX149" s="43">
        <v>0</v>
      </c>
      <c r="AY149" s="43">
        <v>0</v>
      </c>
      <c r="AZ149" s="43">
        <v>0</v>
      </c>
      <c r="BA149" s="43">
        <v>0</v>
      </c>
      <c r="BB149" s="43">
        <v>0</v>
      </c>
      <c r="BC149" s="43">
        <v>0</v>
      </c>
      <c r="BD149" s="43">
        <v>0</v>
      </c>
      <c r="BE149" s="43">
        <v>0</v>
      </c>
      <c r="BF149" s="43">
        <v>0</v>
      </c>
      <c r="BG149" s="43">
        <v>0</v>
      </c>
      <c r="BH149" s="43">
        <v>0</v>
      </c>
      <c r="BI149" s="43">
        <v>0</v>
      </c>
      <c r="BJ149" s="43" t="s">
        <v>2091</v>
      </c>
      <c r="BK149" s="43" t="s">
        <v>2090</v>
      </c>
      <c r="BL149" s="43" t="s">
        <v>2090</v>
      </c>
      <c r="BM149" s="43" t="s">
        <v>2090</v>
      </c>
      <c r="BN149" s="43" t="s">
        <v>2090</v>
      </c>
      <c r="BO149" s="43" t="s">
        <v>2091</v>
      </c>
      <c r="BP149" s="43" t="s">
        <v>2090</v>
      </c>
      <c r="BQ149" s="43" t="s">
        <v>2091</v>
      </c>
      <c r="BR149" s="43" t="s">
        <v>2090</v>
      </c>
      <c r="BS149" s="43" t="s">
        <v>2090</v>
      </c>
      <c r="BT149" s="43" t="s">
        <v>2090</v>
      </c>
      <c r="BU149" s="43" t="s">
        <v>2090</v>
      </c>
      <c r="BV149" s="43" t="s">
        <v>2090</v>
      </c>
      <c r="BW149" s="43" t="s">
        <v>2090</v>
      </c>
    </row>
    <row r="150" spans="1:75" ht="134.44999999999999" customHeight="1" x14ac:dyDescent="0.25">
      <c r="A150" s="38" t="s">
        <v>915</v>
      </c>
      <c r="B150" s="38" t="s">
        <v>1726</v>
      </c>
      <c r="C150" s="39" t="s">
        <v>916</v>
      </c>
      <c r="D150" s="40" t="s">
        <v>917</v>
      </c>
      <c r="E150" s="41">
        <v>47155.660750000003</v>
      </c>
      <c r="F150" s="41">
        <v>2552531.53492</v>
      </c>
      <c r="G150" s="41">
        <v>279715.3</v>
      </c>
      <c r="H150" s="41">
        <v>245785.4</v>
      </c>
      <c r="I150" s="42">
        <v>1.1072977133026829</v>
      </c>
      <c r="J150" s="41">
        <v>36410.740409999999</v>
      </c>
      <c r="K150" s="41">
        <v>2044237.55856</v>
      </c>
      <c r="L150" s="41">
        <v>416334.5</v>
      </c>
      <c r="M150" s="41">
        <v>417047.7</v>
      </c>
      <c r="N150" s="42">
        <v>0.93566845024269463</v>
      </c>
      <c r="O150" s="41">
        <v>23807.833760000001</v>
      </c>
      <c r="P150" s="41">
        <v>2066801.57161</v>
      </c>
      <c r="Q150" s="41">
        <v>63180</v>
      </c>
      <c r="R150" s="41">
        <v>69661.899999999994</v>
      </c>
      <c r="S150" s="42">
        <v>0.87783421004897511</v>
      </c>
      <c r="T150" s="41">
        <v>64068.820469999999</v>
      </c>
      <c r="U150" s="41">
        <v>2837313.0132200001</v>
      </c>
      <c r="V150" s="41">
        <v>192165.4</v>
      </c>
      <c r="W150" s="41">
        <v>129643.4</v>
      </c>
      <c r="X150" s="42">
        <v>1.2013905075754532</v>
      </c>
      <c r="Y150" s="43">
        <v>2</v>
      </c>
      <c r="Z150" s="43" t="s">
        <v>2090</v>
      </c>
      <c r="AA150" s="43" t="s">
        <v>2091</v>
      </c>
      <c r="AB150" s="43" t="s">
        <v>2090</v>
      </c>
      <c r="AC150" s="43" t="s">
        <v>2090</v>
      </c>
      <c r="AD150" s="43">
        <v>0</v>
      </c>
      <c r="AE150" s="43">
        <v>0</v>
      </c>
      <c r="AF150" s="43">
        <v>0</v>
      </c>
      <c r="AG150" s="43">
        <v>0</v>
      </c>
      <c r="AH150" s="43">
        <v>0</v>
      </c>
      <c r="AI150" s="43">
        <v>0</v>
      </c>
      <c r="AJ150" s="43">
        <v>0</v>
      </c>
      <c r="AK150" s="43">
        <v>0</v>
      </c>
      <c r="AL150" s="43">
        <v>0</v>
      </c>
      <c r="AM150" s="43">
        <v>0</v>
      </c>
      <c r="AN150" s="43">
        <v>1</v>
      </c>
      <c r="AO150" s="43">
        <v>0</v>
      </c>
      <c r="AP150" s="43">
        <v>0</v>
      </c>
      <c r="AQ150" s="43">
        <v>0</v>
      </c>
      <c r="AR150" s="43">
        <v>0</v>
      </c>
      <c r="AS150" s="43">
        <v>0</v>
      </c>
      <c r="AT150" s="43">
        <v>0</v>
      </c>
      <c r="AU150" s="43">
        <v>0</v>
      </c>
      <c r="AV150" s="43">
        <v>0</v>
      </c>
      <c r="AW150" s="43">
        <v>0</v>
      </c>
      <c r="AX150" s="43">
        <v>0</v>
      </c>
      <c r="AY150" s="43">
        <v>0</v>
      </c>
      <c r="AZ150" s="43">
        <v>0</v>
      </c>
      <c r="BA150" s="43">
        <v>0</v>
      </c>
      <c r="BB150" s="43">
        <v>0</v>
      </c>
      <c r="BC150" s="43">
        <v>0</v>
      </c>
      <c r="BD150" s="43">
        <v>0</v>
      </c>
      <c r="BE150" s="43">
        <v>0</v>
      </c>
      <c r="BF150" s="43">
        <v>0</v>
      </c>
      <c r="BG150" s="43">
        <v>0</v>
      </c>
      <c r="BH150" s="43">
        <v>0</v>
      </c>
      <c r="BI150" s="43">
        <v>0</v>
      </c>
      <c r="BJ150" s="43" t="s">
        <v>2090</v>
      </c>
      <c r="BK150" s="43" t="s">
        <v>2090</v>
      </c>
      <c r="BL150" s="43" t="s">
        <v>2090</v>
      </c>
      <c r="BM150" s="43" t="s">
        <v>2090</v>
      </c>
      <c r="BN150" s="43" t="s">
        <v>2090</v>
      </c>
      <c r="BO150" s="43" t="s">
        <v>2090</v>
      </c>
      <c r="BP150" s="43" t="s">
        <v>2090</v>
      </c>
      <c r="BQ150" s="43" t="s">
        <v>2090</v>
      </c>
      <c r="BR150" s="43" t="s">
        <v>2091</v>
      </c>
      <c r="BS150" s="43" t="s">
        <v>2090</v>
      </c>
      <c r="BT150" s="43" t="s">
        <v>2091</v>
      </c>
      <c r="BU150" s="43" t="s">
        <v>2090</v>
      </c>
      <c r="BV150" s="43" t="s">
        <v>2090</v>
      </c>
      <c r="BW150" s="43" t="s">
        <v>2090</v>
      </c>
    </row>
    <row r="151" spans="1:75" ht="167.45" customHeight="1" x14ac:dyDescent="0.25">
      <c r="A151" s="38" t="s">
        <v>918</v>
      </c>
      <c r="B151" s="38" t="s">
        <v>1727</v>
      </c>
      <c r="C151" s="39" t="s">
        <v>919</v>
      </c>
      <c r="D151" s="40" t="s">
        <v>920</v>
      </c>
      <c r="E151" s="41">
        <v>41798.715320000003</v>
      </c>
      <c r="F151" s="41">
        <v>2407334.87512</v>
      </c>
      <c r="G151" s="41">
        <v>464925.7</v>
      </c>
      <c r="H151" s="41">
        <v>447612.5</v>
      </c>
      <c r="I151" s="42">
        <v>1.000241840539384</v>
      </c>
      <c r="J151" s="41">
        <v>4414.2580500000004</v>
      </c>
      <c r="K151" s="41">
        <v>2235.4992200000002</v>
      </c>
      <c r="L151" s="41">
        <v>101798.6</v>
      </c>
      <c r="M151" s="41">
        <v>574316.6</v>
      </c>
      <c r="N151" s="42">
        <v>0.16055261574601687</v>
      </c>
      <c r="O151" s="41">
        <v>9250.8081299999994</v>
      </c>
      <c r="P151" s="41">
        <v>1250793.7169300001</v>
      </c>
      <c r="Q151" s="41">
        <v>119636.8</v>
      </c>
      <c r="R151" s="41">
        <v>194187.8</v>
      </c>
      <c r="S151" s="42">
        <v>0.57754101239151168</v>
      </c>
      <c r="T151" s="41">
        <v>4836.6169600000003</v>
      </c>
      <c r="U151" s="41">
        <v>405129.13097</v>
      </c>
      <c r="V151" s="41">
        <v>121949.3</v>
      </c>
      <c r="W151" s="41">
        <v>389156.5</v>
      </c>
      <c r="X151" s="42">
        <v>0.28747731285609956</v>
      </c>
      <c r="Y151" s="43">
        <v>2</v>
      </c>
      <c r="Z151" s="43" t="s">
        <v>2090</v>
      </c>
      <c r="AA151" s="43" t="s">
        <v>2090</v>
      </c>
      <c r="AB151" s="43" t="s">
        <v>2090</v>
      </c>
      <c r="AC151" s="43" t="s">
        <v>2090</v>
      </c>
      <c r="AD151" s="43">
        <v>0</v>
      </c>
      <c r="AE151" s="43">
        <v>0</v>
      </c>
      <c r="AF151" s="43">
        <v>0</v>
      </c>
      <c r="AG151" s="43">
        <v>0</v>
      </c>
      <c r="AH151" s="43">
        <v>0</v>
      </c>
      <c r="AI151" s="43">
        <v>0</v>
      </c>
      <c r="AJ151" s="43">
        <v>0</v>
      </c>
      <c r="AK151" s="43">
        <v>0</v>
      </c>
      <c r="AL151" s="43">
        <v>0</v>
      </c>
      <c r="AM151" s="43">
        <v>0</v>
      </c>
      <c r="AN151" s="43">
        <v>0</v>
      </c>
      <c r="AO151" s="43">
        <v>0</v>
      </c>
      <c r="AP151" s="43">
        <v>0</v>
      </c>
      <c r="AQ151" s="43">
        <v>0</v>
      </c>
      <c r="AR151" s="43">
        <v>1</v>
      </c>
      <c r="AS151" s="43">
        <v>0</v>
      </c>
      <c r="AT151" s="43">
        <v>0</v>
      </c>
      <c r="AU151" s="43">
        <v>0</v>
      </c>
      <c r="AV151" s="43">
        <v>0</v>
      </c>
      <c r="AW151" s="43">
        <v>1</v>
      </c>
      <c r="AX151" s="43">
        <v>0</v>
      </c>
      <c r="AY151" s="43">
        <v>0</v>
      </c>
      <c r="AZ151" s="43">
        <v>0</v>
      </c>
      <c r="BA151" s="43">
        <v>0</v>
      </c>
      <c r="BB151" s="43">
        <v>0</v>
      </c>
      <c r="BC151" s="43">
        <v>0</v>
      </c>
      <c r="BD151" s="43">
        <v>0</v>
      </c>
      <c r="BE151" s="43">
        <v>0</v>
      </c>
      <c r="BF151" s="43">
        <v>0</v>
      </c>
      <c r="BG151" s="43">
        <v>0</v>
      </c>
      <c r="BH151" s="43">
        <v>0</v>
      </c>
      <c r="BI151" s="43">
        <v>0</v>
      </c>
      <c r="BJ151" s="43" t="s">
        <v>2090</v>
      </c>
      <c r="BK151" s="43" t="s">
        <v>2090</v>
      </c>
      <c r="BL151" s="43" t="s">
        <v>2090</v>
      </c>
      <c r="BM151" s="43" t="s">
        <v>2090</v>
      </c>
      <c r="BN151" s="43" t="s">
        <v>2090</v>
      </c>
      <c r="BO151" s="43" t="s">
        <v>2090</v>
      </c>
      <c r="BP151" s="43" t="s">
        <v>2090</v>
      </c>
      <c r="BQ151" s="43" t="s">
        <v>2090</v>
      </c>
      <c r="BR151" s="43" t="s">
        <v>2090</v>
      </c>
      <c r="BS151" s="43" t="s">
        <v>2090</v>
      </c>
      <c r="BT151" s="43" t="s">
        <v>2090</v>
      </c>
      <c r="BU151" s="43" t="s">
        <v>2090</v>
      </c>
      <c r="BV151" s="43" t="s">
        <v>2090</v>
      </c>
      <c r="BW151" s="43" t="s">
        <v>2090</v>
      </c>
    </row>
    <row r="152" spans="1:75" ht="164.45" customHeight="1" x14ac:dyDescent="0.25">
      <c r="A152" s="38" t="s">
        <v>921</v>
      </c>
      <c r="B152" s="38" t="s">
        <v>1728</v>
      </c>
      <c r="C152" s="39" t="s">
        <v>922</v>
      </c>
      <c r="D152" s="40" t="s">
        <v>923</v>
      </c>
      <c r="E152" s="41">
        <v>58909.301800000001</v>
      </c>
      <c r="F152" s="41">
        <v>2753139.00869</v>
      </c>
      <c r="G152" s="41">
        <v>501700.6</v>
      </c>
      <c r="H152" s="41">
        <v>407107.2</v>
      </c>
      <c r="I152" s="42">
        <v>1.2034321428892143</v>
      </c>
      <c r="J152" s="41">
        <v>3743.8372899999999</v>
      </c>
      <c r="K152" s="41">
        <v>155199.39170000001</v>
      </c>
      <c r="L152" s="41">
        <v>157179</v>
      </c>
      <c r="M152" s="41">
        <v>526827</v>
      </c>
      <c r="N152" s="42">
        <v>0.26219662370321078</v>
      </c>
      <c r="O152" s="41">
        <v>7224.4484400000001</v>
      </c>
      <c r="P152" s="41">
        <v>932947.70325000002</v>
      </c>
      <c r="Q152" s="41">
        <v>99933.9</v>
      </c>
      <c r="R152" s="41">
        <v>187477.9</v>
      </c>
      <c r="S152" s="42">
        <v>0.51164929698437067</v>
      </c>
      <c r="T152" s="41">
        <v>6776.0701300000001</v>
      </c>
      <c r="U152" s="41">
        <v>584685.80692999996</v>
      </c>
      <c r="V152" s="41">
        <v>165392.9</v>
      </c>
      <c r="W152" s="41">
        <v>399690.3</v>
      </c>
      <c r="X152" s="42">
        <v>0.37933205967533895</v>
      </c>
      <c r="Y152" s="43">
        <v>2</v>
      </c>
      <c r="Z152" s="43" t="s">
        <v>2091</v>
      </c>
      <c r="AA152" s="43" t="s">
        <v>2090</v>
      </c>
      <c r="AB152" s="43" t="s">
        <v>2090</v>
      </c>
      <c r="AC152" s="43" t="s">
        <v>2090</v>
      </c>
      <c r="AD152" s="43">
        <v>0</v>
      </c>
      <c r="AE152" s="43">
        <v>1</v>
      </c>
      <c r="AF152" s="43">
        <v>0</v>
      </c>
      <c r="AG152" s="43">
        <v>0</v>
      </c>
      <c r="AH152" s="43">
        <v>0</v>
      </c>
      <c r="AI152" s="43">
        <v>0</v>
      </c>
      <c r="AJ152" s="43">
        <v>0</v>
      </c>
      <c r="AK152" s="43">
        <v>0</v>
      </c>
      <c r="AL152" s="43">
        <v>0</v>
      </c>
      <c r="AM152" s="43">
        <v>0</v>
      </c>
      <c r="AN152" s="43">
        <v>0</v>
      </c>
      <c r="AO152" s="43">
        <v>0</v>
      </c>
      <c r="AP152" s="43">
        <v>0</v>
      </c>
      <c r="AQ152" s="43">
        <v>0</v>
      </c>
      <c r="AR152" s="43">
        <v>0</v>
      </c>
      <c r="AS152" s="43">
        <v>0</v>
      </c>
      <c r="AT152" s="43">
        <v>0</v>
      </c>
      <c r="AU152" s="43">
        <v>0</v>
      </c>
      <c r="AV152" s="43">
        <v>0</v>
      </c>
      <c r="AW152" s="43">
        <v>0</v>
      </c>
      <c r="AX152" s="43">
        <v>0</v>
      </c>
      <c r="AY152" s="43">
        <v>0</v>
      </c>
      <c r="AZ152" s="43">
        <v>0</v>
      </c>
      <c r="BA152" s="43">
        <v>0</v>
      </c>
      <c r="BB152" s="43">
        <v>0</v>
      </c>
      <c r="BC152" s="43">
        <v>0</v>
      </c>
      <c r="BD152" s="43">
        <v>0</v>
      </c>
      <c r="BE152" s="43">
        <v>0</v>
      </c>
      <c r="BF152" s="43">
        <v>0</v>
      </c>
      <c r="BG152" s="43">
        <v>0</v>
      </c>
      <c r="BH152" s="43">
        <v>0</v>
      </c>
      <c r="BI152" s="43">
        <v>0</v>
      </c>
      <c r="BJ152" s="43" t="s">
        <v>2090</v>
      </c>
      <c r="BK152" s="43" t="s">
        <v>2090</v>
      </c>
      <c r="BL152" s="43" t="s">
        <v>2090</v>
      </c>
      <c r="BM152" s="43" t="s">
        <v>2090</v>
      </c>
      <c r="BN152" s="43" t="s">
        <v>2090</v>
      </c>
      <c r="BO152" s="43" t="s">
        <v>2090</v>
      </c>
      <c r="BP152" s="43" t="s">
        <v>2090</v>
      </c>
      <c r="BQ152" s="43" t="s">
        <v>2090</v>
      </c>
      <c r="BR152" s="43" t="s">
        <v>2090</v>
      </c>
      <c r="BS152" s="43" t="s">
        <v>2090</v>
      </c>
      <c r="BT152" s="43" t="s">
        <v>2090</v>
      </c>
      <c r="BU152" s="43" t="s">
        <v>2090</v>
      </c>
      <c r="BV152" s="43" t="s">
        <v>2090</v>
      </c>
      <c r="BW152" s="43" t="s">
        <v>2090</v>
      </c>
    </row>
    <row r="153" spans="1:75" ht="185.45" customHeight="1" x14ac:dyDescent="0.25">
      <c r="A153" s="38" t="s">
        <v>924</v>
      </c>
      <c r="B153" s="38" t="s">
        <v>1729</v>
      </c>
      <c r="C153" s="39" t="s">
        <v>925</v>
      </c>
      <c r="D153" s="40" t="s">
        <v>926</v>
      </c>
      <c r="E153" s="41">
        <v>85789.643190000003</v>
      </c>
      <c r="F153" s="41">
        <v>3327427.9052800001</v>
      </c>
      <c r="G153" s="41">
        <v>556884.5</v>
      </c>
      <c r="H153" s="41">
        <v>416574.5</v>
      </c>
      <c r="I153" s="42">
        <v>1.3290952534637881</v>
      </c>
      <c r="J153" s="41">
        <v>12570.22431</v>
      </c>
      <c r="K153" s="41">
        <v>1202835.27773</v>
      </c>
      <c r="L153" s="41">
        <v>302007.2</v>
      </c>
      <c r="M153" s="41">
        <v>484332.3</v>
      </c>
      <c r="N153" s="42">
        <v>0.58211146240158695</v>
      </c>
      <c r="O153" s="41">
        <v>9332.2146900000007</v>
      </c>
      <c r="P153" s="41">
        <v>1134336.98554</v>
      </c>
      <c r="Q153" s="41">
        <v>125557.6</v>
      </c>
      <c r="R153" s="41">
        <v>199134.5</v>
      </c>
      <c r="S153" s="42">
        <v>0.58996796251135653</v>
      </c>
      <c r="T153" s="41">
        <v>28836.6</v>
      </c>
      <c r="U153" s="41">
        <v>1988993.0003599999</v>
      </c>
      <c r="V153" s="41">
        <v>162388.9</v>
      </c>
      <c r="W153" s="41">
        <v>199583.2</v>
      </c>
      <c r="X153" s="42">
        <v>0.74388939277657629</v>
      </c>
      <c r="Y153" s="43">
        <v>2</v>
      </c>
      <c r="Z153" s="43" t="s">
        <v>2091</v>
      </c>
      <c r="AA153" s="43" t="s">
        <v>2090</v>
      </c>
      <c r="AB153" s="43" t="s">
        <v>2090</v>
      </c>
      <c r="AC153" s="43" t="s">
        <v>2090</v>
      </c>
      <c r="AD153" s="43">
        <v>0</v>
      </c>
      <c r="AE153" s="43">
        <v>1</v>
      </c>
      <c r="AF153" s="43">
        <v>0</v>
      </c>
      <c r="AG153" s="43">
        <v>0</v>
      </c>
      <c r="AH153" s="43">
        <v>0</v>
      </c>
      <c r="AI153" s="43">
        <v>0</v>
      </c>
      <c r="AJ153" s="43">
        <v>0</v>
      </c>
      <c r="AK153" s="43">
        <v>0</v>
      </c>
      <c r="AL153" s="43">
        <v>0</v>
      </c>
      <c r="AM153" s="43">
        <v>0</v>
      </c>
      <c r="AN153" s="43">
        <v>0</v>
      </c>
      <c r="AO153" s="43">
        <v>0</v>
      </c>
      <c r="AP153" s="43">
        <v>0</v>
      </c>
      <c r="AQ153" s="43">
        <v>0</v>
      </c>
      <c r="AR153" s="43">
        <v>0</v>
      </c>
      <c r="AS153" s="43">
        <v>0</v>
      </c>
      <c r="AT153" s="43">
        <v>0</v>
      </c>
      <c r="AU153" s="43">
        <v>0</v>
      </c>
      <c r="AV153" s="43">
        <v>0</v>
      </c>
      <c r="AW153" s="43">
        <v>0</v>
      </c>
      <c r="AX153" s="43">
        <v>0</v>
      </c>
      <c r="AY153" s="43">
        <v>0</v>
      </c>
      <c r="AZ153" s="43">
        <v>0</v>
      </c>
      <c r="BA153" s="43">
        <v>0</v>
      </c>
      <c r="BB153" s="43">
        <v>0</v>
      </c>
      <c r="BC153" s="43">
        <v>0</v>
      </c>
      <c r="BD153" s="43">
        <v>0</v>
      </c>
      <c r="BE153" s="43">
        <v>0</v>
      </c>
      <c r="BF153" s="43">
        <v>0</v>
      </c>
      <c r="BG153" s="43">
        <v>0</v>
      </c>
      <c r="BH153" s="43">
        <v>0</v>
      </c>
      <c r="BI153" s="43">
        <v>0</v>
      </c>
      <c r="BJ153" s="43" t="s">
        <v>2090</v>
      </c>
      <c r="BK153" s="43" t="s">
        <v>2090</v>
      </c>
      <c r="BL153" s="43" t="s">
        <v>2090</v>
      </c>
      <c r="BM153" s="43" t="s">
        <v>2090</v>
      </c>
      <c r="BN153" s="43" t="s">
        <v>2090</v>
      </c>
      <c r="BO153" s="43" t="s">
        <v>2090</v>
      </c>
      <c r="BP153" s="43" t="s">
        <v>2090</v>
      </c>
      <c r="BQ153" s="43" t="s">
        <v>2090</v>
      </c>
      <c r="BR153" s="43" t="s">
        <v>2090</v>
      </c>
      <c r="BS153" s="43" t="s">
        <v>2090</v>
      </c>
      <c r="BT153" s="43" t="s">
        <v>2090</v>
      </c>
      <c r="BU153" s="43" t="s">
        <v>2090</v>
      </c>
      <c r="BV153" s="43" t="s">
        <v>2090</v>
      </c>
      <c r="BW153" s="43" t="s">
        <v>2090</v>
      </c>
    </row>
    <row r="154" spans="1:75" ht="112.7" customHeight="1" x14ac:dyDescent="0.25">
      <c r="A154" s="38" t="s">
        <v>927</v>
      </c>
      <c r="B154" s="38" t="s">
        <v>1730</v>
      </c>
      <c r="C154" s="39" t="s">
        <v>928</v>
      </c>
      <c r="D154" s="40" t="s">
        <v>929</v>
      </c>
      <c r="E154" s="41">
        <v>65138.20882</v>
      </c>
      <c r="F154" s="41">
        <v>2933886.5876699998</v>
      </c>
      <c r="G154" s="41">
        <v>509799.2</v>
      </c>
      <c r="H154" s="41">
        <v>406861.8</v>
      </c>
      <c r="I154" s="42">
        <v>1.2205179946955551</v>
      </c>
      <c r="J154" s="41">
        <v>1751.05465</v>
      </c>
      <c r="K154" s="41">
        <v>308841.21451000002</v>
      </c>
      <c r="L154" s="41">
        <v>212323.6</v>
      </c>
      <c r="M154" s="41">
        <v>565767.19999999995</v>
      </c>
      <c r="N154" s="42">
        <v>0.30916369943301031</v>
      </c>
      <c r="O154" s="41">
        <v>52601.036099999998</v>
      </c>
      <c r="P154" s="41">
        <v>2770962.2773099998</v>
      </c>
      <c r="Q154" s="41">
        <v>154131.79999999999</v>
      </c>
      <c r="R154" s="41">
        <v>132747.70000000001</v>
      </c>
      <c r="S154" s="42">
        <v>1.1122442393338927</v>
      </c>
      <c r="T154" s="41">
        <v>10309.879730000001</v>
      </c>
      <c r="U154" s="41">
        <v>1109011.75104</v>
      </c>
      <c r="V154" s="41">
        <v>125697.8</v>
      </c>
      <c r="W154" s="41">
        <v>277324.90000000002</v>
      </c>
      <c r="X154" s="42">
        <v>0.42443243335407804</v>
      </c>
      <c r="Y154" s="43">
        <v>2</v>
      </c>
      <c r="Z154" s="43" t="s">
        <v>2091</v>
      </c>
      <c r="AA154" s="43" t="s">
        <v>2090</v>
      </c>
      <c r="AB154" s="43" t="s">
        <v>2090</v>
      </c>
      <c r="AC154" s="43" t="s">
        <v>2090</v>
      </c>
      <c r="AD154" s="43">
        <v>0</v>
      </c>
      <c r="AE154" s="43">
        <v>0</v>
      </c>
      <c r="AF154" s="43">
        <v>0</v>
      </c>
      <c r="AG154" s="43">
        <v>1</v>
      </c>
      <c r="AH154" s="43">
        <v>0</v>
      </c>
      <c r="AI154" s="43">
        <v>0</v>
      </c>
      <c r="AJ154" s="43">
        <v>0</v>
      </c>
      <c r="AK154" s="43">
        <v>0</v>
      </c>
      <c r="AL154" s="43">
        <v>0</v>
      </c>
      <c r="AM154" s="43">
        <v>0</v>
      </c>
      <c r="AN154" s="43">
        <v>0</v>
      </c>
      <c r="AO154" s="43">
        <v>0</v>
      </c>
      <c r="AP154" s="43">
        <v>0</v>
      </c>
      <c r="AQ154" s="43">
        <v>0</v>
      </c>
      <c r="AR154" s="43">
        <v>0</v>
      </c>
      <c r="AS154" s="43">
        <v>0</v>
      </c>
      <c r="AT154" s="43">
        <v>0</v>
      </c>
      <c r="AU154" s="43">
        <v>0</v>
      </c>
      <c r="AV154" s="43">
        <v>0</v>
      </c>
      <c r="AW154" s="43">
        <v>0</v>
      </c>
      <c r="AX154" s="43">
        <v>0</v>
      </c>
      <c r="AY154" s="43">
        <v>0</v>
      </c>
      <c r="AZ154" s="43">
        <v>0</v>
      </c>
      <c r="BA154" s="43">
        <v>0</v>
      </c>
      <c r="BB154" s="43">
        <v>0</v>
      </c>
      <c r="BC154" s="43">
        <v>0</v>
      </c>
      <c r="BD154" s="43">
        <v>0</v>
      </c>
      <c r="BE154" s="43">
        <v>0</v>
      </c>
      <c r="BF154" s="43">
        <v>0</v>
      </c>
      <c r="BG154" s="43">
        <v>0</v>
      </c>
      <c r="BH154" s="43">
        <v>0</v>
      </c>
      <c r="BI154" s="43">
        <v>0</v>
      </c>
      <c r="BJ154" s="43" t="s">
        <v>2090</v>
      </c>
      <c r="BK154" s="43" t="s">
        <v>2090</v>
      </c>
      <c r="BL154" s="43" t="s">
        <v>2090</v>
      </c>
      <c r="BM154" s="43" t="s">
        <v>2090</v>
      </c>
      <c r="BN154" s="43" t="s">
        <v>2090</v>
      </c>
      <c r="BO154" s="43" t="s">
        <v>2090</v>
      </c>
      <c r="BP154" s="43" t="s">
        <v>2090</v>
      </c>
      <c r="BQ154" s="43" t="s">
        <v>2090</v>
      </c>
      <c r="BR154" s="43" t="s">
        <v>2090</v>
      </c>
      <c r="BS154" s="43" t="s">
        <v>2090</v>
      </c>
      <c r="BT154" s="43" t="s">
        <v>2090</v>
      </c>
      <c r="BU154" s="43" t="s">
        <v>2090</v>
      </c>
      <c r="BV154" s="43" t="s">
        <v>2090</v>
      </c>
      <c r="BW154" s="43" t="s">
        <v>2090</v>
      </c>
    </row>
    <row r="155" spans="1:75" ht="120.2" customHeight="1" x14ac:dyDescent="0.25">
      <c r="A155" s="38" t="s">
        <v>930</v>
      </c>
      <c r="B155" s="38" t="s">
        <v>1731</v>
      </c>
      <c r="C155" s="39" t="s">
        <v>931</v>
      </c>
      <c r="D155" s="40" t="s">
        <v>932</v>
      </c>
      <c r="E155" s="41">
        <v>58826.384899999997</v>
      </c>
      <c r="F155" s="41">
        <v>2747562.2514300002</v>
      </c>
      <c r="G155" s="41">
        <v>127258.6</v>
      </c>
      <c r="H155" s="41">
        <v>89055.8</v>
      </c>
      <c r="I155" s="42">
        <v>1.3720218269435192</v>
      </c>
      <c r="J155" s="41">
        <v>2181.3013999999998</v>
      </c>
      <c r="K155" s="41">
        <v>0</v>
      </c>
      <c r="L155" s="41">
        <v>133628.70000000001</v>
      </c>
      <c r="M155" s="41">
        <v>223905.9</v>
      </c>
      <c r="N155" s="42">
        <v>0.57867241873241104</v>
      </c>
      <c r="O155" s="41">
        <v>5806.5253499999999</v>
      </c>
      <c r="P155" s="41">
        <v>845756.36481000006</v>
      </c>
      <c r="Q155" s="41">
        <v>17121</v>
      </c>
      <c r="R155" s="41">
        <v>66695.3</v>
      </c>
      <c r="S155" s="42">
        <v>0.25292906750803212</v>
      </c>
      <c r="T155" s="41">
        <v>4463.8169699999999</v>
      </c>
      <c r="U155" s="41">
        <v>383039.71869000001</v>
      </c>
      <c r="V155" s="41">
        <v>38404.6</v>
      </c>
      <c r="W155" s="41">
        <v>170214.9</v>
      </c>
      <c r="X155" s="42">
        <v>0.22484237737749022</v>
      </c>
      <c r="Y155" s="43">
        <v>2</v>
      </c>
      <c r="Z155" s="43" t="s">
        <v>2091</v>
      </c>
      <c r="AA155" s="43" t="s">
        <v>2090</v>
      </c>
      <c r="AB155" s="43" t="s">
        <v>2090</v>
      </c>
      <c r="AC155" s="43" t="s">
        <v>2090</v>
      </c>
      <c r="AD155" s="43">
        <v>0</v>
      </c>
      <c r="AE155" s="43">
        <v>0</v>
      </c>
      <c r="AF155" s="43">
        <v>0</v>
      </c>
      <c r="AG155" s="43">
        <v>0</v>
      </c>
      <c r="AH155" s="43">
        <v>1</v>
      </c>
      <c r="AI155" s="43">
        <v>0</v>
      </c>
      <c r="AJ155" s="43">
        <v>0</v>
      </c>
      <c r="AK155" s="43">
        <v>0</v>
      </c>
      <c r="AL155" s="43">
        <v>0</v>
      </c>
      <c r="AM155" s="43">
        <v>0</v>
      </c>
      <c r="AN155" s="43">
        <v>0</v>
      </c>
      <c r="AO155" s="43">
        <v>0</v>
      </c>
      <c r="AP155" s="43">
        <v>0</v>
      </c>
      <c r="AQ155" s="43">
        <v>0</v>
      </c>
      <c r="AR155" s="43">
        <v>0</v>
      </c>
      <c r="AS155" s="43">
        <v>0</v>
      </c>
      <c r="AT155" s="43">
        <v>0</v>
      </c>
      <c r="AU155" s="43">
        <v>0</v>
      </c>
      <c r="AV155" s="43">
        <v>0</v>
      </c>
      <c r="AW155" s="43">
        <v>0</v>
      </c>
      <c r="AX155" s="43">
        <v>0</v>
      </c>
      <c r="AY155" s="43">
        <v>0</v>
      </c>
      <c r="AZ155" s="43">
        <v>0</v>
      </c>
      <c r="BA155" s="43">
        <v>0</v>
      </c>
      <c r="BB155" s="43">
        <v>0</v>
      </c>
      <c r="BC155" s="43">
        <v>0</v>
      </c>
      <c r="BD155" s="43">
        <v>0</v>
      </c>
      <c r="BE155" s="43">
        <v>0</v>
      </c>
      <c r="BF155" s="43">
        <v>0</v>
      </c>
      <c r="BG155" s="43">
        <v>0</v>
      </c>
      <c r="BH155" s="43">
        <v>0</v>
      </c>
      <c r="BI155" s="43">
        <v>0</v>
      </c>
      <c r="BJ155" s="43" t="s">
        <v>2090</v>
      </c>
      <c r="BK155" s="43" t="s">
        <v>2090</v>
      </c>
      <c r="BL155" s="43" t="s">
        <v>2090</v>
      </c>
      <c r="BM155" s="43" t="s">
        <v>2090</v>
      </c>
      <c r="BN155" s="43" t="s">
        <v>2090</v>
      </c>
      <c r="BO155" s="43" t="s">
        <v>2090</v>
      </c>
      <c r="BP155" s="43" t="s">
        <v>2090</v>
      </c>
      <c r="BQ155" s="43" t="s">
        <v>2090</v>
      </c>
      <c r="BR155" s="43" t="s">
        <v>2090</v>
      </c>
      <c r="BS155" s="43" t="s">
        <v>2090</v>
      </c>
      <c r="BT155" s="43" t="s">
        <v>2090</v>
      </c>
      <c r="BU155" s="43" t="s">
        <v>2090</v>
      </c>
      <c r="BV155" s="43" t="s">
        <v>2090</v>
      </c>
      <c r="BW155" s="43" t="s">
        <v>2090</v>
      </c>
    </row>
    <row r="156" spans="1:75" ht="119.45" customHeight="1" x14ac:dyDescent="0.25">
      <c r="A156" s="38" t="s">
        <v>933</v>
      </c>
      <c r="B156" s="38" t="s">
        <v>1732</v>
      </c>
      <c r="C156" s="39" t="s">
        <v>934</v>
      </c>
      <c r="D156" s="40" t="s">
        <v>935</v>
      </c>
      <c r="E156" s="41">
        <v>60853.692159999999</v>
      </c>
      <c r="F156" s="41">
        <v>2928036.0523199998</v>
      </c>
      <c r="G156" s="41">
        <v>445843.7</v>
      </c>
      <c r="H156" s="41">
        <v>362964.7</v>
      </c>
      <c r="I156" s="42">
        <v>1.2086093266595399</v>
      </c>
      <c r="J156" s="41">
        <v>1523.44802</v>
      </c>
      <c r="K156" s="41">
        <v>287808.82484000002</v>
      </c>
      <c r="L156" s="41">
        <v>171490.7</v>
      </c>
      <c r="M156" s="41">
        <v>464758.1</v>
      </c>
      <c r="N156" s="42">
        <v>0.3362200326996409</v>
      </c>
      <c r="O156" s="41">
        <v>0</v>
      </c>
      <c r="P156" s="41">
        <v>63874.378270000001</v>
      </c>
      <c r="Q156" s="41">
        <v>99912.1</v>
      </c>
      <c r="R156" s="41">
        <v>420282.7</v>
      </c>
      <c r="S156" s="42">
        <v>0.21970279710318341</v>
      </c>
      <c r="T156" s="41">
        <v>6077.0581499999998</v>
      </c>
      <c r="U156" s="41">
        <v>0</v>
      </c>
      <c r="V156" s="41">
        <v>86290.1</v>
      </c>
      <c r="W156" s="41">
        <v>272949.59999999998</v>
      </c>
      <c r="X156" s="42">
        <v>0.30152210678907948</v>
      </c>
      <c r="Y156" s="43">
        <v>2</v>
      </c>
      <c r="Z156" s="43" t="s">
        <v>2091</v>
      </c>
      <c r="AA156" s="43" t="s">
        <v>2090</v>
      </c>
      <c r="AB156" s="43" t="s">
        <v>2090</v>
      </c>
      <c r="AC156" s="43" t="s">
        <v>2090</v>
      </c>
      <c r="AD156" s="43">
        <v>0</v>
      </c>
      <c r="AE156" s="43">
        <v>0</v>
      </c>
      <c r="AF156" s="43">
        <v>0</v>
      </c>
      <c r="AG156" s="43">
        <v>0</v>
      </c>
      <c r="AH156" s="43">
        <v>0</v>
      </c>
      <c r="AI156" s="43">
        <v>1</v>
      </c>
      <c r="AJ156" s="43">
        <v>0</v>
      </c>
      <c r="AK156" s="43">
        <v>0</v>
      </c>
      <c r="AL156" s="43">
        <v>0</v>
      </c>
      <c r="AM156" s="43">
        <v>0</v>
      </c>
      <c r="AN156" s="43">
        <v>0</v>
      </c>
      <c r="AO156" s="43">
        <v>0</v>
      </c>
      <c r="AP156" s="43">
        <v>0</v>
      </c>
      <c r="AQ156" s="43">
        <v>0</v>
      </c>
      <c r="AR156" s="43">
        <v>0</v>
      </c>
      <c r="AS156" s="43">
        <v>0</v>
      </c>
      <c r="AT156" s="43">
        <v>0</v>
      </c>
      <c r="AU156" s="43">
        <v>0</v>
      </c>
      <c r="AV156" s="43">
        <v>0</v>
      </c>
      <c r="AW156" s="43">
        <v>0</v>
      </c>
      <c r="AX156" s="43">
        <v>0</v>
      </c>
      <c r="AY156" s="43">
        <v>0</v>
      </c>
      <c r="AZ156" s="43">
        <v>0</v>
      </c>
      <c r="BA156" s="43">
        <v>0</v>
      </c>
      <c r="BB156" s="43">
        <v>0</v>
      </c>
      <c r="BC156" s="43">
        <v>0</v>
      </c>
      <c r="BD156" s="43">
        <v>0</v>
      </c>
      <c r="BE156" s="43">
        <v>0</v>
      </c>
      <c r="BF156" s="43">
        <v>0</v>
      </c>
      <c r="BG156" s="43">
        <v>0</v>
      </c>
      <c r="BH156" s="43">
        <v>0</v>
      </c>
      <c r="BI156" s="43">
        <v>0</v>
      </c>
      <c r="BJ156" s="43" t="s">
        <v>2090</v>
      </c>
      <c r="BK156" s="43" t="s">
        <v>2090</v>
      </c>
      <c r="BL156" s="43" t="s">
        <v>2090</v>
      </c>
      <c r="BM156" s="43" t="s">
        <v>2090</v>
      </c>
      <c r="BN156" s="43" t="s">
        <v>2090</v>
      </c>
      <c r="BO156" s="43" t="s">
        <v>2090</v>
      </c>
      <c r="BP156" s="43" t="s">
        <v>2090</v>
      </c>
      <c r="BQ156" s="43" t="s">
        <v>2090</v>
      </c>
      <c r="BR156" s="43" t="s">
        <v>2090</v>
      </c>
      <c r="BS156" s="43" t="s">
        <v>2090</v>
      </c>
      <c r="BT156" s="43" t="s">
        <v>2090</v>
      </c>
      <c r="BU156" s="43" t="s">
        <v>2091</v>
      </c>
      <c r="BV156" s="43" t="s">
        <v>2090</v>
      </c>
      <c r="BW156" s="43" t="s">
        <v>2090</v>
      </c>
    </row>
    <row r="157" spans="1:75" ht="129.94999999999999" customHeight="1" x14ac:dyDescent="0.25">
      <c r="A157" s="38" t="s">
        <v>936</v>
      </c>
      <c r="B157" s="38" t="s">
        <v>1733</v>
      </c>
      <c r="C157" s="39" t="s">
        <v>937</v>
      </c>
      <c r="D157" s="40" t="s">
        <v>938</v>
      </c>
      <c r="E157" s="41">
        <v>54873.652340000001</v>
      </c>
      <c r="F157" s="41">
        <v>2744027.5752500002</v>
      </c>
      <c r="G157" s="41">
        <v>524347.5</v>
      </c>
      <c r="H157" s="41">
        <v>453596.6</v>
      </c>
      <c r="I157" s="42">
        <v>1.1382454588330593</v>
      </c>
      <c r="J157" s="41">
        <v>8040.3763399999998</v>
      </c>
      <c r="K157" s="41">
        <v>954318.37146000005</v>
      </c>
      <c r="L157" s="41">
        <v>214438.6</v>
      </c>
      <c r="M157" s="41">
        <v>426768.4</v>
      </c>
      <c r="N157" s="42">
        <v>0.47294288687124952</v>
      </c>
      <c r="O157" s="41">
        <v>0</v>
      </c>
      <c r="P157" s="41">
        <v>97701.220780000003</v>
      </c>
      <c r="Q157" s="41">
        <v>129132</v>
      </c>
      <c r="R157" s="41">
        <v>593964</v>
      </c>
      <c r="S157" s="42">
        <v>0.19137286606217466</v>
      </c>
      <c r="T157" s="41">
        <v>9521.6369599999998</v>
      </c>
      <c r="U157" s="41">
        <v>1082969.87472</v>
      </c>
      <c r="V157" s="41">
        <v>111092.1</v>
      </c>
      <c r="W157" s="41">
        <v>243093.6</v>
      </c>
      <c r="X157" s="42">
        <v>0.43101300437530377</v>
      </c>
      <c r="Y157" s="43">
        <v>2</v>
      </c>
      <c r="Z157" s="43" t="s">
        <v>2091</v>
      </c>
      <c r="AA157" s="43" t="s">
        <v>2090</v>
      </c>
      <c r="AB157" s="43" t="s">
        <v>2090</v>
      </c>
      <c r="AC157" s="43" t="s">
        <v>2090</v>
      </c>
      <c r="AD157" s="43">
        <v>0</v>
      </c>
      <c r="AE157" s="43">
        <v>0</v>
      </c>
      <c r="AF157" s="43">
        <v>0</v>
      </c>
      <c r="AG157" s="43">
        <v>0</v>
      </c>
      <c r="AH157" s="43">
        <v>0</v>
      </c>
      <c r="AI157" s="43">
        <v>1</v>
      </c>
      <c r="AJ157" s="43">
        <v>0</v>
      </c>
      <c r="AK157" s="43">
        <v>0</v>
      </c>
      <c r="AL157" s="43">
        <v>0</v>
      </c>
      <c r="AM157" s="43">
        <v>0</v>
      </c>
      <c r="AN157" s="43">
        <v>0</v>
      </c>
      <c r="AO157" s="43">
        <v>0</v>
      </c>
      <c r="AP157" s="43">
        <v>0</v>
      </c>
      <c r="AQ157" s="43">
        <v>0</v>
      </c>
      <c r="AR157" s="43">
        <v>0</v>
      </c>
      <c r="AS157" s="43">
        <v>0</v>
      </c>
      <c r="AT157" s="43">
        <v>0</v>
      </c>
      <c r="AU157" s="43">
        <v>0</v>
      </c>
      <c r="AV157" s="43">
        <v>0</v>
      </c>
      <c r="AW157" s="43">
        <v>0</v>
      </c>
      <c r="AX157" s="43">
        <v>0</v>
      </c>
      <c r="AY157" s="43">
        <v>0</v>
      </c>
      <c r="AZ157" s="43">
        <v>0</v>
      </c>
      <c r="BA157" s="43">
        <v>0</v>
      </c>
      <c r="BB157" s="43">
        <v>0</v>
      </c>
      <c r="BC157" s="43">
        <v>0</v>
      </c>
      <c r="BD157" s="43">
        <v>0</v>
      </c>
      <c r="BE157" s="43">
        <v>0</v>
      </c>
      <c r="BF157" s="43">
        <v>0</v>
      </c>
      <c r="BG157" s="43">
        <v>0</v>
      </c>
      <c r="BH157" s="43">
        <v>0</v>
      </c>
      <c r="BI157" s="43">
        <v>0</v>
      </c>
      <c r="BJ157" s="43" t="s">
        <v>2090</v>
      </c>
      <c r="BK157" s="43" t="s">
        <v>2090</v>
      </c>
      <c r="BL157" s="43" t="s">
        <v>2090</v>
      </c>
      <c r="BM157" s="43" t="s">
        <v>2090</v>
      </c>
      <c r="BN157" s="43" t="s">
        <v>2090</v>
      </c>
      <c r="BO157" s="43" t="s">
        <v>2090</v>
      </c>
      <c r="BP157" s="43" t="s">
        <v>2090</v>
      </c>
      <c r="BQ157" s="43" t="s">
        <v>2090</v>
      </c>
      <c r="BR157" s="43" t="s">
        <v>2090</v>
      </c>
      <c r="BS157" s="43" t="s">
        <v>2090</v>
      </c>
      <c r="BT157" s="43" t="s">
        <v>2090</v>
      </c>
      <c r="BU157" s="43" t="s">
        <v>2091</v>
      </c>
      <c r="BV157" s="43" t="s">
        <v>2090</v>
      </c>
      <c r="BW157" s="43" t="s">
        <v>2090</v>
      </c>
    </row>
    <row r="158" spans="1:75" ht="120.95" customHeight="1" x14ac:dyDescent="0.25">
      <c r="A158" s="38" t="s">
        <v>939</v>
      </c>
      <c r="B158" s="38" t="s">
        <v>1734</v>
      </c>
      <c r="C158" s="39" t="s">
        <v>940</v>
      </c>
      <c r="D158" s="40" t="s">
        <v>941</v>
      </c>
      <c r="E158" s="41">
        <v>51808.260840000003</v>
      </c>
      <c r="F158" s="41">
        <v>2704096.8819400002</v>
      </c>
      <c r="G158" s="41">
        <v>391049.6</v>
      </c>
      <c r="H158" s="41">
        <v>333569.90000000002</v>
      </c>
      <c r="I158" s="42">
        <v>1.1455561931912845</v>
      </c>
      <c r="J158" s="41">
        <v>13503.11074</v>
      </c>
      <c r="K158" s="41">
        <v>1288967.50294</v>
      </c>
      <c r="L158" s="41">
        <v>391248.2</v>
      </c>
      <c r="M158" s="41">
        <v>598413.1</v>
      </c>
      <c r="N158" s="42">
        <v>0.60176693882702448</v>
      </c>
      <c r="O158" s="41">
        <v>0</v>
      </c>
      <c r="P158" s="41">
        <v>309606.18283000001</v>
      </c>
      <c r="Q158" s="41">
        <v>96200.3</v>
      </c>
      <c r="R158" s="41">
        <v>238601.4</v>
      </c>
      <c r="S158" s="42">
        <v>0.37498745861342431</v>
      </c>
      <c r="T158" s="41">
        <v>38673.79636</v>
      </c>
      <c r="U158" s="41">
        <v>2233997.3305500001</v>
      </c>
      <c r="V158" s="41">
        <v>50573.5</v>
      </c>
      <c r="W158" s="41">
        <v>47870.400000000001</v>
      </c>
      <c r="X158" s="42">
        <v>0.9447665847665847</v>
      </c>
      <c r="Y158" s="43">
        <v>2</v>
      </c>
      <c r="Z158" s="43" t="s">
        <v>2091</v>
      </c>
      <c r="AA158" s="43" t="s">
        <v>2090</v>
      </c>
      <c r="AB158" s="43" t="s">
        <v>2090</v>
      </c>
      <c r="AC158" s="43" t="s">
        <v>2090</v>
      </c>
      <c r="AD158" s="43">
        <v>0</v>
      </c>
      <c r="AE158" s="43">
        <v>0</v>
      </c>
      <c r="AF158" s="43">
        <v>0</v>
      </c>
      <c r="AG158" s="43">
        <v>0</v>
      </c>
      <c r="AH158" s="43">
        <v>0</v>
      </c>
      <c r="AI158" s="43">
        <v>1</v>
      </c>
      <c r="AJ158" s="43">
        <v>0</v>
      </c>
      <c r="AK158" s="43">
        <v>0</v>
      </c>
      <c r="AL158" s="43">
        <v>0</v>
      </c>
      <c r="AM158" s="43">
        <v>0</v>
      </c>
      <c r="AN158" s="43">
        <v>0</v>
      </c>
      <c r="AO158" s="43">
        <v>0</v>
      </c>
      <c r="AP158" s="43">
        <v>0</v>
      </c>
      <c r="AQ158" s="43">
        <v>0</v>
      </c>
      <c r="AR158" s="43">
        <v>0</v>
      </c>
      <c r="AS158" s="43">
        <v>0</v>
      </c>
      <c r="AT158" s="43">
        <v>0</v>
      </c>
      <c r="AU158" s="43">
        <v>0</v>
      </c>
      <c r="AV158" s="43">
        <v>0</v>
      </c>
      <c r="AW158" s="43">
        <v>0</v>
      </c>
      <c r="AX158" s="43">
        <v>0</v>
      </c>
      <c r="AY158" s="43">
        <v>0</v>
      </c>
      <c r="AZ158" s="43">
        <v>0</v>
      </c>
      <c r="BA158" s="43">
        <v>0</v>
      </c>
      <c r="BB158" s="43">
        <v>0</v>
      </c>
      <c r="BC158" s="43">
        <v>0</v>
      </c>
      <c r="BD158" s="43">
        <v>0</v>
      </c>
      <c r="BE158" s="43">
        <v>0</v>
      </c>
      <c r="BF158" s="43">
        <v>0</v>
      </c>
      <c r="BG158" s="43">
        <v>0</v>
      </c>
      <c r="BH158" s="43">
        <v>0</v>
      </c>
      <c r="BI158" s="43">
        <v>0</v>
      </c>
      <c r="BJ158" s="43" t="s">
        <v>2090</v>
      </c>
      <c r="BK158" s="43" t="s">
        <v>2090</v>
      </c>
      <c r="BL158" s="43" t="s">
        <v>2090</v>
      </c>
      <c r="BM158" s="43" t="s">
        <v>2090</v>
      </c>
      <c r="BN158" s="43" t="s">
        <v>2090</v>
      </c>
      <c r="BO158" s="43" t="s">
        <v>2090</v>
      </c>
      <c r="BP158" s="43" t="s">
        <v>2090</v>
      </c>
      <c r="BQ158" s="43" t="s">
        <v>2090</v>
      </c>
      <c r="BR158" s="43" t="s">
        <v>2090</v>
      </c>
      <c r="BS158" s="43" t="s">
        <v>2090</v>
      </c>
      <c r="BT158" s="43" t="s">
        <v>2090</v>
      </c>
      <c r="BU158" s="43" t="s">
        <v>2090</v>
      </c>
      <c r="BV158" s="43" t="s">
        <v>2091</v>
      </c>
      <c r="BW158" s="43" t="s">
        <v>2090</v>
      </c>
    </row>
    <row r="159" spans="1:75" ht="177.2" customHeight="1" x14ac:dyDescent="0.25">
      <c r="A159" s="38" t="s">
        <v>942</v>
      </c>
      <c r="B159" s="38" t="s">
        <v>1735</v>
      </c>
      <c r="C159" s="39" t="s">
        <v>943</v>
      </c>
      <c r="D159" s="40" t="s">
        <v>944</v>
      </c>
      <c r="E159" s="41">
        <v>28565.984499999999</v>
      </c>
      <c r="F159" s="41">
        <v>2041761.7230499999</v>
      </c>
      <c r="G159" s="41">
        <v>326030.90000000002</v>
      </c>
      <c r="H159" s="41">
        <v>377671.5</v>
      </c>
      <c r="I159" s="42">
        <v>0.82874223764546273</v>
      </c>
      <c r="J159" s="41">
        <v>0</v>
      </c>
      <c r="K159" s="41">
        <v>0</v>
      </c>
      <c r="L159" s="41">
        <v>46348.9</v>
      </c>
      <c r="M159" s="41">
        <v>582927.80000000005</v>
      </c>
      <c r="N159" s="42">
        <v>7.4064366695111544E-2</v>
      </c>
      <c r="O159" s="41">
        <v>0</v>
      </c>
      <c r="P159" s="41">
        <v>127915.37422</v>
      </c>
      <c r="Q159" s="41">
        <v>11539.3</v>
      </c>
      <c r="R159" s="41">
        <v>136231.4</v>
      </c>
      <c r="S159" s="42">
        <v>8.1892293630496812E-2</v>
      </c>
      <c r="T159" s="41">
        <v>1738.9682299999999</v>
      </c>
      <c r="U159" s="41">
        <v>324292.59545000002</v>
      </c>
      <c r="V159" s="41">
        <v>42555.8</v>
      </c>
      <c r="W159" s="41">
        <v>337110.8</v>
      </c>
      <c r="X159" s="42">
        <v>0.12232227400159669</v>
      </c>
      <c r="Y159" s="43">
        <v>3</v>
      </c>
      <c r="Z159" s="43" t="s">
        <v>2091</v>
      </c>
      <c r="AA159" s="43" t="s">
        <v>2091</v>
      </c>
      <c r="AB159" s="43" t="s">
        <v>2090</v>
      </c>
      <c r="AC159" s="43" t="s">
        <v>2090</v>
      </c>
      <c r="AD159" s="43">
        <v>0</v>
      </c>
      <c r="AE159" s="43">
        <v>0</v>
      </c>
      <c r="AF159" s="43">
        <v>0</v>
      </c>
      <c r="AG159" s="43">
        <v>0</v>
      </c>
      <c r="AH159" s="43">
        <v>0</v>
      </c>
      <c r="AI159" s="43">
        <v>0</v>
      </c>
      <c r="AJ159" s="43">
        <v>0</v>
      </c>
      <c r="AK159" s="43">
        <v>1</v>
      </c>
      <c r="AL159" s="43">
        <v>0</v>
      </c>
      <c r="AM159" s="43">
        <v>0</v>
      </c>
      <c r="AN159" s="43">
        <v>0</v>
      </c>
      <c r="AO159" s="43">
        <v>0</v>
      </c>
      <c r="AP159" s="43">
        <v>0</v>
      </c>
      <c r="AQ159" s="43">
        <v>0</v>
      </c>
      <c r="AR159" s="43">
        <v>0</v>
      </c>
      <c r="AS159" s="43">
        <v>0</v>
      </c>
      <c r="AT159" s="43">
        <v>0</v>
      </c>
      <c r="AU159" s="43">
        <v>0</v>
      </c>
      <c r="AV159" s="43">
        <v>0</v>
      </c>
      <c r="AW159" s="43">
        <v>0</v>
      </c>
      <c r="AX159" s="43">
        <v>0</v>
      </c>
      <c r="AY159" s="43">
        <v>0</v>
      </c>
      <c r="AZ159" s="43">
        <v>0</v>
      </c>
      <c r="BA159" s="43">
        <v>0</v>
      </c>
      <c r="BB159" s="43">
        <v>0</v>
      </c>
      <c r="BC159" s="43">
        <v>0</v>
      </c>
      <c r="BD159" s="43">
        <v>0</v>
      </c>
      <c r="BE159" s="43">
        <v>0</v>
      </c>
      <c r="BF159" s="43">
        <v>0</v>
      </c>
      <c r="BG159" s="43">
        <v>0</v>
      </c>
      <c r="BH159" s="43">
        <v>0</v>
      </c>
      <c r="BI159" s="43">
        <v>0</v>
      </c>
      <c r="BJ159" s="43" t="s">
        <v>2091</v>
      </c>
      <c r="BK159" s="43" t="s">
        <v>2090</v>
      </c>
      <c r="BL159" s="43" t="s">
        <v>2090</v>
      </c>
      <c r="BM159" s="43" t="s">
        <v>2090</v>
      </c>
      <c r="BN159" s="43" t="s">
        <v>2090</v>
      </c>
      <c r="BO159" s="43" t="s">
        <v>2090</v>
      </c>
      <c r="BP159" s="43" t="s">
        <v>2090</v>
      </c>
      <c r="BQ159" s="43" t="s">
        <v>2090</v>
      </c>
      <c r="BR159" s="43" t="s">
        <v>2091</v>
      </c>
      <c r="BS159" s="43" t="s">
        <v>2091</v>
      </c>
      <c r="BT159" s="43" t="s">
        <v>2090</v>
      </c>
      <c r="BU159" s="43" t="s">
        <v>2090</v>
      </c>
      <c r="BV159" s="43" t="s">
        <v>2090</v>
      </c>
      <c r="BW159" s="43" t="s">
        <v>2090</v>
      </c>
    </row>
    <row r="160" spans="1:75" ht="144.94999999999999" customHeight="1" x14ac:dyDescent="0.25">
      <c r="A160" s="38" t="s">
        <v>945</v>
      </c>
      <c r="B160" s="38" t="s">
        <v>1736</v>
      </c>
      <c r="C160" s="39" t="s">
        <v>946</v>
      </c>
      <c r="D160" s="40" t="s">
        <v>947</v>
      </c>
      <c r="E160" s="41">
        <v>52899.499929999998</v>
      </c>
      <c r="F160" s="41">
        <v>2703770.4603200001</v>
      </c>
      <c r="G160" s="41">
        <v>343186.5</v>
      </c>
      <c r="H160" s="41">
        <v>277139.3</v>
      </c>
      <c r="I160" s="42">
        <v>1.2063109073604912</v>
      </c>
      <c r="J160" s="41">
        <v>6707.2765099999997</v>
      </c>
      <c r="K160" s="41">
        <v>829286.07224000001</v>
      </c>
      <c r="L160" s="41">
        <v>217094</v>
      </c>
      <c r="M160" s="41">
        <v>491869.3</v>
      </c>
      <c r="N160" s="42">
        <v>0.40644799062955272</v>
      </c>
      <c r="O160" s="41">
        <v>4213.9675299999999</v>
      </c>
      <c r="P160" s="41">
        <v>579385.58829999994</v>
      </c>
      <c r="Q160" s="41">
        <v>69394.8</v>
      </c>
      <c r="R160" s="41">
        <v>279335.8</v>
      </c>
      <c r="S160" s="42">
        <v>0.23687632666741146</v>
      </c>
      <c r="T160" s="41">
        <v>48417.3923</v>
      </c>
      <c r="U160" s="41">
        <v>2518442.4369800002</v>
      </c>
      <c r="V160" s="41">
        <v>200455.3</v>
      </c>
      <c r="W160" s="41">
        <v>161494.20000000001</v>
      </c>
      <c r="X160" s="42">
        <v>1.0261216697040703</v>
      </c>
      <c r="Y160" s="43">
        <v>2</v>
      </c>
      <c r="Z160" s="43" t="s">
        <v>2090</v>
      </c>
      <c r="AA160" s="43" t="s">
        <v>2091</v>
      </c>
      <c r="AB160" s="43" t="s">
        <v>2090</v>
      </c>
      <c r="AC160" s="43" t="s">
        <v>2090</v>
      </c>
      <c r="AD160" s="43">
        <v>0</v>
      </c>
      <c r="AE160" s="43">
        <v>0</v>
      </c>
      <c r="AF160" s="43">
        <v>0</v>
      </c>
      <c r="AG160" s="43">
        <v>0</v>
      </c>
      <c r="AH160" s="43">
        <v>0</v>
      </c>
      <c r="AI160" s="43">
        <v>0</v>
      </c>
      <c r="AJ160" s="43">
        <v>0</v>
      </c>
      <c r="AK160" s="43">
        <v>1</v>
      </c>
      <c r="AL160" s="43">
        <v>0</v>
      </c>
      <c r="AM160" s="43">
        <v>0</v>
      </c>
      <c r="AN160" s="43">
        <v>0</v>
      </c>
      <c r="AO160" s="43">
        <v>0</v>
      </c>
      <c r="AP160" s="43">
        <v>0</v>
      </c>
      <c r="AQ160" s="43">
        <v>0</v>
      </c>
      <c r="AR160" s="43">
        <v>0</v>
      </c>
      <c r="AS160" s="43">
        <v>0</v>
      </c>
      <c r="AT160" s="43">
        <v>0</v>
      </c>
      <c r="AU160" s="43">
        <v>0</v>
      </c>
      <c r="AV160" s="43">
        <v>0</v>
      </c>
      <c r="AW160" s="43">
        <v>0</v>
      </c>
      <c r="AX160" s="43">
        <v>0</v>
      </c>
      <c r="AY160" s="43">
        <v>0</v>
      </c>
      <c r="AZ160" s="43">
        <v>0</v>
      </c>
      <c r="BA160" s="43">
        <v>0</v>
      </c>
      <c r="BB160" s="43">
        <v>0</v>
      </c>
      <c r="BC160" s="43">
        <v>0</v>
      </c>
      <c r="BD160" s="43">
        <v>0</v>
      </c>
      <c r="BE160" s="43">
        <v>0</v>
      </c>
      <c r="BF160" s="43">
        <v>0</v>
      </c>
      <c r="BG160" s="43">
        <v>0</v>
      </c>
      <c r="BH160" s="43">
        <v>0</v>
      </c>
      <c r="BI160" s="43">
        <v>0</v>
      </c>
      <c r="BJ160" s="43" t="s">
        <v>2091</v>
      </c>
      <c r="BK160" s="43" t="s">
        <v>2090</v>
      </c>
      <c r="BL160" s="43" t="s">
        <v>2090</v>
      </c>
      <c r="BM160" s="43" t="s">
        <v>2090</v>
      </c>
      <c r="BN160" s="43" t="s">
        <v>2090</v>
      </c>
      <c r="BO160" s="43" t="s">
        <v>2090</v>
      </c>
      <c r="BP160" s="43" t="s">
        <v>2090</v>
      </c>
      <c r="BQ160" s="43" t="s">
        <v>2090</v>
      </c>
      <c r="BR160" s="43" t="s">
        <v>2091</v>
      </c>
      <c r="BS160" s="43" t="s">
        <v>2090</v>
      </c>
      <c r="BT160" s="43" t="s">
        <v>2091</v>
      </c>
      <c r="BU160" s="43" t="s">
        <v>2090</v>
      </c>
      <c r="BV160" s="43" t="s">
        <v>2090</v>
      </c>
      <c r="BW160" s="43" t="s">
        <v>2090</v>
      </c>
    </row>
    <row r="161" spans="1:75" ht="210.95" customHeight="1" x14ac:dyDescent="0.25">
      <c r="A161" s="38" t="s">
        <v>948</v>
      </c>
      <c r="B161" s="38" t="s">
        <v>1737</v>
      </c>
      <c r="C161" s="39" t="s">
        <v>949</v>
      </c>
      <c r="D161" s="40" t="s">
        <v>950</v>
      </c>
      <c r="E161" s="41">
        <v>63552.97769</v>
      </c>
      <c r="F161" s="41">
        <v>2751602.0345000001</v>
      </c>
      <c r="G161" s="41">
        <v>102927.3</v>
      </c>
      <c r="H161" s="41">
        <v>76320.800000000003</v>
      </c>
      <c r="I161" s="42">
        <v>1.2859930721569008</v>
      </c>
      <c r="J161" s="41">
        <v>1641.2786000000001</v>
      </c>
      <c r="K161" s="41">
        <v>4867.8111799999997</v>
      </c>
      <c r="L161" s="41">
        <v>48336.3</v>
      </c>
      <c r="M161" s="41">
        <v>268522.8</v>
      </c>
      <c r="N161" s="42">
        <v>0.17171471245101391</v>
      </c>
      <c r="O161" s="41">
        <v>3495.2504199999998</v>
      </c>
      <c r="P161" s="41">
        <v>661862.63789000001</v>
      </c>
      <c r="Q161" s="41">
        <v>91918</v>
      </c>
      <c r="R161" s="41">
        <v>98440.4</v>
      </c>
      <c r="S161" s="42">
        <v>0.91513988850120387</v>
      </c>
      <c r="T161" s="41">
        <v>3259.4019800000001</v>
      </c>
      <c r="U161" s="41">
        <v>0</v>
      </c>
      <c r="V161" s="41">
        <v>5878.1</v>
      </c>
      <c r="W161" s="41">
        <v>35576.400000000001</v>
      </c>
      <c r="X161" s="42">
        <v>0.16532074812095787</v>
      </c>
      <c r="Y161" s="43">
        <v>2</v>
      </c>
      <c r="Z161" s="43" t="s">
        <v>2091</v>
      </c>
      <c r="AA161" s="43" t="s">
        <v>2090</v>
      </c>
      <c r="AB161" s="43" t="s">
        <v>2090</v>
      </c>
      <c r="AC161" s="43" t="s">
        <v>2090</v>
      </c>
      <c r="AD161" s="43">
        <v>0</v>
      </c>
      <c r="AE161" s="43">
        <v>0</v>
      </c>
      <c r="AF161" s="43">
        <v>0</v>
      </c>
      <c r="AG161" s="43">
        <v>0</v>
      </c>
      <c r="AH161" s="43">
        <v>0</v>
      </c>
      <c r="AI161" s="43">
        <v>0</v>
      </c>
      <c r="AJ161" s="43">
        <v>0</v>
      </c>
      <c r="AK161" s="43">
        <v>0</v>
      </c>
      <c r="AL161" s="43">
        <v>0</v>
      </c>
      <c r="AM161" s="43">
        <v>0</v>
      </c>
      <c r="AN161" s="43">
        <v>0</v>
      </c>
      <c r="AO161" s="43">
        <v>0</v>
      </c>
      <c r="AP161" s="43">
        <v>0</v>
      </c>
      <c r="AQ161" s="43">
        <v>0</v>
      </c>
      <c r="AR161" s="43">
        <v>0</v>
      </c>
      <c r="AS161" s="43">
        <v>0</v>
      </c>
      <c r="AT161" s="43">
        <v>0</v>
      </c>
      <c r="AU161" s="43">
        <v>0</v>
      </c>
      <c r="AV161" s="43">
        <v>0</v>
      </c>
      <c r="AW161" s="43">
        <v>0</v>
      </c>
      <c r="AX161" s="43">
        <v>0</v>
      </c>
      <c r="AY161" s="43">
        <v>1</v>
      </c>
      <c r="AZ161" s="43">
        <v>0</v>
      </c>
      <c r="BA161" s="43">
        <v>0</v>
      </c>
      <c r="BB161" s="43">
        <v>0</v>
      </c>
      <c r="BC161" s="43">
        <v>0</v>
      </c>
      <c r="BD161" s="43">
        <v>0</v>
      </c>
      <c r="BE161" s="43">
        <v>0</v>
      </c>
      <c r="BF161" s="43">
        <v>0</v>
      </c>
      <c r="BG161" s="43">
        <v>0</v>
      </c>
      <c r="BH161" s="43">
        <v>0</v>
      </c>
      <c r="BI161" s="43">
        <v>0</v>
      </c>
      <c r="BJ161" s="43" t="s">
        <v>2090</v>
      </c>
      <c r="BK161" s="43" t="s">
        <v>2090</v>
      </c>
      <c r="BL161" s="43" t="s">
        <v>2090</v>
      </c>
      <c r="BM161" s="43" t="s">
        <v>2090</v>
      </c>
      <c r="BN161" s="43" t="s">
        <v>2090</v>
      </c>
      <c r="BO161" s="43" t="s">
        <v>2090</v>
      </c>
      <c r="BP161" s="43" t="s">
        <v>2090</v>
      </c>
      <c r="BQ161" s="43" t="s">
        <v>2090</v>
      </c>
      <c r="BR161" s="43" t="s">
        <v>2090</v>
      </c>
      <c r="BS161" s="43" t="s">
        <v>2090</v>
      </c>
      <c r="BT161" s="43" t="s">
        <v>2090</v>
      </c>
      <c r="BU161" s="43" t="s">
        <v>2090</v>
      </c>
      <c r="BV161" s="43" t="s">
        <v>2090</v>
      </c>
      <c r="BW161" s="43" t="s">
        <v>2090</v>
      </c>
    </row>
    <row r="162" spans="1:75" ht="117.2" customHeight="1" x14ac:dyDescent="0.25">
      <c r="A162" s="38" t="s">
        <v>951</v>
      </c>
      <c r="B162" s="38" t="s">
        <v>1738</v>
      </c>
      <c r="C162" s="39" t="s">
        <v>952</v>
      </c>
      <c r="D162" s="40" t="s">
        <v>953</v>
      </c>
      <c r="E162" s="41">
        <v>48578.859239999998</v>
      </c>
      <c r="F162" s="41">
        <v>2588997.01761</v>
      </c>
      <c r="G162" s="41">
        <v>340545.9</v>
      </c>
      <c r="H162" s="41">
        <v>293878.40000000002</v>
      </c>
      <c r="I162" s="42">
        <v>1.1277222245861878</v>
      </c>
      <c r="J162" s="41">
        <v>57058.124609999999</v>
      </c>
      <c r="K162" s="41">
        <v>2566218.1537899999</v>
      </c>
      <c r="L162" s="41">
        <v>91964.6</v>
      </c>
      <c r="M162" s="41">
        <v>70189.3</v>
      </c>
      <c r="N162" s="42">
        <v>1.1552559015401169</v>
      </c>
      <c r="O162" s="41">
        <v>65348.083120000003</v>
      </c>
      <c r="P162" s="41">
        <v>2953265.1541200001</v>
      </c>
      <c r="Q162" s="41">
        <v>448699.6</v>
      </c>
      <c r="R162" s="41">
        <v>331844.8</v>
      </c>
      <c r="S162" s="42">
        <v>1.3197184396248318</v>
      </c>
      <c r="T162" s="41">
        <v>77200.064939999997</v>
      </c>
      <c r="U162" s="41">
        <v>3017852.62408</v>
      </c>
      <c r="V162" s="41">
        <v>200422.9</v>
      </c>
      <c r="W162" s="41">
        <v>122913.8</v>
      </c>
      <c r="X162" s="42">
        <v>1.4933112324492979</v>
      </c>
      <c r="Y162" s="43">
        <v>2</v>
      </c>
      <c r="Z162" s="43" t="s">
        <v>2091</v>
      </c>
      <c r="AA162" s="43" t="s">
        <v>2090</v>
      </c>
      <c r="AB162" s="43" t="s">
        <v>2090</v>
      </c>
      <c r="AC162" s="43" t="s">
        <v>2090</v>
      </c>
      <c r="AD162" s="43">
        <v>0</v>
      </c>
      <c r="AE162" s="43">
        <v>0</v>
      </c>
      <c r="AF162" s="43">
        <v>0</v>
      </c>
      <c r="AG162" s="43">
        <v>0</v>
      </c>
      <c r="AH162" s="43">
        <v>0</v>
      </c>
      <c r="AI162" s="43">
        <v>0</v>
      </c>
      <c r="AJ162" s="43">
        <v>0</v>
      </c>
      <c r="AK162" s="43">
        <v>1</v>
      </c>
      <c r="AL162" s="43">
        <v>0</v>
      </c>
      <c r="AM162" s="43">
        <v>0</v>
      </c>
      <c r="AN162" s="43">
        <v>0</v>
      </c>
      <c r="AO162" s="43">
        <v>0</v>
      </c>
      <c r="AP162" s="43">
        <v>0</v>
      </c>
      <c r="AQ162" s="43">
        <v>0</v>
      </c>
      <c r="AR162" s="43">
        <v>0</v>
      </c>
      <c r="AS162" s="43">
        <v>0</v>
      </c>
      <c r="AT162" s="43">
        <v>0</v>
      </c>
      <c r="AU162" s="43">
        <v>0</v>
      </c>
      <c r="AV162" s="43">
        <v>0</v>
      </c>
      <c r="AW162" s="43">
        <v>0</v>
      </c>
      <c r="AX162" s="43">
        <v>0</v>
      </c>
      <c r="AY162" s="43">
        <v>0</v>
      </c>
      <c r="AZ162" s="43">
        <v>0</v>
      </c>
      <c r="BA162" s="43">
        <v>0</v>
      </c>
      <c r="BB162" s="43">
        <v>0</v>
      </c>
      <c r="BC162" s="43">
        <v>0</v>
      </c>
      <c r="BD162" s="43">
        <v>0</v>
      </c>
      <c r="BE162" s="43">
        <v>0</v>
      </c>
      <c r="BF162" s="43">
        <v>0</v>
      </c>
      <c r="BG162" s="43">
        <v>0</v>
      </c>
      <c r="BH162" s="43">
        <v>0</v>
      </c>
      <c r="BI162" s="43">
        <v>0</v>
      </c>
      <c r="BJ162" s="43" t="s">
        <v>2090</v>
      </c>
      <c r="BK162" s="43" t="s">
        <v>2091</v>
      </c>
      <c r="BL162" s="43" t="s">
        <v>2090</v>
      </c>
      <c r="BM162" s="43" t="s">
        <v>2090</v>
      </c>
      <c r="BN162" s="43" t="s">
        <v>2090</v>
      </c>
      <c r="BO162" s="43" t="s">
        <v>2090</v>
      </c>
      <c r="BP162" s="43" t="s">
        <v>2090</v>
      </c>
      <c r="BQ162" s="43" t="s">
        <v>2090</v>
      </c>
      <c r="BR162" s="43" t="s">
        <v>2090</v>
      </c>
      <c r="BS162" s="43" t="s">
        <v>2090</v>
      </c>
      <c r="BT162" s="43" t="s">
        <v>2090</v>
      </c>
      <c r="BU162" s="43" t="s">
        <v>2090</v>
      </c>
      <c r="BV162" s="43" t="s">
        <v>2090</v>
      </c>
      <c r="BW162" s="43" t="s">
        <v>2090</v>
      </c>
    </row>
    <row r="163" spans="1:75" ht="185.45" customHeight="1" x14ac:dyDescent="0.25">
      <c r="A163" s="38" t="s">
        <v>954</v>
      </c>
      <c r="B163" s="38" t="s">
        <v>1739</v>
      </c>
      <c r="C163" s="39" t="s">
        <v>955</v>
      </c>
      <c r="D163" s="40" t="s">
        <v>956</v>
      </c>
      <c r="E163" s="41">
        <v>54820.652340000001</v>
      </c>
      <c r="F163" s="41">
        <v>2693745.1782499999</v>
      </c>
      <c r="G163" s="41">
        <v>302362</v>
      </c>
      <c r="H163" s="41">
        <v>261714.7</v>
      </c>
      <c r="I163" s="42">
        <v>1.1184576527396708</v>
      </c>
      <c r="J163" s="41">
        <v>39738.973380000003</v>
      </c>
      <c r="K163" s="41">
        <v>2211081.4703500001</v>
      </c>
      <c r="L163" s="41">
        <v>27058</v>
      </c>
      <c r="M163" s="41">
        <v>23168.5</v>
      </c>
      <c r="N163" s="42">
        <v>1.0736881083368599</v>
      </c>
      <c r="O163" s="41">
        <v>6245.4344799999999</v>
      </c>
      <c r="P163" s="41">
        <v>1124885.7487900001</v>
      </c>
      <c r="Q163" s="41">
        <v>64868</v>
      </c>
      <c r="R163" s="41">
        <v>131626.6</v>
      </c>
      <c r="S163" s="42">
        <v>0.47050434083447401</v>
      </c>
      <c r="T163" s="41">
        <v>52200.138850000003</v>
      </c>
      <c r="U163" s="41">
        <v>2608076.2688799999</v>
      </c>
      <c r="V163" s="41">
        <v>213050.1</v>
      </c>
      <c r="W163" s="41">
        <v>237979.1</v>
      </c>
      <c r="X163" s="42">
        <v>0.84890479885848746</v>
      </c>
      <c r="Y163" s="43">
        <v>2</v>
      </c>
      <c r="Z163" s="43" t="s">
        <v>2091</v>
      </c>
      <c r="AA163" s="43" t="s">
        <v>2090</v>
      </c>
      <c r="AB163" s="43" t="s">
        <v>2090</v>
      </c>
      <c r="AC163" s="43" t="s">
        <v>2090</v>
      </c>
      <c r="AD163" s="43">
        <v>0</v>
      </c>
      <c r="AE163" s="43">
        <v>0</v>
      </c>
      <c r="AF163" s="43">
        <v>0</v>
      </c>
      <c r="AG163" s="43">
        <v>0</v>
      </c>
      <c r="AH163" s="43">
        <v>0</v>
      </c>
      <c r="AI163" s="43">
        <v>0</v>
      </c>
      <c r="AJ163" s="43">
        <v>0</v>
      </c>
      <c r="AK163" s="43">
        <v>1</v>
      </c>
      <c r="AL163" s="43">
        <v>0</v>
      </c>
      <c r="AM163" s="43">
        <v>0</v>
      </c>
      <c r="AN163" s="43">
        <v>0</v>
      </c>
      <c r="AO163" s="43">
        <v>0</v>
      </c>
      <c r="AP163" s="43">
        <v>0</v>
      </c>
      <c r="AQ163" s="43">
        <v>0</v>
      </c>
      <c r="AR163" s="43">
        <v>0</v>
      </c>
      <c r="AS163" s="43">
        <v>0</v>
      </c>
      <c r="AT163" s="43">
        <v>0</v>
      </c>
      <c r="AU163" s="43">
        <v>0</v>
      </c>
      <c r="AV163" s="43">
        <v>0</v>
      </c>
      <c r="AW163" s="43">
        <v>0</v>
      </c>
      <c r="AX163" s="43">
        <v>0</v>
      </c>
      <c r="AY163" s="43">
        <v>0</v>
      </c>
      <c r="AZ163" s="43">
        <v>0</v>
      </c>
      <c r="BA163" s="43">
        <v>0</v>
      </c>
      <c r="BB163" s="43">
        <v>0</v>
      </c>
      <c r="BC163" s="43">
        <v>0</v>
      </c>
      <c r="BD163" s="43">
        <v>0</v>
      </c>
      <c r="BE163" s="43">
        <v>0</v>
      </c>
      <c r="BF163" s="43">
        <v>0</v>
      </c>
      <c r="BG163" s="43">
        <v>0</v>
      </c>
      <c r="BH163" s="43">
        <v>0</v>
      </c>
      <c r="BI163" s="43">
        <v>0</v>
      </c>
      <c r="BJ163" s="43" t="s">
        <v>2091</v>
      </c>
      <c r="BK163" s="43" t="s">
        <v>2090</v>
      </c>
      <c r="BL163" s="43" t="s">
        <v>2090</v>
      </c>
      <c r="BM163" s="43" t="s">
        <v>2090</v>
      </c>
      <c r="BN163" s="43" t="s">
        <v>2090</v>
      </c>
      <c r="BO163" s="43" t="s">
        <v>2090</v>
      </c>
      <c r="BP163" s="43" t="s">
        <v>2090</v>
      </c>
      <c r="BQ163" s="43" t="s">
        <v>2090</v>
      </c>
      <c r="BR163" s="43" t="s">
        <v>2090</v>
      </c>
      <c r="BS163" s="43" t="s">
        <v>2090</v>
      </c>
      <c r="BT163" s="43" t="s">
        <v>2090</v>
      </c>
      <c r="BU163" s="43" t="s">
        <v>2090</v>
      </c>
      <c r="BV163" s="43" t="s">
        <v>2090</v>
      </c>
      <c r="BW163" s="43" t="s">
        <v>2090</v>
      </c>
    </row>
    <row r="164" spans="1:75" ht="110.45" customHeight="1" x14ac:dyDescent="0.25">
      <c r="A164" s="38" t="s">
        <v>957</v>
      </c>
      <c r="B164" s="38" t="s">
        <v>1740</v>
      </c>
      <c r="C164" s="39" t="s">
        <v>958</v>
      </c>
      <c r="D164" s="40" t="s">
        <v>959</v>
      </c>
      <c r="E164" s="41">
        <v>51485.054380000001</v>
      </c>
      <c r="F164" s="41">
        <v>2687156.6733800001</v>
      </c>
      <c r="G164" s="41">
        <v>198579.9</v>
      </c>
      <c r="H164" s="41">
        <v>166841.20000000001</v>
      </c>
      <c r="I164" s="42">
        <v>1.1545975572024223</v>
      </c>
      <c r="J164" s="41">
        <v>12232.17887</v>
      </c>
      <c r="K164" s="41">
        <v>1165866.8852200001</v>
      </c>
      <c r="L164" s="41">
        <v>191168.7</v>
      </c>
      <c r="M164" s="41">
        <v>360304.2</v>
      </c>
      <c r="N164" s="42">
        <v>0.50421850322795159</v>
      </c>
      <c r="O164" s="41">
        <v>7546.5517799999998</v>
      </c>
      <c r="P164" s="41">
        <v>973439.96302000002</v>
      </c>
      <c r="Q164" s="41">
        <v>174927.7</v>
      </c>
      <c r="R164" s="41">
        <v>368761.3</v>
      </c>
      <c r="S164" s="42">
        <v>0.45338332876058085</v>
      </c>
      <c r="T164" s="41">
        <v>24625.644970000001</v>
      </c>
      <c r="U164" s="41">
        <v>1831483.9045800001</v>
      </c>
      <c r="V164" s="41">
        <v>87258.5</v>
      </c>
      <c r="W164" s="41">
        <v>132213.9</v>
      </c>
      <c r="X164" s="42">
        <v>0.60342267294458529</v>
      </c>
      <c r="Y164" s="43">
        <v>2</v>
      </c>
      <c r="Z164" s="43" t="s">
        <v>2091</v>
      </c>
      <c r="AA164" s="43" t="s">
        <v>2090</v>
      </c>
      <c r="AB164" s="43" t="s">
        <v>2090</v>
      </c>
      <c r="AC164" s="43" t="s">
        <v>2090</v>
      </c>
      <c r="AD164" s="43">
        <v>0</v>
      </c>
      <c r="AE164" s="43">
        <v>0</v>
      </c>
      <c r="AF164" s="43">
        <v>0</v>
      </c>
      <c r="AG164" s="43">
        <v>0</v>
      </c>
      <c r="AH164" s="43">
        <v>0</v>
      </c>
      <c r="AI164" s="43">
        <v>0</v>
      </c>
      <c r="AJ164" s="43">
        <v>0</v>
      </c>
      <c r="AK164" s="43">
        <v>1</v>
      </c>
      <c r="AL164" s="43">
        <v>0</v>
      </c>
      <c r="AM164" s="43">
        <v>0</v>
      </c>
      <c r="AN164" s="43">
        <v>0</v>
      </c>
      <c r="AO164" s="43">
        <v>0</v>
      </c>
      <c r="AP164" s="43">
        <v>0</v>
      </c>
      <c r="AQ164" s="43">
        <v>0</v>
      </c>
      <c r="AR164" s="43">
        <v>0</v>
      </c>
      <c r="AS164" s="43">
        <v>0</v>
      </c>
      <c r="AT164" s="43">
        <v>0</v>
      </c>
      <c r="AU164" s="43">
        <v>0</v>
      </c>
      <c r="AV164" s="43">
        <v>0</v>
      </c>
      <c r="AW164" s="43">
        <v>0</v>
      </c>
      <c r="AX164" s="43">
        <v>0</v>
      </c>
      <c r="AY164" s="43">
        <v>0</v>
      </c>
      <c r="AZ164" s="43">
        <v>0</v>
      </c>
      <c r="BA164" s="43">
        <v>0</v>
      </c>
      <c r="BB164" s="43">
        <v>0</v>
      </c>
      <c r="BC164" s="43">
        <v>0</v>
      </c>
      <c r="BD164" s="43">
        <v>0</v>
      </c>
      <c r="BE164" s="43">
        <v>0</v>
      </c>
      <c r="BF164" s="43">
        <v>0</v>
      </c>
      <c r="BG164" s="43">
        <v>0</v>
      </c>
      <c r="BH164" s="43">
        <v>0</v>
      </c>
      <c r="BI164" s="43">
        <v>0</v>
      </c>
      <c r="BJ164" s="43" t="s">
        <v>2091</v>
      </c>
      <c r="BK164" s="43" t="s">
        <v>2090</v>
      </c>
      <c r="BL164" s="43" t="s">
        <v>2090</v>
      </c>
      <c r="BM164" s="43" t="s">
        <v>2090</v>
      </c>
      <c r="BN164" s="43" t="s">
        <v>2090</v>
      </c>
      <c r="BO164" s="43" t="s">
        <v>2090</v>
      </c>
      <c r="BP164" s="43" t="s">
        <v>2090</v>
      </c>
      <c r="BQ164" s="43" t="s">
        <v>2090</v>
      </c>
      <c r="BR164" s="43" t="s">
        <v>2090</v>
      </c>
      <c r="BS164" s="43" t="s">
        <v>2090</v>
      </c>
      <c r="BT164" s="43" t="s">
        <v>2090</v>
      </c>
      <c r="BU164" s="43" t="s">
        <v>2090</v>
      </c>
      <c r="BV164" s="43" t="s">
        <v>2090</v>
      </c>
      <c r="BW164" s="43" t="s">
        <v>2090</v>
      </c>
    </row>
    <row r="165" spans="1:75" ht="118.7" customHeight="1" x14ac:dyDescent="0.25">
      <c r="A165" s="38" t="s">
        <v>960</v>
      </c>
      <c r="B165" s="38" t="s">
        <v>1741</v>
      </c>
      <c r="C165" s="39" t="s">
        <v>961</v>
      </c>
      <c r="D165" s="40" t="s">
        <v>962</v>
      </c>
      <c r="E165" s="41">
        <v>52740.731269999997</v>
      </c>
      <c r="F165" s="41">
        <v>2683928.8390799998</v>
      </c>
      <c r="G165" s="41">
        <v>388341.4</v>
      </c>
      <c r="H165" s="41">
        <v>337232</v>
      </c>
      <c r="I165" s="42">
        <v>1.1320259537267587</v>
      </c>
      <c r="J165" s="41">
        <v>39358.130440000001</v>
      </c>
      <c r="K165" s="41">
        <v>2198439.8084100001</v>
      </c>
      <c r="L165" s="41">
        <v>404288.5</v>
      </c>
      <c r="M165" s="41">
        <v>398387.20000000001</v>
      </c>
      <c r="N165" s="42">
        <v>0.945048792193249</v>
      </c>
      <c r="O165" s="41">
        <v>69894.036429999993</v>
      </c>
      <c r="P165" s="41">
        <v>2922540.9598599998</v>
      </c>
      <c r="Q165" s="41">
        <v>379289.3</v>
      </c>
      <c r="R165" s="41">
        <v>286654.2</v>
      </c>
      <c r="S165" s="42">
        <v>1.2937363537117905</v>
      </c>
      <c r="T165" s="41">
        <v>55642.41966</v>
      </c>
      <c r="U165" s="41">
        <v>2671028.6022999999</v>
      </c>
      <c r="V165" s="41">
        <v>336196.8</v>
      </c>
      <c r="W165" s="41">
        <v>276766.3</v>
      </c>
      <c r="X165" s="42">
        <v>1.0564561609810532</v>
      </c>
      <c r="Y165" s="43">
        <v>2</v>
      </c>
      <c r="Z165" s="43" t="s">
        <v>2091</v>
      </c>
      <c r="AA165" s="43" t="s">
        <v>2090</v>
      </c>
      <c r="AB165" s="43" t="s">
        <v>2090</v>
      </c>
      <c r="AC165" s="43" t="s">
        <v>2090</v>
      </c>
      <c r="AD165" s="43">
        <v>0</v>
      </c>
      <c r="AE165" s="43">
        <v>0</v>
      </c>
      <c r="AF165" s="43">
        <v>0</v>
      </c>
      <c r="AG165" s="43">
        <v>0</v>
      </c>
      <c r="AH165" s="43">
        <v>0</v>
      </c>
      <c r="AI165" s="43">
        <v>0</v>
      </c>
      <c r="AJ165" s="43">
        <v>0</v>
      </c>
      <c r="AK165" s="43">
        <v>1</v>
      </c>
      <c r="AL165" s="43">
        <v>0</v>
      </c>
      <c r="AM165" s="43">
        <v>0</v>
      </c>
      <c r="AN165" s="43">
        <v>0</v>
      </c>
      <c r="AO165" s="43">
        <v>0</v>
      </c>
      <c r="AP165" s="43">
        <v>0</v>
      </c>
      <c r="AQ165" s="43">
        <v>0</v>
      </c>
      <c r="AR165" s="43">
        <v>0</v>
      </c>
      <c r="AS165" s="43">
        <v>0</v>
      </c>
      <c r="AT165" s="43">
        <v>0</v>
      </c>
      <c r="AU165" s="43">
        <v>0</v>
      </c>
      <c r="AV165" s="43">
        <v>0</v>
      </c>
      <c r="AW165" s="43">
        <v>0</v>
      </c>
      <c r="AX165" s="43">
        <v>0</v>
      </c>
      <c r="AY165" s="43">
        <v>0</v>
      </c>
      <c r="AZ165" s="43">
        <v>0</v>
      </c>
      <c r="BA165" s="43">
        <v>0</v>
      </c>
      <c r="BB165" s="43">
        <v>0</v>
      </c>
      <c r="BC165" s="43">
        <v>0</v>
      </c>
      <c r="BD165" s="43">
        <v>0</v>
      </c>
      <c r="BE165" s="43">
        <v>0</v>
      </c>
      <c r="BF165" s="43">
        <v>0</v>
      </c>
      <c r="BG165" s="43">
        <v>0</v>
      </c>
      <c r="BH165" s="43">
        <v>0</v>
      </c>
      <c r="BI165" s="43">
        <v>0</v>
      </c>
      <c r="BJ165" s="43" t="s">
        <v>2090</v>
      </c>
      <c r="BK165" s="43" t="s">
        <v>2091</v>
      </c>
      <c r="BL165" s="43" t="s">
        <v>2090</v>
      </c>
      <c r="BM165" s="43" t="s">
        <v>2090</v>
      </c>
      <c r="BN165" s="43" t="s">
        <v>2090</v>
      </c>
      <c r="BO165" s="43" t="s">
        <v>2090</v>
      </c>
      <c r="BP165" s="43" t="s">
        <v>2090</v>
      </c>
      <c r="BQ165" s="43" t="s">
        <v>2090</v>
      </c>
      <c r="BR165" s="43" t="s">
        <v>2090</v>
      </c>
      <c r="BS165" s="43" t="s">
        <v>2090</v>
      </c>
      <c r="BT165" s="43" t="s">
        <v>2090</v>
      </c>
      <c r="BU165" s="43" t="s">
        <v>2090</v>
      </c>
      <c r="BV165" s="43" t="s">
        <v>2090</v>
      </c>
      <c r="BW165" s="43" t="s">
        <v>2090</v>
      </c>
    </row>
    <row r="166" spans="1:75" ht="139.69999999999999" customHeight="1" x14ac:dyDescent="0.25">
      <c r="A166" s="38" t="s">
        <v>963</v>
      </c>
      <c r="B166" s="38" t="s">
        <v>1742</v>
      </c>
      <c r="C166" s="39" t="s">
        <v>964</v>
      </c>
      <c r="D166" s="40" t="s">
        <v>965</v>
      </c>
      <c r="E166" s="41">
        <v>59445.835140000003</v>
      </c>
      <c r="F166" s="41">
        <v>2825008.2607800001</v>
      </c>
      <c r="G166" s="41">
        <v>387388.3</v>
      </c>
      <c r="H166" s="41">
        <v>328759</v>
      </c>
      <c r="I166" s="42">
        <v>1.1598291013254358</v>
      </c>
      <c r="J166" s="41">
        <v>841.07086000000004</v>
      </c>
      <c r="K166" s="41">
        <v>115610.45952</v>
      </c>
      <c r="L166" s="41">
        <v>158492.70000000001</v>
      </c>
      <c r="M166" s="41">
        <v>629132.80000000005</v>
      </c>
      <c r="N166" s="42">
        <v>0.22623765923786318</v>
      </c>
      <c r="O166" s="41">
        <v>0</v>
      </c>
      <c r="P166" s="41">
        <v>398301.20046999998</v>
      </c>
      <c r="Q166" s="41">
        <v>193782.6</v>
      </c>
      <c r="R166" s="41">
        <v>440355</v>
      </c>
      <c r="S166" s="42">
        <v>0.40505921384626942</v>
      </c>
      <c r="T166" s="41">
        <v>3624.9164900000001</v>
      </c>
      <c r="U166" s="41">
        <v>548758.15581999999</v>
      </c>
      <c r="V166" s="41">
        <v>114396.1</v>
      </c>
      <c r="W166" s="41">
        <v>401898.5</v>
      </c>
      <c r="X166" s="42">
        <v>0.2654526531729488</v>
      </c>
      <c r="Y166" s="43">
        <v>2</v>
      </c>
      <c r="Z166" s="43" t="s">
        <v>2090</v>
      </c>
      <c r="AA166" s="43" t="s">
        <v>2091</v>
      </c>
      <c r="AB166" s="43" t="s">
        <v>2090</v>
      </c>
      <c r="AC166" s="43" t="s">
        <v>2090</v>
      </c>
      <c r="AD166" s="43">
        <v>0</v>
      </c>
      <c r="AE166" s="43">
        <v>0</v>
      </c>
      <c r="AF166" s="43">
        <v>0</v>
      </c>
      <c r="AG166" s="43">
        <v>0</v>
      </c>
      <c r="AH166" s="43">
        <v>0</v>
      </c>
      <c r="AI166" s="43">
        <v>0</v>
      </c>
      <c r="AJ166" s="43">
        <v>0</v>
      </c>
      <c r="AK166" s="43">
        <v>0</v>
      </c>
      <c r="AL166" s="43">
        <v>0</v>
      </c>
      <c r="AM166" s="43">
        <v>0</v>
      </c>
      <c r="AN166" s="43">
        <v>0</v>
      </c>
      <c r="AO166" s="43">
        <v>0</v>
      </c>
      <c r="AP166" s="43">
        <v>0</v>
      </c>
      <c r="AQ166" s="43">
        <v>0</v>
      </c>
      <c r="AR166" s="43">
        <v>1</v>
      </c>
      <c r="AS166" s="43">
        <v>0</v>
      </c>
      <c r="AT166" s="43">
        <v>0</v>
      </c>
      <c r="AU166" s="43">
        <v>0</v>
      </c>
      <c r="AV166" s="43">
        <v>0</v>
      </c>
      <c r="AW166" s="43">
        <v>0</v>
      </c>
      <c r="AX166" s="43">
        <v>0</v>
      </c>
      <c r="AY166" s="43">
        <v>0</v>
      </c>
      <c r="AZ166" s="43">
        <v>0</v>
      </c>
      <c r="BA166" s="43">
        <v>0</v>
      </c>
      <c r="BB166" s="43">
        <v>0</v>
      </c>
      <c r="BC166" s="43">
        <v>0</v>
      </c>
      <c r="BD166" s="43">
        <v>0</v>
      </c>
      <c r="BE166" s="43">
        <v>0</v>
      </c>
      <c r="BF166" s="43">
        <v>0</v>
      </c>
      <c r="BG166" s="43">
        <v>0</v>
      </c>
      <c r="BH166" s="43">
        <v>0</v>
      </c>
      <c r="BI166" s="43">
        <v>0</v>
      </c>
      <c r="BJ166" s="43" t="s">
        <v>2090</v>
      </c>
      <c r="BK166" s="43" t="s">
        <v>2090</v>
      </c>
      <c r="BL166" s="43" t="s">
        <v>2090</v>
      </c>
      <c r="BM166" s="43" t="s">
        <v>2090</v>
      </c>
      <c r="BN166" s="43" t="s">
        <v>2090</v>
      </c>
      <c r="BO166" s="43" t="s">
        <v>2090</v>
      </c>
      <c r="BP166" s="43" t="s">
        <v>2090</v>
      </c>
      <c r="BQ166" s="43" t="s">
        <v>2090</v>
      </c>
      <c r="BR166" s="43" t="s">
        <v>2091</v>
      </c>
      <c r="BS166" s="43" t="s">
        <v>2090</v>
      </c>
      <c r="BT166" s="43" t="s">
        <v>2091</v>
      </c>
      <c r="BU166" s="43" t="s">
        <v>2090</v>
      </c>
      <c r="BV166" s="43" t="s">
        <v>2090</v>
      </c>
      <c r="BW166" s="43" t="s">
        <v>2090</v>
      </c>
    </row>
    <row r="167" spans="1:75" ht="121.7" customHeight="1" x14ac:dyDescent="0.25">
      <c r="A167" s="38" t="s">
        <v>966</v>
      </c>
      <c r="B167" s="38" t="s">
        <v>1743</v>
      </c>
      <c r="C167" s="39" t="s">
        <v>967</v>
      </c>
      <c r="D167" s="40" t="s">
        <v>968</v>
      </c>
      <c r="E167" s="41">
        <v>66366.558869999993</v>
      </c>
      <c r="F167" s="41">
        <v>2900538.7568600001</v>
      </c>
      <c r="G167" s="41">
        <v>312253.5</v>
      </c>
      <c r="H167" s="41">
        <v>240254.9</v>
      </c>
      <c r="I167" s="42">
        <v>1.246658970494084</v>
      </c>
      <c r="J167" s="41">
        <v>0</v>
      </c>
      <c r="K167" s="41">
        <v>119453.56690999999</v>
      </c>
      <c r="L167" s="41">
        <v>188301.3</v>
      </c>
      <c r="M167" s="41">
        <v>547417.4</v>
      </c>
      <c r="N167" s="42">
        <v>0.31221335652055304</v>
      </c>
      <c r="O167" s="41">
        <v>0</v>
      </c>
      <c r="P167" s="41">
        <v>150033.49776999999</v>
      </c>
      <c r="Q167" s="41">
        <v>65140.6</v>
      </c>
      <c r="R167" s="41">
        <v>149952.20000000001</v>
      </c>
      <c r="S167" s="42">
        <v>0.41602813614368361</v>
      </c>
      <c r="T167" s="41">
        <v>5512.4124000000002</v>
      </c>
      <c r="U167" s="41">
        <v>771559.27294000005</v>
      </c>
      <c r="V167" s="41">
        <v>30603.7</v>
      </c>
      <c r="W167" s="41">
        <v>110272.7</v>
      </c>
      <c r="X167" s="42">
        <v>0.26442554782039901</v>
      </c>
      <c r="Y167" s="43">
        <v>3</v>
      </c>
      <c r="Z167" s="43" t="s">
        <v>2090</v>
      </c>
      <c r="AA167" s="43" t="s">
        <v>2090</v>
      </c>
      <c r="AB167" s="43" t="s">
        <v>2090</v>
      </c>
      <c r="AC167" s="43" t="s">
        <v>2090</v>
      </c>
      <c r="AD167" s="43">
        <v>0</v>
      </c>
      <c r="AE167" s="43">
        <v>0</v>
      </c>
      <c r="AF167" s="43">
        <v>0</v>
      </c>
      <c r="AG167" s="43">
        <v>0</v>
      </c>
      <c r="AH167" s="43">
        <v>0</v>
      </c>
      <c r="AI167" s="43">
        <v>0</v>
      </c>
      <c r="AJ167" s="43">
        <v>0</v>
      </c>
      <c r="AK167" s="43">
        <v>1</v>
      </c>
      <c r="AL167" s="43">
        <v>0</v>
      </c>
      <c r="AM167" s="43">
        <v>0</v>
      </c>
      <c r="AN167" s="43">
        <v>0</v>
      </c>
      <c r="AO167" s="43">
        <v>0</v>
      </c>
      <c r="AP167" s="43">
        <v>0</v>
      </c>
      <c r="AQ167" s="43">
        <v>0</v>
      </c>
      <c r="AR167" s="43">
        <v>0</v>
      </c>
      <c r="AS167" s="43">
        <v>0</v>
      </c>
      <c r="AT167" s="43">
        <v>0</v>
      </c>
      <c r="AU167" s="43">
        <v>0</v>
      </c>
      <c r="AV167" s="43">
        <v>0</v>
      </c>
      <c r="AW167" s="43">
        <v>0</v>
      </c>
      <c r="AX167" s="43">
        <v>0</v>
      </c>
      <c r="AY167" s="43">
        <v>0</v>
      </c>
      <c r="AZ167" s="43">
        <v>0</v>
      </c>
      <c r="BA167" s="43">
        <v>0</v>
      </c>
      <c r="BB167" s="43">
        <v>0</v>
      </c>
      <c r="BC167" s="43">
        <v>0</v>
      </c>
      <c r="BD167" s="43">
        <v>0</v>
      </c>
      <c r="BE167" s="43">
        <v>0</v>
      </c>
      <c r="BF167" s="43">
        <v>0</v>
      </c>
      <c r="BG167" s="43">
        <v>0</v>
      </c>
      <c r="BH167" s="43">
        <v>0</v>
      </c>
      <c r="BI167" s="43">
        <v>0</v>
      </c>
      <c r="BJ167" s="43" t="s">
        <v>2090</v>
      </c>
      <c r="BK167" s="43" t="s">
        <v>2090</v>
      </c>
      <c r="BL167" s="43" t="s">
        <v>2090</v>
      </c>
      <c r="BM167" s="43" t="s">
        <v>2090</v>
      </c>
      <c r="BN167" s="43" t="s">
        <v>2090</v>
      </c>
      <c r="BO167" s="43" t="s">
        <v>2090</v>
      </c>
      <c r="BP167" s="43" t="s">
        <v>2090</v>
      </c>
      <c r="BQ167" s="43" t="s">
        <v>2090</v>
      </c>
      <c r="BR167" s="43" t="s">
        <v>2090</v>
      </c>
      <c r="BS167" s="43" t="s">
        <v>2090</v>
      </c>
      <c r="BT167" s="43" t="s">
        <v>2090</v>
      </c>
      <c r="BU167" s="43" t="s">
        <v>2090</v>
      </c>
      <c r="BV167" s="43" t="s">
        <v>2090</v>
      </c>
      <c r="BW167" s="43" t="s">
        <v>2090</v>
      </c>
    </row>
    <row r="168" spans="1:75" ht="156.94999999999999" customHeight="1" x14ac:dyDescent="0.25">
      <c r="A168" s="38" t="s">
        <v>969</v>
      </c>
      <c r="B168" s="38" t="s">
        <v>1744</v>
      </c>
      <c r="C168" s="39" t="s">
        <v>970</v>
      </c>
      <c r="D168" s="40" t="s">
        <v>971</v>
      </c>
      <c r="E168" s="41">
        <v>76952.058780000007</v>
      </c>
      <c r="F168" s="41">
        <v>3126159.16383</v>
      </c>
      <c r="G168" s="41">
        <v>240291.20000000001</v>
      </c>
      <c r="H168" s="41">
        <v>197789.8</v>
      </c>
      <c r="I168" s="42">
        <v>1.1671049957193627</v>
      </c>
      <c r="J168" s="41">
        <v>0</v>
      </c>
      <c r="K168" s="41">
        <v>49589.908239999997</v>
      </c>
      <c r="L168" s="41">
        <v>140526.20000000001</v>
      </c>
      <c r="M168" s="41">
        <v>409313.7</v>
      </c>
      <c r="N168" s="42">
        <v>0.31780584125330902</v>
      </c>
      <c r="O168" s="41">
        <v>36767.951399999998</v>
      </c>
      <c r="P168" s="41">
        <v>2329534.10855</v>
      </c>
      <c r="Q168" s="41">
        <v>313768.40000000002</v>
      </c>
      <c r="R168" s="41">
        <v>362432.4</v>
      </c>
      <c r="S168" s="42">
        <v>0.80179992295147973</v>
      </c>
      <c r="T168" s="41">
        <v>2810.3359700000001</v>
      </c>
      <c r="U168" s="41">
        <v>441782.29918999999</v>
      </c>
      <c r="V168" s="41">
        <v>200995.7</v>
      </c>
      <c r="W168" s="41">
        <v>552171.30000000005</v>
      </c>
      <c r="X168" s="42">
        <v>0.33164305949008499</v>
      </c>
      <c r="Y168" s="43">
        <v>2</v>
      </c>
      <c r="Z168" s="43" t="s">
        <v>2090</v>
      </c>
      <c r="AA168" s="43" t="s">
        <v>2091</v>
      </c>
      <c r="AB168" s="43" t="s">
        <v>2090</v>
      </c>
      <c r="AC168" s="43" t="s">
        <v>2090</v>
      </c>
      <c r="AD168" s="43">
        <v>0</v>
      </c>
      <c r="AE168" s="43">
        <v>0</v>
      </c>
      <c r="AF168" s="43">
        <v>0</v>
      </c>
      <c r="AG168" s="43">
        <v>0</v>
      </c>
      <c r="AH168" s="43">
        <v>0</v>
      </c>
      <c r="AI168" s="43">
        <v>0</v>
      </c>
      <c r="AJ168" s="43">
        <v>0</v>
      </c>
      <c r="AK168" s="43">
        <v>0</v>
      </c>
      <c r="AL168" s="43">
        <v>0</v>
      </c>
      <c r="AM168" s="43">
        <v>1</v>
      </c>
      <c r="AN168" s="43">
        <v>0</v>
      </c>
      <c r="AO168" s="43">
        <v>0</v>
      </c>
      <c r="AP168" s="43">
        <v>0</v>
      </c>
      <c r="AQ168" s="43">
        <v>0</v>
      </c>
      <c r="AR168" s="43">
        <v>0</v>
      </c>
      <c r="AS168" s="43">
        <v>0</v>
      </c>
      <c r="AT168" s="43">
        <v>0</v>
      </c>
      <c r="AU168" s="43">
        <v>0</v>
      </c>
      <c r="AV168" s="43">
        <v>0</v>
      </c>
      <c r="AW168" s="43">
        <v>0</v>
      </c>
      <c r="AX168" s="43">
        <v>0</v>
      </c>
      <c r="AY168" s="43">
        <v>0</v>
      </c>
      <c r="AZ168" s="43">
        <v>0</v>
      </c>
      <c r="BA168" s="43">
        <v>0</v>
      </c>
      <c r="BB168" s="43">
        <v>0</v>
      </c>
      <c r="BC168" s="43">
        <v>0</v>
      </c>
      <c r="BD168" s="43">
        <v>0</v>
      </c>
      <c r="BE168" s="43">
        <v>0</v>
      </c>
      <c r="BF168" s="43">
        <v>0</v>
      </c>
      <c r="BG168" s="43">
        <v>0</v>
      </c>
      <c r="BH168" s="43">
        <v>0</v>
      </c>
      <c r="BI168" s="43">
        <v>0</v>
      </c>
      <c r="BJ168" s="43" t="s">
        <v>2090</v>
      </c>
      <c r="BK168" s="43" t="s">
        <v>2090</v>
      </c>
      <c r="BL168" s="43" t="s">
        <v>2090</v>
      </c>
      <c r="BM168" s="43" t="s">
        <v>2090</v>
      </c>
      <c r="BN168" s="43" t="s">
        <v>2090</v>
      </c>
      <c r="BO168" s="43" t="s">
        <v>2090</v>
      </c>
      <c r="BP168" s="43" t="s">
        <v>2090</v>
      </c>
      <c r="BQ168" s="43" t="s">
        <v>2090</v>
      </c>
      <c r="BR168" s="43" t="s">
        <v>2091</v>
      </c>
      <c r="BS168" s="43" t="s">
        <v>2090</v>
      </c>
      <c r="BT168" s="43" t="s">
        <v>2091</v>
      </c>
      <c r="BU168" s="43" t="s">
        <v>2090</v>
      </c>
      <c r="BV168" s="43" t="s">
        <v>2090</v>
      </c>
      <c r="BW168" s="43" t="s">
        <v>2090</v>
      </c>
    </row>
    <row r="169" spans="1:75" ht="174.95" customHeight="1" x14ac:dyDescent="0.25">
      <c r="A169" s="38" t="s">
        <v>972</v>
      </c>
      <c r="B169" s="38" t="s">
        <v>1745</v>
      </c>
      <c r="C169" s="39" t="s">
        <v>973</v>
      </c>
      <c r="D169" s="40" t="s">
        <v>974</v>
      </c>
      <c r="E169" s="41">
        <v>56583.195440000003</v>
      </c>
      <c r="F169" s="41">
        <v>2761622.3894699998</v>
      </c>
      <c r="G169" s="41">
        <v>87240.7</v>
      </c>
      <c r="H169" s="41">
        <v>97886.5</v>
      </c>
      <c r="I169" s="42">
        <v>0.83674297376380036</v>
      </c>
      <c r="J169" s="41">
        <v>0</v>
      </c>
      <c r="K169" s="41">
        <v>73107.702499999999</v>
      </c>
      <c r="L169" s="41">
        <v>93387.4</v>
      </c>
      <c r="M169" s="41">
        <v>375398.7</v>
      </c>
      <c r="N169" s="42">
        <v>0.23951243046553938</v>
      </c>
      <c r="O169" s="41">
        <v>13698.3133</v>
      </c>
      <c r="P169" s="41">
        <v>844699.93481999997</v>
      </c>
      <c r="Q169" s="41">
        <v>33445</v>
      </c>
      <c r="R169" s="41">
        <v>97153.8</v>
      </c>
      <c r="S169" s="42">
        <v>0.32506756080472421</v>
      </c>
      <c r="T169" s="41">
        <v>2414.6998400000002</v>
      </c>
      <c r="U169" s="41">
        <v>438145.23411000002</v>
      </c>
      <c r="V169" s="41">
        <v>55572.9</v>
      </c>
      <c r="W169" s="41">
        <v>175679.7</v>
      </c>
      <c r="X169" s="42">
        <v>0.3119986333644148</v>
      </c>
      <c r="Y169" s="43">
        <v>3</v>
      </c>
      <c r="Z169" s="43" t="s">
        <v>2090</v>
      </c>
      <c r="AA169" s="43" t="s">
        <v>2090</v>
      </c>
      <c r="AB169" s="43" t="s">
        <v>2090</v>
      </c>
      <c r="AC169" s="43" t="s">
        <v>2090</v>
      </c>
      <c r="AD169" s="43">
        <v>0</v>
      </c>
      <c r="AE169" s="43">
        <v>0</v>
      </c>
      <c r="AF169" s="43">
        <v>0</v>
      </c>
      <c r="AG169" s="43">
        <v>0</v>
      </c>
      <c r="AH169" s="43">
        <v>0</v>
      </c>
      <c r="AI169" s="43">
        <v>0</v>
      </c>
      <c r="AJ169" s="43">
        <v>0</v>
      </c>
      <c r="AK169" s="43">
        <v>1</v>
      </c>
      <c r="AL169" s="43">
        <v>0</v>
      </c>
      <c r="AM169" s="43">
        <v>0</v>
      </c>
      <c r="AN169" s="43">
        <v>0</v>
      </c>
      <c r="AO169" s="43">
        <v>0</v>
      </c>
      <c r="AP169" s="43">
        <v>0</v>
      </c>
      <c r="AQ169" s="43">
        <v>0</v>
      </c>
      <c r="AR169" s="43">
        <v>0</v>
      </c>
      <c r="AS169" s="43">
        <v>0</v>
      </c>
      <c r="AT169" s="43">
        <v>0</v>
      </c>
      <c r="AU169" s="43">
        <v>0</v>
      </c>
      <c r="AV169" s="43">
        <v>0</v>
      </c>
      <c r="AW169" s="43">
        <v>0</v>
      </c>
      <c r="AX169" s="43">
        <v>0</v>
      </c>
      <c r="AY169" s="43">
        <v>0</v>
      </c>
      <c r="AZ169" s="43">
        <v>0</v>
      </c>
      <c r="BA169" s="43">
        <v>0</v>
      </c>
      <c r="BB169" s="43">
        <v>0</v>
      </c>
      <c r="BC169" s="43">
        <v>0</v>
      </c>
      <c r="BD169" s="43">
        <v>0</v>
      </c>
      <c r="BE169" s="43">
        <v>0</v>
      </c>
      <c r="BF169" s="43">
        <v>0</v>
      </c>
      <c r="BG169" s="43">
        <v>0</v>
      </c>
      <c r="BH169" s="43">
        <v>0</v>
      </c>
      <c r="BI169" s="43">
        <v>0</v>
      </c>
      <c r="BJ169" s="43" t="s">
        <v>2091</v>
      </c>
      <c r="BK169" s="43" t="s">
        <v>2090</v>
      </c>
      <c r="BL169" s="43" t="s">
        <v>2090</v>
      </c>
      <c r="BM169" s="43" t="s">
        <v>2090</v>
      </c>
      <c r="BN169" s="43" t="s">
        <v>2090</v>
      </c>
      <c r="BO169" s="43" t="s">
        <v>2090</v>
      </c>
      <c r="BP169" s="43" t="s">
        <v>2090</v>
      </c>
      <c r="BQ169" s="43" t="s">
        <v>2090</v>
      </c>
      <c r="BR169" s="43" t="s">
        <v>2090</v>
      </c>
      <c r="BS169" s="43" t="s">
        <v>2090</v>
      </c>
      <c r="BT169" s="43" t="s">
        <v>2090</v>
      </c>
      <c r="BU169" s="43" t="s">
        <v>2090</v>
      </c>
      <c r="BV169" s="43" t="s">
        <v>2090</v>
      </c>
      <c r="BW169" s="43" t="s">
        <v>2090</v>
      </c>
    </row>
    <row r="170" spans="1:75" ht="114.95" customHeight="1" x14ac:dyDescent="0.25">
      <c r="A170" s="38" t="s">
        <v>975</v>
      </c>
      <c r="B170" s="38" t="s">
        <v>1746</v>
      </c>
      <c r="C170" s="39" t="s">
        <v>976</v>
      </c>
      <c r="D170" s="40" t="s">
        <v>977</v>
      </c>
      <c r="E170" s="41">
        <v>78289.432230000006</v>
      </c>
      <c r="F170" s="41">
        <v>3148524.93102</v>
      </c>
      <c r="G170" s="41">
        <v>475899.1</v>
      </c>
      <c r="H170" s="41">
        <v>407713</v>
      </c>
      <c r="I170" s="42">
        <v>1.0916247734155746</v>
      </c>
      <c r="J170" s="41">
        <v>0</v>
      </c>
      <c r="K170" s="41">
        <v>150192.71319000001</v>
      </c>
      <c r="L170" s="41">
        <v>52182.9</v>
      </c>
      <c r="M170" s="41">
        <v>278254.40000000002</v>
      </c>
      <c r="N170" s="42">
        <v>0.17920159039512465</v>
      </c>
      <c r="O170" s="41">
        <v>3132.3058999999998</v>
      </c>
      <c r="P170" s="41">
        <v>590133.14014000003</v>
      </c>
      <c r="Q170" s="41">
        <v>90962.6</v>
      </c>
      <c r="R170" s="41">
        <v>203737.9</v>
      </c>
      <c r="S170" s="42">
        <v>0.41722471765161195</v>
      </c>
      <c r="T170" s="41">
        <v>5214.3305700000001</v>
      </c>
      <c r="U170" s="41">
        <v>639315.61682</v>
      </c>
      <c r="V170" s="41">
        <v>39910.1</v>
      </c>
      <c r="W170" s="41">
        <v>134106.1</v>
      </c>
      <c r="X170" s="42">
        <v>0.28357344463955725</v>
      </c>
      <c r="Y170" s="43">
        <v>2</v>
      </c>
      <c r="Z170" s="43" t="s">
        <v>2090</v>
      </c>
      <c r="AA170" s="43" t="s">
        <v>2090</v>
      </c>
      <c r="AB170" s="43" t="s">
        <v>2090</v>
      </c>
      <c r="AC170" s="43" t="s">
        <v>2090</v>
      </c>
      <c r="AD170" s="43">
        <v>1</v>
      </c>
      <c r="AE170" s="43">
        <v>0</v>
      </c>
      <c r="AF170" s="43">
        <v>0</v>
      </c>
      <c r="AG170" s="43">
        <v>0</v>
      </c>
      <c r="AH170" s="43">
        <v>0</v>
      </c>
      <c r="AI170" s="43">
        <v>0</v>
      </c>
      <c r="AJ170" s="43">
        <v>0</v>
      </c>
      <c r="AK170" s="43">
        <v>0</v>
      </c>
      <c r="AL170" s="43">
        <v>1</v>
      </c>
      <c r="AM170" s="43">
        <v>0</v>
      </c>
      <c r="AN170" s="43">
        <v>0</v>
      </c>
      <c r="AO170" s="43">
        <v>0</v>
      </c>
      <c r="AP170" s="43">
        <v>0</v>
      </c>
      <c r="AQ170" s="43">
        <v>0</v>
      </c>
      <c r="AR170" s="43">
        <v>0</v>
      </c>
      <c r="AS170" s="43">
        <v>0</v>
      </c>
      <c r="AT170" s="43">
        <v>0</v>
      </c>
      <c r="AU170" s="43">
        <v>0</v>
      </c>
      <c r="AV170" s="43">
        <v>0</v>
      </c>
      <c r="AW170" s="43">
        <v>0</v>
      </c>
      <c r="AX170" s="43">
        <v>0</v>
      </c>
      <c r="AY170" s="43">
        <v>0</v>
      </c>
      <c r="AZ170" s="43">
        <v>0</v>
      </c>
      <c r="BA170" s="43">
        <v>0</v>
      </c>
      <c r="BB170" s="43">
        <v>0</v>
      </c>
      <c r="BC170" s="43">
        <v>0</v>
      </c>
      <c r="BD170" s="43">
        <v>0</v>
      </c>
      <c r="BE170" s="43">
        <v>0</v>
      </c>
      <c r="BF170" s="43">
        <v>0</v>
      </c>
      <c r="BG170" s="43">
        <v>0</v>
      </c>
      <c r="BH170" s="43">
        <v>0</v>
      </c>
      <c r="BI170" s="43">
        <v>0</v>
      </c>
      <c r="BJ170" s="43" t="s">
        <v>2090</v>
      </c>
      <c r="BK170" s="43" t="s">
        <v>2090</v>
      </c>
      <c r="BL170" s="43" t="s">
        <v>2090</v>
      </c>
      <c r="BM170" s="43" t="s">
        <v>2090</v>
      </c>
      <c r="BN170" s="43" t="s">
        <v>2090</v>
      </c>
      <c r="BO170" s="43" t="s">
        <v>2090</v>
      </c>
      <c r="BP170" s="43" t="s">
        <v>2090</v>
      </c>
      <c r="BQ170" s="43" t="s">
        <v>2090</v>
      </c>
      <c r="BR170" s="43" t="s">
        <v>2090</v>
      </c>
      <c r="BS170" s="43" t="s">
        <v>2090</v>
      </c>
      <c r="BT170" s="43" t="s">
        <v>2090</v>
      </c>
      <c r="BU170" s="43" t="s">
        <v>2090</v>
      </c>
      <c r="BV170" s="43" t="s">
        <v>2090</v>
      </c>
      <c r="BW170" s="43" t="s">
        <v>2090</v>
      </c>
    </row>
    <row r="171" spans="1:75" ht="126.95" customHeight="1" x14ac:dyDescent="0.25">
      <c r="A171" s="38" t="s">
        <v>978</v>
      </c>
      <c r="B171" s="38" t="s">
        <v>1747</v>
      </c>
      <c r="C171" s="39" t="s">
        <v>979</v>
      </c>
      <c r="D171" s="40" t="s">
        <v>980</v>
      </c>
      <c r="E171" s="41">
        <v>53718.701480000003</v>
      </c>
      <c r="F171" s="41">
        <v>2702213.0264699999</v>
      </c>
      <c r="G171" s="41">
        <v>368632.4</v>
      </c>
      <c r="H171" s="41">
        <v>298890.09999999998</v>
      </c>
      <c r="I171" s="42">
        <v>1.1963402098324087</v>
      </c>
      <c r="J171" s="41">
        <v>6462.1556399999999</v>
      </c>
      <c r="K171" s="41">
        <v>811315.94158999994</v>
      </c>
      <c r="L171" s="41">
        <v>62990.9</v>
      </c>
      <c r="M171" s="41">
        <v>149512.6</v>
      </c>
      <c r="N171" s="42">
        <v>0.39430110086772352</v>
      </c>
      <c r="O171" s="41">
        <v>9321.5082399999992</v>
      </c>
      <c r="P171" s="41">
        <v>1212290.8422399999</v>
      </c>
      <c r="Q171" s="41">
        <v>266496.3</v>
      </c>
      <c r="R171" s="41">
        <v>470777</v>
      </c>
      <c r="S171" s="42">
        <v>0.53309691455492747</v>
      </c>
      <c r="T171" s="41">
        <v>25765.840059999999</v>
      </c>
      <c r="U171" s="41">
        <v>1906670.80039</v>
      </c>
      <c r="V171" s="41">
        <v>122090.8</v>
      </c>
      <c r="W171" s="41">
        <v>174940.2</v>
      </c>
      <c r="X171" s="42">
        <v>0.61925734024179613</v>
      </c>
      <c r="Y171" s="43">
        <v>2</v>
      </c>
      <c r="Z171" s="43" t="s">
        <v>2091</v>
      </c>
      <c r="AA171" s="43" t="s">
        <v>2090</v>
      </c>
      <c r="AB171" s="43" t="s">
        <v>2090</v>
      </c>
      <c r="AC171" s="43" t="s">
        <v>2090</v>
      </c>
      <c r="AD171" s="43">
        <v>0</v>
      </c>
      <c r="AE171" s="43">
        <v>0</v>
      </c>
      <c r="AF171" s="43">
        <v>0</v>
      </c>
      <c r="AG171" s="43">
        <v>0</v>
      </c>
      <c r="AH171" s="43">
        <v>0</v>
      </c>
      <c r="AI171" s="43">
        <v>0</v>
      </c>
      <c r="AJ171" s="43">
        <v>0</v>
      </c>
      <c r="AK171" s="43">
        <v>0</v>
      </c>
      <c r="AL171" s="43">
        <v>0</v>
      </c>
      <c r="AM171" s="43">
        <v>0</v>
      </c>
      <c r="AN171" s="43">
        <v>1</v>
      </c>
      <c r="AO171" s="43">
        <v>0</v>
      </c>
      <c r="AP171" s="43">
        <v>0</v>
      </c>
      <c r="AQ171" s="43">
        <v>0</v>
      </c>
      <c r="AR171" s="43">
        <v>0</v>
      </c>
      <c r="AS171" s="43">
        <v>0</v>
      </c>
      <c r="AT171" s="43">
        <v>0</v>
      </c>
      <c r="AU171" s="43">
        <v>0</v>
      </c>
      <c r="AV171" s="43">
        <v>0</v>
      </c>
      <c r="AW171" s="43">
        <v>0</v>
      </c>
      <c r="AX171" s="43">
        <v>0</v>
      </c>
      <c r="AY171" s="43">
        <v>0</v>
      </c>
      <c r="AZ171" s="43">
        <v>0</v>
      </c>
      <c r="BA171" s="43">
        <v>0</v>
      </c>
      <c r="BB171" s="43">
        <v>0</v>
      </c>
      <c r="BC171" s="43">
        <v>0</v>
      </c>
      <c r="BD171" s="43">
        <v>0</v>
      </c>
      <c r="BE171" s="43">
        <v>0</v>
      </c>
      <c r="BF171" s="43">
        <v>0</v>
      </c>
      <c r="BG171" s="43">
        <v>0</v>
      </c>
      <c r="BH171" s="43">
        <v>0</v>
      </c>
      <c r="BI171" s="43">
        <v>0</v>
      </c>
      <c r="BJ171" s="43" t="s">
        <v>2090</v>
      </c>
      <c r="BK171" s="43" t="s">
        <v>2090</v>
      </c>
      <c r="BL171" s="43" t="s">
        <v>2090</v>
      </c>
      <c r="BM171" s="43" t="s">
        <v>2090</v>
      </c>
      <c r="BN171" s="43" t="s">
        <v>2090</v>
      </c>
      <c r="BO171" s="43" t="s">
        <v>2090</v>
      </c>
      <c r="BP171" s="43" t="s">
        <v>2090</v>
      </c>
      <c r="BQ171" s="43" t="s">
        <v>2090</v>
      </c>
      <c r="BR171" s="43" t="s">
        <v>2090</v>
      </c>
      <c r="BS171" s="43" t="s">
        <v>2090</v>
      </c>
      <c r="BT171" s="43" t="s">
        <v>2090</v>
      </c>
      <c r="BU171" s="43" t="s">
        <v>2090</v>
      </c>
      <c r="BV171" s="43" t="s">
        <v>2090</v>
      </c>
      <c r="BW171" s="43" t="s">
        <v>2090</v>
      </c>
    </row>
    <row r="172" spans="1:75" ht="121.7" customHeight="1" x14ac:dyDescent="0.25">
      <c r="A172" s="38" t="s">
        <v>981</v>
      </c>
      <c r="B172" s="38" t="s">
        <v>1748</v>
      </c>
      <c r="C172" s="39" t="s">
        <v>982</v>
      </c>
      <c r="D172" s="40" t="s">
        <v>983</v>
      </c>
      <c r="E172" s="41">
        <v>51809.3125</v>
      </c>
      <c r="F172" s="41">
        <v>2619194.0810699998</v>
      </c>
      <c r="G172" s="41">
        <v>364428.1</v>
      </c>
      <c r="H172" s="41">
        <v>378629.3</v>
      </c>
      <c r="I172" s="42">
        <v>0.9292512050583176</v>
      </c>
      <c r="J172" s="41">
        <v>0</v>
      </c>
      <c r="K172" s="41">
        <v>10000.40537</v>
      </c>
      <c r="L172" s="41">
        <v>227642.9</v>
      </c>
      <c r="M172" s="41">
        <v>545076</v>
      </c>
      <c r="N172" s="42">
        <v>0.38048872375805443</v>
      </c>
      <c r="O172" s="41">
        <v>0</v>
      </c>
      <c r="P172" s="41">
        <v>169678.92733000001</v>
      </c>
      <c r="Q172" s="41">
        <v>49500.9</v>
      </c>
      <c r="R172" s="41">
        <v>142289</v>
      </c>
      <c r="S172" s="42">
        <v>0.33323119484521646</v>
      </c>
      <c r="T172" s="41">
        <v>2631.5632700000001</v>
      </c>
      <c r="U172" s="41">
        <v>446326.88913999998</v>
      </c>
      <c r="V172" s="41">
        <v>63849.9</v>
      </c>
      <c r="W172" s="41">
        <v>320084.90000000002</v>
      </c>
      <c r="X172" s="42">
        <v>0.18557953165261021</v>
      </c>
      <c r="Y172" s="43">
        <v>2</v>
      </c>
      <c r="Z172" s="43" t="s">
        <v>2091</v>
      </c>
      <c r="AA172" s="43" t="s">
        <v>2090</v>
      </c>
      <c r="AB172" s="43" t="s">
        <v>2090</v>
      </c>
      <c r="AC172" s="43" t="s">
        <v>2090</v>
      </c>
      <c r="AD172" s="43">
        <v>0</v>
      </c>
      <c r="AE172" s="43">
        <v>0</v>
      </c>
      <c r="AF172" s="43">
        <v>0</v>
      </c>
      <c r="AG172" s="43">
        <v>0</v>
      </c>
      <c r="AH172" s="43">
        <v>0</v>
      </c>
      <c r="AI172" s="43">
        <v>0</v>
      </c>
      <c r="AJ172" s="43">
        <v>0</v>
      </c>
      <c r="AK172" s="43">
        <v>0</v>
      </c>
      <c r="AL172" s="43">
        <v>0</v>
      </c>
      <c r="AM172" s="43">
        <v>0</v>
      </c>
      <c r="AN172" s="43">
        <v>1</v>
      </c>
      <c r="AO172" s="43">
        <v>0</v>
      </c>
      <c r="AP172" s="43">
        <v>0</v>
      </c>
      <c r="AQ172" s="43">
        <v>0</v>
      </c>
      <c r="AR172" s="43">
        <v>0</v>
      </c>
      <c r="AS172" s="43">
        <v>0</v>
      </c>
      <c r="AT172" s="43">
        <v>0</v>
      </c>
      <c r="AU172" s="43">
        <v>0</v>
      </c>
      <c r="AV172" s="43">
        <v>0</v>
      </c>
      <c r="AW172" s="43">
        <v>0</v>
      </c>
      <c r="AX172" s="43">
        <v>0</v>
      </c>
      <c r="AY172" s="43">
        <v>0</v>
      </c>
      <c r="AZ172" s="43">
        <v>0</v>
      </c>
      <c r="BA172" s="43">
        <v>0</v>
      </c>
      <c r="BB172" s="43">
        <v>0</v>
      </c>
      <c r="BC172" s="43">
        <v>0</v>
      </c>
      <c r="BD172" s="43">
        <v>0</v>
      </c>
      <c r="BE172" s="43">
        <v>0</v>
      </c>
      <c r="BF172" s="43">
        <v>0</v>
      </c>
      <c r="BG172" s="43">
        <v>0</v>
      </c>
      <c r="BH172" s="43">
        <v>0</v>
      </c>
      <c r="BI172" s="43">
        <v>0</v>
      </c>
      <c r="BJ172" s="43" t="s">
        <v>2090</v>
      </c>
      <c r="BK172" s="43" t="s">
        <v>2090</v>
      </c>
      <c r="BL172" s="43" t="s">
        <v>2090</v>
      </c>
      <c r="BM172" s="43" t="s">
        <v>2090</v>
      </c>
      <c r="BN172" s="43" t="s">
        <v>2090</v>
      </c>
      <c r="BO172" s="43" t="s">
        <v>2090</v>
      </c>
      <c r="BP172" s="43" t="s">
        <v>2090</v>
      </c>
      <c r="BQ172" s="43" t="s">
        <v>2090</v>
      </c>
      <c r="BR172" s="43" t="s">
        <v>2090</v>
      </c>
      <c r="BS172" s="43" t="s">
        <v>2090</v>
      </c>
      <c r="BT172" s="43" t="s">
        <v>2090</v>
      </c>
      <c r="BU172" s="43" t="s">
        <v>2090</v>
      </c>
      <c r="BV172" s="43" t="s">
        <v>2090</v>
      </c>
      <c r="BW172" s="43" t="s">
        <v>2090</v>
      </c>
    </row>
    <row r="173" spans="1:75" ht="141.94999999999999" customHeight="1" x14ac:dyDescent="0.25">
      <c r="A173" s="38" t="s">
        <v>984</v>
      </c>
      <c r="B173" s="38" t="s">
        <v>1749</v>
      </c>
      <c r="C173" s="39" t="s">
        <v>985</v>
      </c>
      <c r="D173" s="40" t="s">
        <v>986</v>
      </c>
      <c r="E173" s="41">
        <v>26385.467260000001</v>
      </c>
      <c r="F173" s="41">
        <v>2041841.1526599999</v>
      </c>
      <c r="G173" s="41">
        <v>40338.699999999997</v>
      </c>
      <c r="H173" s="41">
        <v>47239.8</v>
      </c>
      <c r="I173" s="42">
        <v>0.82911663807890223</v>
      </c>
      <c r="J173" s="41">
        <v>26731.393909999999</v>
      </c>
      <c r="K173" s="41">
        <v>1828586.4851200001</v>
      </c>
      <c r="L173" s="41">
        <v>177424.6</v>
      </c>
      <c r="M173" s="41">
        <v>214390.1</v>
      </c>
      <c r="N173" s="42">
        <v>0.77988609402647946</v>
      </c>
      <c r="O173" s="41">
        <v>3038.3984099999998</v>
      </c>
      <c r="P173" s="41">
        <v>358343.14766999998</v>
      </c>
      <c r="Q173" s="41">
        <v>154917.1</v>
      </c>
      <c r="R173" s="41">
        <v>365224.5</v>
      </c>
      <c r="S173" s="42">
        <v>0.40091741886954652</v>
      </c>
      <c r="T173" s="41">
        <v>28690.57057</v>
      </c>
      <c r="U173" s="41">
        <v>1990425.5046900001</v>
      </c>
      <c r="V173" s="41">
        <v>113132.7</v>
      </c>
      <c r="W173" s="41">
        <v>144324.79999999999</v>
      </c>
      <c r="X173" s="42">
        <v>0.70257721117600425</v>
      </c>
      <c r="Y173" s="43">
        <v>1</v>
      </c>
      <c r="Z173" s="43" t="s">
        <v>2090</v>
      </c>
      <c r="AA173" s="43" t="s">
        <v>2091</v>
      </c>
      <c r="AB173" s="43" t="s">
        <v>2090</v>
      </c>
      <c r="AC173" s="43" t="s">
        <v>2090</v>
      </c>
      <c r="AD173" s="43">
        <v>0</v>
      </c>
      <c r="AE173" s="43">
        <v>0</v>
      </c>
      <c r="AF173" s="43">
        <v>0</v>
      </c>
      <c r="AG173" s="43">
        <v>0</v>
      </c>
      <c r="AH173" s="43">
        <v>0</v>
      </c>
      <c r="AI173" s="43">
        <v>0</v>
      </c>
      <c r="AJ173" s="43">
        <v>0</v>
      </c>
      <c r="AK173" s="43">
        <v>0</v>
      </c>
      <c r="AL173" s="43">
        <v>0</v>
      </c>
      <c r="AM173" s="43">
        <v>0</v>
      </c>
      <c r="AN173" s="43">
        <v>0</v>
      </c>
      <c r="AO173" s="43">
        <v>0</v>
      </c>
      <c r="AP173" s="43">
        <v>0</v>
      </c>
      <c r="AQ173" s="43">
        <v>0</v>
      </c>
      <c r="AR173" s="43">
        <v>0</v>
      </c>
      <c r="AS173" s="43">
        <v>0</v>
      </c>
      <c r="AT173" s="43">
        <v>0</v>
      </c>
      <c r="AU173" s="43">
        <v>0</v>
      </c>
      <c r="AV173" s="43">
        <v>0</v>
      </c>
      <c r="AW173" s="43">
        <v>0</v>
      </c>
      <c r="AX173" s="43">
        <v>0</v>
      </c>
      <c r="AY173" s="43">
        <v>0</v>
      </c>
      <c r="AZ173" s="43">
        <v>0</v>
      </c>
      <c r="BA173" s="43">
        <v>0</v>
      </c>
      <c r="BB173" s="43">
        <v>0</v>
      </c>
      <c r="BC173" s="43">
        <v>0</v>
      </c>
      <c r="BD173" s="43">
        <v>0</v>
      </c>
      <c r="BE173" s="43">
        <v>0</v>
      </c>
      <c r="BF173" s="43">
        <v>0</v>
      </c>
      <c r="BG173" s="43">
        <v>0</v>
      </c>
      <c r="BH173" s="43">
        <v>0</v>
      </c>
      <c r="BI173" s="43">
        <v>0</v>
      </c>
      <c r="BJ173" s="43" t="s">
        <v>2090</v>
      </c>
      <c r="BK173" s="43" t="s">
        <v>2090</v>
      </c>
      <c r="BL173" s="43" t="s">
        <v>2090</v>
      </c>
      <c r="BM173" s="43" t="s">
        <v>2090</v>
      </c>
      <c r="BN173" s="43" t="s">
        <v>2090</v>
      </c>
      <c r="BO173" s="43" t="s">
        <v>2091</v>
      </c>
      <c r="BP173" s="43" t="s">
        <v>2090</v>
      </c>
      <c r="BQ173" s="43" t="s">
        <v>2091</v>
      </c>
      <c r="BR173" s="43" t="s">
        <v>2090</v>
      </c>
      <c r="BS173" s="43" t="s">
        <v>2090</v>
      </c>
      <c r="BT173" s="43" t="s">
        <v>2090</v>
      </c>
      <c r="BU173" s="43" t="s">
        <v>2090</v>
      </c>
      <c r="BV173" s="43" t="s">
        <v>2090</v>
      </c>
      <c r="BW173" s="43" t="s">
        <v>2090</v>
      </c>
    </row>
    <row r="174" spans="1:75" ht="153.94999999999999" customHeight="1" x14ac:dyDescent="0.25">
      <c r="A174" s="38" t="s">
        <v>987</v>
      </c>
      <c r="B174" s="38" t="s">
        <v>1750</v>
      </c>
      <c r="C174" s="39" t="s">
        <v>988</v>
      </c>
      <c r="D174" s="40" t="s">
        <v>989</v>
      </c>
      <c r="E174" s="41">
        <v>74705.613899999997</v>
      </c>
      <c r="F174" s="41">
        <v>3095946.2565199998</v>
      </c>
      <c r="G174" s="41">
        <v>419779.4</v>
      </c>
      <c r="H174" s="41">
        <v>319565.3</v>
      </c>
      <c r="I174" s="42">
        <v>1.2957197711188073</v>
      </c>
      <c r="J174" s="41">
        <v>9296.1811600000001</v>
      </c>
      <c r="K174" s="41">
        <v>1026359.2097</v>
      </c>
      <c r="L174" s="41">
        <v>207341.6</v>
      </c>
      <c r="M174" s="41">
        <v>361043</v>
      </c>
      <c r="N174" s="42">
        <v>0.53812890338063102</v>
      </c>
      <c r="O174" s="41">
        <v>50557.575649999999</v>
      </c>
      <c r="P174" s="41">
        <v>2637055.3311700001</v>
      </c>
      <c r="Q174" s="41">
        <v>109156</v>
      </c>
      <c r="R174" s="41">
        <v>96963.8</v>
      </c>
      <c r="S174" s="42">
        <v>1.0887900553166849</v>
      </c>
      <c r="T174" s="41">
        <v>46318.928529999997</v>
      </c>
      <c r="U174" s="41">
        <v>2392085.3050500001</v>
      </c>
      <c r="V174" s="41">
        <v>147290.1</v>
      </c>
      <c r="W174" s="41">
        <v>133059.79999999999</v>
      </c>
      <c r="X174" s="42">
        <v>1.035865056348886</v>
      </c>
      <c r="Y174" s="43">
        <v>1</v>
      </c>
      <c r="Z174" s="43" t="s">
        <v>2090</v>
      </c>
      <c r="AA174" s="43" t="s">
        <v>2091</v>
      </c>
      <c r="AB174" s="43" t="s">
        <v>2090</v>
      </c>
      <c r="AC174" s="43" t="s">
        <v>2090</v>
      </c>
      <c r="AD174" s="43">
        <v>0</v>
      </c>
      <c r="AE174" s="43">
        <v>0</v>
      </c>
      <c r="AF174" s="43">
        <v>0</v>
      </c>
      <c r="AG174" s="43">
        <v>0</v>
      </c>
      <c r="AH174" s="43">
        <v>0</v>
      </c>
      <c r="AI174" s="43">
        <v>0</v>
      </c>
      <c r="AJ174" s="43">
        <v>0</v>
      </c>
      <c r="AK174" s="43">
        <v>0</v>
      </c>
      <c r="AL174" s="43">
        <v>0</v>
      </c>
      <c r="AM174" s="43">
        <v>0</v>
      </c>
      <c r="AN174" s="43">
        <v>0</v>
      </c>
      <c r="AO174" s="43">
        <v>0</v>
      </c>
      <c r="AP174" s="43">
        <v>0</v>
      </c>
      <c r="AQ174" s="43">
        <v>0</v>
      </c>
      <c r="AR174" s="43">
        <v>0</v>
      </c>
      <c r="AS174" s="43">
        <v>0</v>
      </c>
      <c r="AT174" s="43">
        <v>0</v>
      </c>
      <c r="AU174" s="43">
        <v>0</v>
      </c>
      <c r="AV174" s="43">
        <v>0</v>
      </c>
      <c r="AW174" s="43">
        <v>0</v>
      </c>
      <c r="AX174" s="43">
        <v>0</v>
      </c>
      <c r="AY174" s="43">
        <v>0</v>
      </c>
      <c r="AZ174" s="43">
        <v>0</v>
      </c>
      <c r="BA174" s="43">
        <v>0</v>
      </c>
      <c r="BB174" s="43">
        <v>0</v>
      </c>
      <c r="BC174" s="43">
        <v>0</v>
      </c>
      <c r="BD174" s="43">
        <v>0</v>
      </c>
      <c r="BE174" s="43">
        <v>0</v>
      </c>
      <c r="BF174" s="43">
        <v>0</v>
      </c>
      <c r="BG174" s="43">
        <v>0</v>
      </c>
      <c r="BH174" s="43">
        <v>0</v>
      </c>
      <c r="BI174" s="43">
        <v>0</v>
      </c>
      <c r="BJ174" s="43" t="s">
        <v>2090</v>
      </c>
      <c r="BK174" s="43" t="s">
        <v>2090</v>
      </c>
      <c r="BL174" s="43" t="s">
        <v>2090</v>
      </c>
      <c r="BM174" s="43" t="s">
        <v>2090</v>
      </c>
      <c r="BN174" s="43" t="s">
        <v>2090</v>
      </c>
      <c r="BO174" s="43" t="s">
        <v>2091</v>
      </c>
      <c r="BP174" s="43" t="s">
        <v>2091</v>
      </c>
      <c r="BQ174" s="43" t="s">
        <v>2090</v>
      </c>
      <c r="BR174" s="43" t="s">
        <v>2090</v>
      </c>
      <c r="BS174" s="43" t="s">
        <v>2090</v>
      </c>
      <c r="BT174" s="43" t="s">
        <v>2090</v>
      </c>
      <c r="BU174" s="43" t="s">
        <v>2090</v>
      </c>
      <c r="BV174" s="43" t="s">
        <v>2090</v>
      </c>
      <c r="BW174" s="43" t="s">
        <v>2090</v>
      </c>
    </row>
    <row r="175" spans="1:75" ht="218.45" customHeight="1" x14ac:dyDescent="0.25">
      <c r="A175" s="38" t="s">
        <v>990</v>
      </c>
      <c r="B175" s="38" t="s">
        <v>1751</v>
      </c>
      <c r="C175" s="39" t="s">
        <v>991</v>
      </c>
      <c r="D175" s="40" t="s">
        <v>992</v>
      </c>
      <c r="E175" s="41">
        <v>36721.305999999997</v>
      </c>
      <c r="F175" s="41">
        <v>2247195.8862299998</v>
      </c>
      <c r="G175" s="41">
        <v>185260.5</v>
      </c>
      <c r="H175" s="41">
        <v>201172</v>
      </c>
      <c r="I175" s="42">
        <v>0.84089765051566912</v>
      </c>
      <c r="J175" s="41">
        <v>0</v>
      </c>
      <c r="K175" s="41">
        <v>0</v>
      </c>
      <c r="L175" s="41">
        <v>28723.200000000001</v>
      </c>
      <c r="M175" s="41">
        <v>138463.20000000001</v>
      </c>
      <c r="N175" s="42">
        <v>0.20374545454545454</v>
      </c>
      <c r="O175" s="41">
        <v>0</v>
      </c>
      <c r="P175" s="41">
        <v>4013.8692599999999</v>
      </c>
      <c r="Q175" s="41">
        <v>7919.5</v>
      </c>
      <c r="R175" s="41">
        <v>92441</v>
      </c>
      <c r="S175" s="42">
        <v>8.3469699449080892E-2</v>
      </c>
      <c r="T175" s="41">
        <v>3055.7169100000001</v>
      </c>
      <c r="U175" s="41">
        <v>534657.64219000004</v>
      </c>
      <c r="V175" s="41">
        <v>50374.2</v>
      </c>
      <c r="W175" s="41">
        <v>276413.7</v>
      </c>
      <c r="X175" s="42">
        <v>0.17846775441118926</v>
      </c>
      <c r="Y175" s="43">
        <v>2</v>
      </c>
      <c r="Z175" s="43" t="s">
        <v>2091</v>
      </c>
      <c r="AA175" s="43" t="s">
        <v>2090</v>
      </c>
      <c r="AB175" s="43" t="s">
        <v>2090</v>
      </c>
      <c r="AC175" s="43" t="s">
        <v>2090</v>
      </c>
      <c r="AD175" s="43">
        <v>0</v>
      </c>
      <c r="AE175" s="43">
        <v>0</v>
      </c>
      <c r="AF175" s="43">
        <v>0</v>
      </c>
      <c r="AG175" s="43">
        <v>0</v>
      </c>
      <c r="AH175" s="43">
        <v>0</v>
      </c>
      <c r="AI175" s="43">
        <v>0</v>
      </c>
      <c r="AJ175" s="43">
        <v>0</v>
      </c>
      <c r="AK175" s="43">
        <v>0</v>
      </c>
      <c r="AL175" s="43">
        <v>0</v>
      </c>
      <c r="AM175" s="43">
        <v>0</v>
      </c>
      <c r="AN175" s="43">
        <v>0</v>
      </c>
      <c r="AO175" s="43">
        <v>0</v>
      </c>
      <c r="AP175" s="43">
        <v>0</v>
      </c>
      <c r="AQ175" s="43">
        <v>0</v>
      </c>
      <c r="AR175" s="43">
        <v>1</v>
      </c>
      <c r="AS175" s="43">
        <v>0</v>
      </c>
      <c r="AT175" s="43">
        <v>0</v>
      </c>
      <c r="AU175" s="43">
        <v>0</v>
      </c>
      <c r="AV175" s="43">
        <v>0</v>
      </c>
      <c r="AW175" s="43">
        <v>0</v>
      </c>
      <c r="AX175" s="43">
        <v>0</v>
      </c>
      <c r="AY175" s="43">
        <v>0</v>
      </c>
      <c r="AZ175" s="43">
        <v>0</v>
      </c>
      <c r="BA175" s="43">
        <v>0</v>
      </c>
      <c r="BB175" s="43">
        <v>0</v>
      </c>
      <c r="BC175" s="43">
        <v>0</v>
      </c>
      <c r="BD175" s="43">
        <v>0</v>
      </c>
      <c r="BE175" s="43">
        <v>0</v>
      </c>
      <c r="BF175" s="43">
        <v>0</v>
      </c>
      <c r="BG175" s="43">
        <v>0</v>
      </c>
      <c r="BH175" s="43">
        <v>0</v>
      </c>
      <c r="BI175" s="43">
        <v>0</v>
      </c>
      <c r="BJ175" s="43" t="s">
        <v>2090</v>
      </c>
      <c r="BK175" s="43" t="s">
        <v>2090</v>
      </c>
      <c r="BL175" s="43" t="s">
        <v>2090</v>
      </c>
      <c r="BM175" s="43" t="s">
        <v>2090</v>
      </c>
      <c r="BN175" s="43" t="s">
        <v>2090</v>
      </c>
      <c r="BO175" s="43" t="s">
        <v>2090</v>
      </c>
      <c r="BP175" s="43" t="s">
        <v>2090</v>
      </c>
      <c r="BQ175" s="43" t="s">
        <v>2090</v>
      </c>
      <c r="BR175" s="43" t="s">
        <v>2090</v>
      </c>
      <c r="BS175" s="43" t="s">
        <v>2090</v>
      </c>
      <c r="BT175" s="43" t="s">
        <v>2090</v>
      </c>
      <c r="BU175" s="43" t="s">
        <v>2090</v>
      </c>
      <c r="BV175" s="43" t="s">
        <v>2090</v>
      </c>
      <c r="BW175" s="43" t="s">
        <v>2090</v>
      </c>
    </row>
    <row r="176" spans="1:75" ht="119.45" customHeight="1" x14ac:dyDescent="0.25">
      <c r="A176" s="38" t="s">
        <v>993</v>
      </c>
      <c r="B176" s="38" t="s">
        <v>1752</v>
      </c>
      <c r="C176" s="39" t="s">
        <v>994</v>
      </c>
      <c r="D176" s="40" t="s">
        <v>995</v>
      </c>
      <c r="E176" s="41">
        <v>53211.200620000003</v>
      </c>
      <c r="F176" s="41">
        <v>2645636.59296</v>
      </c>
      <c r="G176" s="41">
        <v>445111.1</v>
      </c>
      <c r="H176" s="41">
        <v>402957.6</v>
      </c>
      <c r="I176" s="42">
        <v>1.0830803375138713</v>
      </c>
      <c r="J176" s="41">
        <v>0</v>
      </c>
      <c r="K176" s="41">
        <v>95176.964919999999</v>
      </c>
      <c r="L176" s="41">
        <v>49710.8</v>
      </c>
      <c r="M176" s="41">
        <v>376084.2</v>
      </c>
      <c r="N176" s="42">
        <v>0.12480620405943831</v>
      </c>
      <c r="O176" s="41">
        <v>4802.19686</v>
      </c>
      <c r="P176" s="41">
        <v>680735.16021</v>
      </c>
      <c r="Q176" s="41">
        <v>64111.199999999997</v>
      </c>
      <c r="R176" s="41">
        <v>190983.7</v>
      </c>
      <c r="S176" s="42">
        <v>0.32491374000807965</v>
      </c>
      <c r="T176" s="41">
        <v>3759.9468499999998</v>
      </c>
      <c r="U176" s="41">
        <v>616520.12616999994</v>
      </c>
      <c r="V176" s="41">
        <v>141643.79999999999</v>
      </c>
      <c r="W176" s="41">
        <v>366038.5</v>
      </c>
      <c r="X176" s="42">
        <v>0.36318902579861212</v>
      </c>
      <c r="Y176" s="43">
        <v>2</v>
      </c>
      <c r="Z176" s="43" t="s">
        <v>2091</v>
      </c>
      <c r="AA176" s="43" t="s">
        <v>2090</v>
      </c>
      <c r="AB176" s="43" t="s">
        <v>2090</v>
      </c>
      <c r="AC176" s="43" t="s">
        <v>2090</v>
      </c>
      <c r="AD176" s="43">
        <v>0</v>
      </c>
      <c r="AE176" s="43">
        <v>0</v>
      </c>
      <c r="AF176" s="43">
        <v>0</v>
      </c>
      <c r="AG176" s="43">
        <v>0</v>
      </c>
      <c r="AH176" s="43">
        <v>0</v>
      </c>
      <c r="AI176" s="43">
        <v>0</v>
      </c>
      <c r="AJ176" s="43">
        <v>0</v>
      </c>
      <c r="AK176" s="43">
        <v>0</v>
      </c>
      <c r="AL176" s="43">
        <v>0</v>
      </c>
      <c r="AM176" s="43">
        <v>0</v>
      </c>
      <c r="AN176" s="43">
        <v>0</v>
      </c>
      <c r="AO176" s="43">
        <v>0</v>
      </c>
      <c r="AP176" s="43">
        <v>0</v>
      </c>
      <c r="AQ176" s="43">
        <v>0</v>
      </c>
      <c r="AR176" s="43">
        <v>1</v>
      </c>
      <c r="AS176" s="43">
        <v>0</v>
      </c>
      <c r="AT176" s="43">
        <v>0</v>
      </c>
      <c r="AU176" s="43">
        <v>0</v>
      </c>
      <c r="AV176" s="43">
        <v>0</v>
      </c>
      <c r="AW176" s="43">
        <v>0</v>
      </c>
      <c r="AX176" s="43">
        <v>0</v>
      </c>
      <c r="AY176" s="43">
        <v>0</v>
      </c>
      <c r="AZ176" s="43">
        <v>0</v>
      </c>
      <c r="BA176" s="43">
        <v>0</v>
      </c>
      <c r="BB176" s="43">
        <v>0</v>
      </c>
      <c r="BC176" s="43">
        <v>0</v>
      </c>
      <c r="BD176" s="43">
        <v>0</v>
      </c>
      <c r="BE176" s="43">
        <v>0</v>
      </c>
      <c r="BF176" s="43">
        <v>0</v>
      </c>
      <c r="BG176" s="43">
        <v>0</v>
      </c>
      <c r="BH176" s="43">
        <v>0</v>
      </c>
      <c r="BI176" s="43">
        <v>0</v>
      </c>
      <c r="BJ176" s="43" t="s">
        <v>2090</v>
      </c>
      <c r="BK176" s="43" t="s">
        <v>2090</v>
      </c>
      <c r="BL176" s="43" t="s">
        <v>2090</v>
      </c>
      <c r="BM176" s="43" t="s">
        <v>2090</v>
      </c>
      <c r="BN176" s="43" t="s">
        <v>2090</v>
      </c>
      <c r="BO176" s="43" t="s">
        <v>2090</v>
      </c>
      <c r="BP176" s="43" t="s">
        <v>2090</v>
      </c>
      <c r="BQ176" s="43" t="s">
        <v>2090</v>
      </c>
      <c r="BR176" s="43" t="s">
        <v>2090</v>
      </c>
      <c r="BS176" s="43" t="s">
        <v>2090</v>
      </c>
      <c r="BT176" s="43" t="s">
        <v>2090</v>
      </c>
      <c r="BU176" s="43" t="s">
        <v>2090</v>
      </c>
      <c r="BV176" s="43" t="s">
        <v>2090</v>
      </c>
      <c r="BW176" s="43" t="s">
        <v>2090</v>
      </c>
    </row>
    <row r="177" spans="1:75" ht="110.45" customHeight="1" x14ac:dyDescent="0.25">
      <c r="A177" s="38" t="s">
        <v>996</v>
      </c>
      <c r="B177" s="38" t="s">
        <v>1753</v>
      </c>
      <c r="C177" s="39" t="s">
        <v>997</v>
      </c>
      <c r="D177" s="40" t="s">
        <v>998</v>
      </c>
      <c r="E177" s="41">
        <v>64423.487999999998</v>
      </c>
      <c r="F177" s="41">
        <v>2933691.1316999998</v>
      </c>
      <c r="G177" s="41">
        <v>282621.90000000002</v>
      </c>
      <c r="H177" s="41">
        <v>198763.5</v>
      </c>
      <c r="I177" s="42">
        <v>1.3919797574163011</v>
      </c>
      <c r="J177" s="41">
        <v>16362.08589</v>
      </c>
      <c r="K177" s="41">
        <v>1424352.66191</v>
      </c>
      <c r="L177" s="41">
        <v>72838.899999999994</v>
      </c>
      <c r="M177" s="41">
        <v>117768.3</v>
      </c>
      <c r="N177" s="42">
        <v>0.5965799383407473</v>
      </c>
      <c r="O177" s="41">
        <v>74990.284150000007</v>
      </c>
      <c r="P177" s="41">
        <v>3063422.8457399998</v>
      </c>
      <c r="Q177" s="41">
        <v>46079.3</v>
      </c>
      <c r="R177" s="41">
        <v>30956.400000000001</v>
      </c>
      <c r="S177" s="42">
        <v>1.4600250332472815</v>
      </c>
      <c r="T177" s="41">
        <v>60247.473740000001</v>
      </c>
      <c r="U177" s="41">
        <v>2716253.19943</v>
      </c>
      <c r="V177" s="41">
        <v>103912.3</v>
      </c>
      <c r="W177" s="41">
        <v>71875.100000000006</v>
      </c>
      <c r="X177" s="42">
        <v>1.2930250938549694</v>
      </c>
      <c r="Y177" s="43">
        <v>2</v>
      </c>
      <c r="Z177" s="43" t="s">
        <v>2091</v>
      </c>
      <c r="AA177" s="43" t="s">
        <v>2090</v>
      </c>
      <c r="AB177" s="43" t="s">
        <v>2090</v>
      </c>
      <c r="AC177" s="43" t="s">
        <v>2090</v>
      </c>
      <c r="AD177" s="43">
        <v>0</v>
      </c>
      <c r="AE177" s="43">
        <v>0</v>
      </c>
      <c r="AF177" s="43">
        <v>0</v>
      </c>
      <c r="AG177" s="43">
        <v>0</v>
      </c>
      <c r="AH177" s="43">
        <v>0</v>
      </c>
      <c r="AI177" s="43">
        <v>0</v>
      </c>
      <c r="AJ177" s="43">
        <v>0</v>
      </c>
      <c r="AK177" s="43">
        <v>0</v>
      </c>
      <c r="AL177" s="43">
        <v>0</v>
      </c>
      <c r="AM177" s="43">
        <v>0</v>
      </c>
      <c r="AN177" s="43">
        <v>0</v>
      </c>
      <c r="AO177" s="43">
        <v>0</v>
      </c>
      <c r="AP177" s="43">
        <v>0</v>
      </c>
      <c r="AQ177" s="43">
        <v>0</v>
      </c>
      <c r="AR177" s="43">
        <v>0</v>
      </c>
      <c r="AS177" s="43">
        <v>1</v>
      </c>
      <c r="AT177" s="43">
        <v>0</v>
      </c>
      <c r="AU177" s="43">
        <v>0</v>
      </c>
      <c r="AV177" s="43">
        <v>0</v>
      </c>
      <c r="AW177" s="43">
        <v>0</v>
      </c>
      <c r="AX177" s="43">
        <v>0</v>
      </c>
      <c r="AY177" s="43">
        <v>0</v>
      </c>
      <c r="AZ177" s="43">
        <v>0</v>
      </c>
      <c r="BA177" s="43">
        <v>0</v>
      </c>
      <c r="BB177" s="43">
        <v>0</v>
      </c>
      <c r="BC177" s="43">
        <v>0</v>
      </c>
      <c r="BD177" s="43">
        <v>0</v>
      </c>
      <c r="BE177" s="43">
        <v>0</v>
      </c>
      <c r="BF177" s="43">
        <v>0</v>
      </c>
      <c r="BG177" s="43">
        <v>0</v>
      </c>
      <c r="BH177" s="43">
        <v>0</v>
      </c>
      <c r="BI177" s="43">
        <v>0</v>
      </c>
      <c r="BJ177" s="43" t="s">
        <v>2090</v>
      </c>
      <c r="BK177" s="43" t="s">
        <v>2090</v>
      </c>
      <c r="BL177" s="43" t="s">
        <v>2090</v>
      </c>
      <c r="BM177" s="43" t="s">
        <v>2090</v>
      </c>
      <c r="BN177" s="43" t="s">
        <v>2090</v>
      </c>
      <c r="BO177" s="43" t="s">
        <v>2090</v>
      </c>
      <c r="BP177" s="43" t="s">
        <v>2090</v>
      </c>
      <c r="BQ177" s="43" t="s">
        <v>2090</v>
      </c>
      <c r="BR177" s="43" t="s">
        <v>2090</v>
      </c>
      <c r="BS177" s="43" t="s">
        <v>2090</v>
      </c>
      <c r="BT177" s="43" t="s">
        <v>2090</v>
      </c>
      <c r="BU177" s="43" t="s">
        <v>2090</v>
      </c>
      <c r="BV177" s="43" t="s">
        <v>2090</v>
      </c>
      <c r="BW177" s="43" t="s">
        <v>2090</v>
      </c>
    </row>
    <row r="178" spans="1:75" ht="120.2" customHeight="1" x14ac:dyDescent="0.25">
      <c r="A178" s="38" t="s">
        <v>999</v>
      </c>
      <c r="B178" s="38" t="s">
        <v>1754</v>
      </c>
      <c r="C178" s="39" t="s">
        <v>1000</v>
      </c>
      <c r="D178" s="40" t="s">
        <v>1001</v>
      </c>
      <c r="E178" s="41">
        <v>38048.875269999997</v>
      </c>
      <c r="F178" s="41">
        <v>2392451.3580299998</v>
      </c>
      <c r="G178" s="41">
        <v>58310</v>
      </c>
      <c r="H178" s="41">
        <v>60356.9</v>
      </c>
      <c r="I178" s="42">
        <v>0.9433631422058566</v>
      </c>
      <c r="J178" s="41">
        <v>0</v>
      </c>
      <c r="K178" s="41">
        <v>0</v>
      </c>
      <c r="L178" s="41">
        <v>54707.5</v>
      </c>
      <c r="M178" s="41">
        <v>122231.4</v>
      </c>
      <c r="N178" s="42">
        <v>0.40022921659073468</v>
      </c>
      <c r="O178" s="41">
        <v>0</v>
      </c>
      <c r="P178" s="41">
        <v>285749.98470999999</v>
      </c>
      <c r="Q178" s="41">
        <v>26419.5</v>
      </c>
      <c r="R178" s="41">
        <v>142324.70000000001</v>
      </c>
      <c r="S178" s="42">
        <v>0.17996803698319686</v>
      </c>
      <c r="T178" s="41">
        <v>3744.20307</v>
      </c>
      <c r="U178" s="41">
        <v>573327.99667000002</v>
      </c>
      <c r="V178" s="41">
        <v>2714.7</v>
      </c>
      <c r="W178" s="41">
        <v>14272.2</v>
      </c>
      <c r="X178" s="42">
        <v>0.18363309352517984</v>
      </c>
      <c r="Y178" s="43">
        <v>2</v>
      </c>
      <c r="Z178" s="43" t="s">
        <v>2091</v>
      </c>
      <c r="AA178" s="43" t="s">
        <v>2090</v>
      </c>
      <c r="AB178" s="43" t="s">
        <v>2090</v>
      </c>
      <c r="AC178" s="43" t="s">
        <v>2090</v>
      </c>
      <c r="AD178" s="43">
        <v>0</v>
      </c>
      <c r="AE178" s="43">
        <v>0</v>
      </c>
      <c r="AF178" s="43">
        <v>0</v>
      </c>
      <c r="AG178" s="43">
        <v>0</v>
      </c>
      <c r="AH178" s="43">
        <v>0</v>
      </c>
      <c r="AI178" s="43">
        <v>0</v>
      </c>
      <c r="AJ178" s="43">
        <v>0</v>
      </c>
      <c r="AK178" s="43">
        <v>0</v>
      </c>
      <c r="AL178" s="43">
        <v>0</v>
      </c>
      <c r="AM178" s="43">
        <v>0</v>
      </c>
      <c r="AN178" s="43">
        <v>0</v>
      </c>
      <c r="AO178" s="43">
        <v>0</v>
      </c>
      <c r="AP178" s="43">
        <v>0</v>
      </c>
      <c r="AQ178" s="43">
        <v>0</v>
      </c>
      <c r="AR178" s="43">
        <v>0</v>
      </c>
      <c r="AS178" s="43">
        <v>0</v>
      </c>
      <c r="AT178" s="43">
        <v>0</v>
      </c>
      <c r="AU178" s="43">
        <v>0</v>
      </c>
      <c r="AV178" s="43">
        <v>0</v>
      </c>
      <c r="AW178" s="43">
        <v>1</v>
      </c>
      <c r="AX178" s="43">
        <v>0</v>
      </c>
      <c r="AY178" s="43">
        <v>0</v>
      </c>
      <c r="AZ178" s="43">
        <v>0</v>
      </c>
      <c r="BA178" s="43">
        <v>0</v>
      </c>
      <c r="BB178" s="43">
        <v>0</v>
      </c>
      <c r="BC178" s="43">
        <v>0</v>
      </c>
      <c r="BD178" s="43">
        <v>0</v>
      </c>
      <c r="BE178" s="43">
        <v>0</v>
      </c>
      <c r="BF178" s="43">
        <v>0</v>
      </c>
      <c r="BG178" s="43">
        <v>0</v>
      </c>
      <c r="BH178" s="43">
        <v>0</v>
      </c>
      <c r="BI178" s="43">
        <v>0</v>
      </c>
      <c r="BJ178" s="43" t="s">
        <v>2090</v>
      </c>
      <c r="BK178" s="43" t="s">
        <v>2090</v>
      </c>
      <c r="BL178" s="43" t="s">
        <v>2090</v>
      </c>
      <c r="BM178" s="43" t="s">
        <v>2090</v>
      </c>
      <c r="BN178" s="43" t="s">
        <v>2090</v>
      </c>
      <c r="BO178" s="43" t="s">
        <v>2090</v>
      </c>
      <c r="BP178" s="43" t="s">
        <v>2090</v>
      </c>
      <c r="BQ178" s="43" t="s">
        <v>2090</v>
      </c>
      <c r="BR178" s="43" t="s">
        <v>2090</v>
      </c>
      <c r="BS178" s="43" t="s">
        <v>2090</v>
      </c>
      <c r="BT178" s="43" t="s">
        <v>2090</v>
      </c>
      <c r="BU178" s="43" t="s">
        <v>2090</v>
      </c>
      <c r="BV178" s="43" t="s">
        <v>2090</v>
      </c>
      <c r="BW178" s="43" t="s">
        <v>2090</v>
      </c>
    </row>
    <row r="179" spans="1:75" ht="114.2" customHeight="1" x14ac:dyDescent="0.25">
      <c r="A179" s="38" t="s">
        <v>1002</v>
      </c>
      <c r="B179" s="38" t="s">
        <v>1755</v>
      </c>
      <c r="C179" s="39" t="s">
        <v>1003</v>
      </c>
      <c r="D179" s="40" t="s">
        <v>1004</v>
      </c>
      <c r="E179" s="41">
        <v>44040.001389999998</v>
      </c>
      <c r="F179" s="41">
        <v>2431800.6822100002</v>
      </c>
      <c r="G179" s="41">
        <v>298640.59999999998</v>
      </c>
      <c r="H179" s="41">
        <v>284396.3</v>
      </c>
      <c r="I179" s="42">
        <v>1.0022234383146684</v>
      </c>
      <c r="J179" s="41">
        <v>0</v>
      </c>
      <c r="K179" s="41">
        <v>114164.86214</v>
      </c>
      <c r="L179" s="41">
        <v>8711.7000000000007</v>
      </c>
      <c r="M179" s="41">
        <v>74648.5</v>
      </c>
      <c r="N179" s="42">
        <v>7.5578933999407308E-2</v>
      </c>
      <c r="O179" s="41">
        <v>0</v>
      </c>
      <c r="P179" s="41">
        <v>10513.712439999999</v>
      </c>
      <c r="Q179" s="41">
        <v>57728</v>
      </c>
      <c r="R179" s="41">
        <v>248798.7</v>
      </c>
      <c r="S179" s="42">
        <v>0.22244457974428333</v>
      </c>
      <c r="T179" s="41">
        <v>4510.4598699999997</v>
      </c>
      <c r="U179" s="41">
        <v>607758.75216000003</v>
      </c>
      <c r="V179" s="41">
        <v>35622.400000000001</v>
      </c>
      <c r="W179" s="41">
        <v>190601.1</v>
      </c>
      <c r="X179" s="42">
        <v>0.18047616584331272</v>
      </c>
      <c r="Y179" s="43">
        <v>2</v>
      </c>
      <c r="Z179" s="43" t="s">
        <v>2090</v>
      </c>
      <c r="AA179" s="43" t="s">
        <v>2091</v>
      </c>
      <c r="AB179" s="43" t="s">
        <v>2090</v>
      </c>
      <c r="AC179" s="43" t="s">
        <v>2090</v>
      </c>
      <c r="AD179" s="43">
        <v>0</v>
      </c>
      <c r="AE179" s="43">
        <v>0</v>
      </c>
      <c r="AF179" s="43">
        <v>0</v>
      </c>
      <c r="AG179" s="43">
        <v>0</v>
      </c>
      <c r="AH179" s="43">
        <v>0</v>
      </c>
      <c r="AI179" s="43">
        <v>0</v>
      </c>
      <c r="AJ179" s="43">
        <v>0</v>
      </c>
      <c r="AK179" s="43">
        <v>0</v>
      </c>
      <c r="AL179" s="43">
        <v>0</v>
      </c>
      <c r="AM179" s="43">
        <v>0</v>
      </c>
      <c r="AN179" s="43">
        <v>0</v>
      </c>
      <c r="AO179" s="43">
        <v>0</v>
      </c>
      <c r="AP179" s="43">
        <v>0</v>
      </c>
      <c r="AQ179" s="43">
        <v>0</v>
      </c>
      <c r="AR179" s="43">
        <v>0</v>
      </c>
      <c r="AS179" s="43">
        <v>0</v>
      </c>
      <c r="AT179" s="43">
        <v>0</v>
      </c>
      <c r="AU179" s="43">
        <v>0</v>
      </c>
      <c r="AV179" s="43">
        <v>0</v>
      </c>
      <c r="AW179" s="43">
        <v>0</v>
      </c>
      <c r="AX179" s="43">
        <v>0</v>
      </c>
      <c r="AY179" s="43">
        <v>1</v>
      </c>
      <c r="AZ179" s="43">
        <v>0</v>
      </c>
      <c r="BA179" s="43">
        <v>0</v>
      </c>
      <c r="BB179" s="43">
        <v>0</v>
      </c>
      <c r="BC179" s="43">
        <v>0</v>
      </c>
      <c r="BD179" s="43">
        <v>0</v>
      </c>
      <c r="BE179" s="43">
        <v>0</v>
      </c>
      <c r="BF179" s="43">
        <v>0</v>
      </c>
      <c r="BG179" s="43">
        <v>0</v>
      </c>
      <c r="BH179" s="43">
        <v>0</v>
      </c>
      <c r="BI179" s="43">
        <v>0</v>
      </c>
      <c r="BJ179" s="43" t="s">
        <v>2090</v>
      </c>
      <c r="BK179" s="43" t="s">
        <v>2090</v>
      </c>
      <c r="BL179" s="43" t="s">
        <v>2090</v>
      </c>
      <c r="BM179" s="43" t="s">
        <v>2090</v>
      </c>
      <c r="BN179" s="43" t="s">
        <v>2090</v>
      </c>
      <c r="BO179" s="43" t="s">
        <v>2091</v>
      </c>
      <c r="BP179" s="43" t="s">
        <v>2091</v>
      </c>
      <c r="BQ179" s="43" t="s">
        <v>2090</v>
      </c>
      <c r="BR179" s="43" t="s">
        <v>2090</v>
      </c>
      <c r="BS179" s="43" t="s">
        <v>2090</v>
      </c>
      <c r="BT179" s="43" t="s">
        <v>2090</v>
      </c>
      <c r="BU179" s="43" t="s">
        <v>2090</v>
      </c>
      <c r="BV179" s="43" t="s">
        <v>2090</v>
      </c>
      <c r="BW179" s="43" t="s">
        <v>2090</v>
      </c>
    </row>
    <row r="180" spans="1:75" ht="162.19999999999999" customHeight="1" x14ac:dyDescent="0.25">
      <c r="A180" s="38" t="s">
        <v>1005</v>
      </c>
      <c r="B180" s="38" t="s">
        <v>1756</v>
      </c>
      <c r="C180" s="39" t="s">
        <v>1006</v>
      </c>
      <c r="D180" s="40" t="s">
        <v>1007</v>
      </c>
      <c r="E180" s="41">
        <v>10716.848029999999</v>
      </c>
      <c r="F180" s="41">
        <v>1203377.8128200001</v>
      </c>
      <c r="G180" s="41">
        <v>149184.4</v>
      </c>
      <c r="H180" s="41">
        <v>298180.09999999998</v>
      </c>
      <c r="I180" s="42">
        <v>0.47387129858842814</v>
      </c>
      <c r="J180" s="41">
        <v>0</v>
      </c>
      <c r="K180" s="41">
        <v>0</v>
      </c>
      <c r="L180" s="41">
        <v>108450.2</v>
      </c>
      <c r="M180" s="41">
        <v>247367.3</v>
      </c>
      <c r="N180" s="42">
        <v>0.42182146718303498</v>
      </c>
      <c r="O180" s="41">
        <v>0</v>
      </c>
      <c r="P180" s="41">
        <v>6280.2671200000004</v>
      </c>
      <c r="Q180" s="41">
        <v>29687.200000000001</v>
      </c>
      <c r="R180" s="41">
        <v>244841.7</v>
      </c>
      <c r="S180" s="42">
        <v>0.11878361776153457</v>
      </c>
      <c r="T180" s="41">
        <v>3361.88967</v>
      </c>
      <c r="U180" s="41">
        <v>563449.50193999999</v>
      </c>
      <c r="V180" s="41">
        <v>136517.1</v>
      </c>
      <c r="W180" s="41">
        <v>487383.3</v>
      </c>
      <c r="X180" s="42">
        <v>0.26255264336353984</v>
      </c>
      <c r="Y180" s="43">
        <v>2</v>
      </c>
      <c r="Z180" s="43" t="s">
        <v>2091</v>
      </c>
      <c r="AA180" s="43" t="s">
        <v>2090</v>
      </c>
      <c r="AB180" s="43" t="s">
        <v>2090</v>
      </c>
      <c r="AC180" s="43" t="s">
        <v>2090</v>
      </c>
      <c r="AD180" s="43">
        <v>0</v>
      </c>
      <c r="AE180" s="43">
        <v>0</v>
      </c>
      <c r="AF180" s="43">
        <v>0</v>
      </c>
      <c r="AG180" s="43">
        <v>0</v>
      </c>
      <c r="AH180" s="43">
        <v>0</v>
      </c>
      <c r="AI180" s="43">
        <v>0</v>
      </c>
      <c r="AJ180" s="43">
        <v>0</v>
      </c>
      <c r="AK180" s="43">
        <v>0</v>
      </c>
      <c r="AL180" s="43">
        <v>0</v>
      </c>
      <c r="AM180" s="43">
        <v>0</v>
      </c>
      <c r="AN180" s="43">
        <v>0</v>
      </c>
      <c r="AO180" s="43">
        <v>0</v>
      </c>
      <c r="AP180" s="43">
        <v>0</v>
      </c>
      <c r="AQ180" s="43">
        <v>0</v>
      </c>
      <c r="AR180" s="43">
        <v>0</v>
      </c>
      <c r="AS180" s="43">
        <v>0</v>
      </c>
      <c r="AT180" s="43">
        <v>0</v>
      </c>
      <c r="AU180" s="43">
        <v>0</v>
      </c>
      <c r="AV180" s="43">
        <v>0</v>
      </c>
      <c r="AW180" s="43">
        <v>1</v>
      </c>
      <c r="AX180" s="43">
        <v>0</v>
      </c>
      <c r="AY180" s="43">
        <v>0</v>
      </c>
      <c r="AZ180" s="43">
        <v>0</v>
      </c>
      <c r="BA180" s="43">
        <v>0</v>
      </c>
      <c r="BB180" s="43">
        <v>0</v>
      </c>
      <c r="BC180" s="43">
        <v>0</v>
      </c>
      <c r="BD180" s="43">
        <v>0</v>
      </c>
      <c r="BE180" s="43">
        <v>0</v>
      </c>
      <c r="BF180" s="43">
        <v>0</v>
      </c>
      <c r="BG180" s="43">
        <v>0</v>
      </c>
      <c r="BH180" s="43">
        <v>0</v>
      </c>
      <c r="BI180" s="43">
        <v>0</v>
      </c>
      <c r="BJ180" s="43" t="s">
        <v>2090</v>
      </c>
      <c r="BK180" s="43" t="s">
        <v>2090</v>
      </c>
      <c r="BL180" s="43" t="s">
        <v>2090</v>
      </c>
      <c r="BM180" s="43" t="s">
        <v>2090</v>
      </c>
      <c r="BN180" s="43" t="s">
        <v>2090</v>
      </c>
      <c r="BO180" s="43" t="s">
        <v>2090</v>
      </c>
      <c r="BP180" s="43" t="s">
        <v>2090</v>
      </c>
      <c r="BQ180" s="43" t="s">
        <v>2090</v>
      </c>
      <c r="BR180" s="43" t="s">
        <v>2090</v>
      </c>
      <c r="BS180" s="43" t="s">
        <v>2090</v>
      </c>
      <c r="BT180" s="43" t="s">
        <v>2090</v>
      </c>
      <c r="BU180" s="43" t="s">
        <v>2090</v>
      </c>
      <c r="BV180" s="43" t="s">
        <v>2090</v>
      </c>
      <c r="BW180" s="43" t="s">
        <v>2090</v>
      </c>
    </row>
    <row r="181" spans="1:75" ht="153.19999999999999" customHeight="1" x14ac:dyDescent="0.25">
      <c r="A181" s="38" t="s">
        <v>1008</v>
      </c>
      <c r="B181" s="38" t="s">
        <v>1757</v>
      </c>
      <c r="C181" s="39" t="s">
        <v>1009</v>
      </c>
      <c r="D181" s="40" t="s">
        <v>1010</v>
      </c>
      <c r="E181" s="41">
        <v>4222.9011899999996</v>
      </c>
      <c r="F181" s="41">
        <v>635334.36956999998</v>
      </c>
      <c r="G181" s="41">
        <v>133815</v>
      </c>
      <c r="H181" s="41">
        <v>387793.6</v>
      </c>
      <c r="I181" s="42">
        <v>0.32585141498365222</v>
      </c>
      <c r="J181" s="41">
        <v>2056.3309199999999</v>
      </c>
      <c r="K181" s="41">
        <v>358196.67090000003</v>
      </c>
      <c r="L181" s="41">
        <v>118225.8</v>
      </c>
      <c r="M181" s="41">
        <v>295026</v>
      </c>
      <c r="N181" s="42">
        <v>0.38247935135498845</v>
      </c>
      <c r="O181" s="41">
        <v>2684.3987999999999</v>
      </c>
      <c r="P181" s="41">
        <v>441354.75996</v>
      </c>
      <c r="Q181" s="41">
        <v>113967.9</v>
      </c>
      <c r="R181" s="41">
        <v>451652.1</v>
      </c>
      <c r="S181" s="42">
        <v>0.23006755598230513</v>
      </c>
      <c r="T181" s="41">
        <v>5618.0353800000003</v>
      </c>
      <c r="U181" s="41">
        <v>738996.32830000005</v>
      </c>
      <c r="V181" s="41">
        <v>76005.399999999994</v>
      </c>
      <c r="W181" s="41">
        <v>259501.6</v>
      </c>
      <c r="X181" s="42">
        <v>0.27922316917532231</v>
      </c>
      <c r="Y181" s="43">
        <v>2</v>
      </c>
      <c r="Z181" s="43" t="s">
        <v>2090</v>
      </c>
      <c r="AA181" s="43" t="s">
        <v>2091</v>
      </c>
      <c r="AB181" s="43" t="s">
        <v>2090</v>
      </c>
      <c r="AC181" s="43" t="s">
        <v>2090</v>
      </c>
      <c r="AD181" s="43">
        <v>0</v>
      </c>
      <c r="AE181" s="43">
        <v>0</v>
      </c>
      <c r="AF181" s="43">
        <v>0</v>
      </c>
      <c r="AG181" s="43">
        <v>0</v>
      </c>
      <c r="AH181" s="43">
        <v>0</v>
      </c>
      <c r="AI181" s="43">
        <v>0</v>
      </c>
      <c r="AJ181" s="43">
        <v>0</v>
      </c>
      <c r="AK181" s="43">
        <v>0</v>
      </c>
      <c r="AL181" s="43">
        <v>0</v>
      </c>
      <c r="AM181" s="43">
        <v>0</v>
      </c>
      <c r="AN181" s="43">
        <v>0</v>
      </c>
      <c r="AO181" s="43">
        <v>0</v>
      </c>
      <c r="AP181" s="43">
        <v>0</v>
      </c>
      <c r="AQ181" s="43">
        <v>0</v>
      </c>
      <c r="AR181" s="43">
        <v>0</v>
      </c>
      <c r="AS181" s="43">
        <v>0</v>
      </c>
      <c r="AT181" s="43">
        <v>0</v>
      </c>
      <c r="AU181" s="43">
        <v>0</v>
      </c>
      <c r="AV181" s="43">
        <v>0</v>
      </c>
      <c r="AW181" s="43">
        <v>1</v>
      </c>
      <c r="AX181" s="43">
        <v>0</v>
      </c>
      <c r="AY181" s="43">
        <v>0</v>
      </c>
      <c r="AZ181" s="43">
        <v>0</v>
      </c>
      <c r="BA181" s="43">
        <v>0</v>
      </c>
      <c r="BB181" s="43">
        <v>0</v>
      </c>
      <c r="BC181" s="43">
        <v>0</v>
      </c>
      <c r="BD181" s="43">
        <v>0</v>
      </c>
      <c r="BE181" s="43">
        <v>0</v>
      </c>
      <c r="BF181" s="43">
        <v>0</v>
      </c>
      <c r="BG181" s="43">
        <v>0</v>
      </c>
      <c r="BH181" s="43">
        <v>0</v>
      </c>
      <c r="BI181" s="43">
        <v>0</v>
      </c>
      <c r="BJ181" s="43" t="s">
        <v>2090</v>
      </c>
      <c r="BK181" s="43" t="s">
        <v>2090</v>
      </c>
      <c r="BL181" s="43" t="s">
        <v>2090</v>
      </c>
      <c r="BM181" s="43" t="s">
        <v>2090</v>
      </c>
      <c r="BN181" s="43" t="s">
        <v>2090</v>
      </c>
      <c r="BO181" s="43" t="s">
        <v>2091</v>
      </c>
      <c r="BP181" s="43" t="s">
        <v>2090</v>
      </c>
      <c r="BQ181" s="43" t="s">
        <v>2091</v>
      </c>
      <c r="BR181" s="43" t="s">
        <v>2090</v>
      </c>
      <c r="BS181" s="43" t="s">
        <v>2090</v>
      </c>
      <c r="BT181" s="43" t="s">
        <v>2090</v>
      </c>
      <c r="BU181" s="43" t="s">
        <v>2090</v>
      </c>
      <c r="BV181" s="43" t="s">
        <v>2090</v>
      </c>
      <c r="BW181" s="43" t="s">
        <v>2090</v>
      </c>
    </row>
    <row r="182" spans="1:75" ht="158.44999999999999" customHeight="1" x14ac:dyDescent="0.25">
      <c r="A182" s="38" t="s">
        <v>1011</v>
      </c>
      <c r="B182" s="38" t="s">
        <v>1758</v>
      </c>
      <c r="C182" s="39" t="s">
        <v>1012</v>
      </c>
      <c r="D182" s="40" t="s">
        <v>1013</v>
      </c>
      <c r="E182" s="41">
        <v>11073.77831</v>
      </c>
      <c r="F182" s="41">
        <v>1282104.0326799999</v>
      </c>
      <c r="G182" s="41">
        <v>263977.90000000002</v>
      </c>
      <c r="H182" s="41">
        <v>448636.4</v>
      </c>
      <c r="I182" s="42">
        <v>0.54822294474312783</v>
      </c>
      <c r="J182" s="41">
        <v>0</v>
      </c>
      <c r="K182" s="41">
        <v>0</v>
      </c>
      <c r="L182" s="41">
        <v>70212.2</v>
      </c>
      <c r="M182" s="41">
        <v>467734.6</v>
      </c>
      <c r="N182" s="42">
        <v>0.13864026633058774</v>
      </c>
      <c r="O182" s="41">
        <v>0</v>
      </c>
      <c r="P182" s="41">
        <v>30626.2019</v>
      </c>
      <c r="Q182" s="41">
        <v>35771.199999999997</v>
      </c>
      <c r="R182" s="41">
        <v>205290.4</v>
      </c>
      <c r="S182" s="42">
        <v>0.16407271817015553</v>
      </c>
      <c r="T182" s="41">
        <v>3017.2240400000001</v>
      </c>
      <c r="U182" s="41">
        <v>533140.25337000005</v>
      </c>
      <c r="V182" s="41">
        <v>130451.6</v>
      </c>
      <c r="W182" s="41">
        <v>445717.1</v>
      </c>
      <c r="X182" s="42">
        <v>0.27325016889073661</v>
      </c>
      <c r="Y182" s="43">
        <v>2</v>
      </c>
      <c r="Z182" s="43" t="s">
        <v>2091</v>
      </c>
      <c r="AA182" s="43" t="s">
        <v>2090</v>
      </c>
      <c r="AB182" s="43" t="s">
        <v>2090</v>
      </c>
      <c r="AC182" s="43" t="s">
        <v>2090</v>
      </c>
      <c r="AD182" s="43">
        <v>0</v>
      </c>
      <c r="AE182" s="43">
        <v>0</v>
      </c>
      <c r="AF182" s="43">
        <v>0</v>
      </c>
      <c r="AG182" s="43">
        <v>0</v>
      </c>
      <c r="AH182" s="43">
        <v>0</v>
      </c>
      <c r="AI182" s="43">
        <v>0</v>
      </c>
      <c r="AJ182" s="43">
        <v>0</v>
      </c>
      <c r="AK182" s="43">
        <v>0</v>
      </c>
      <c r="AL182" s="43">
        <v>0</v>
      </c>
      <c r="AM182" s="43">
        <v>0</v>
      </c>
      <c r="AN182" s="43">
        <v>0</v>
      </c>
      <c r="AO182" s="43">
        <v>0</v>
      </c>
      <c r="AP182" s="43">
        <v>0</v>
      </c>
      <c r="AQ182" s="43">
        <v>0</v>
      </c>
      <c r="AR182" s="43">
        <v>0</v>
      </c>
      <c r="AS182" s="43">
        <v>0</v>
      </c>
      <c r="AT182" s="43">
        <v>0</v>
      </c>
      <c r="AU182" s="43">
        <v>0</v>
      </c>
      <c r="AV182" s="43">
        <v>0</v>
      </c>
      <c r="AW182" s="43">
        <v>1</v>
      </c>
      <c r="AX182" s="43">
        <v>0</v>
      </c>
      <c r="AY182" s="43">
        <v>0</v>
      </c>
      <c r="AZ182" s="43">
        <v>0</v>
      </c>
      <c r="BA182" s="43">
        <v>0</v>
      </c>
      <c r="BB182" s="43">
        <v>0</v>
      </c>
      <c r="BC182" s="43">
        <v>0</v>
      </c>
      <c r="BD182" s="43">
        <v>0</v>
      </c>
      <c r="BE182" s="43">
        <v>0</v>
      </c>
      <c r="BF182" s="43">
        <v>0</v>
      </c>
      <c r="BG182" s="43">
        <v>0</v>
      </c>
      <c r="BH182" s="43">
        <v>0</v>
      </c>
      <c r="BI182" s="43">
        <v>0</v>
      </c>
      <c r="BJ182" s="43" t="s">
        <v>2090</v>
      </c>
      <c r="BK182" s="43" t="s">
        <v>2090</v>
      </c>
      <c r="BL182" s="43" t="s">
        <v>2090</v>
      </c>
      <c r="BM182" s="43" t="s">
        <v>2090</v>
      </c>
      <c r="BN182" s="43" t="s">
        <v>2090</v>
      </c>
      <c r="BO182" s="43" t="s">
        <v>2090</v>
      </c>
      <c r="BP182" s="43" t="s">
        <v>2090</v>
      </c>
      <c r="BQ182" s="43" t="s">
        <v>2090</v>
      </c>
      <c r="BR182" s="43" t="s">
        <v>2090</v>
      </c>
      <c r="BS182" s="43" t="s">
        <v>2090</v>
      </c>
      <c r="BT182" s="43" t="s">
        <v>2090</v>
      </c>
      <c r="BU182" s="43" t="s">
        <v>2090</v>
      </c>
      <c r="BV182" s="43" t="s">
        <v>2090</v>
      </c>
      <c r="BW182" s="43" t="s">
        <v>2090</v>
      </c>
    </row>
    <row r="183" spans="1:75" ht="147.19999999999999" customHeight="1" x14ac:dyDescent="0.25">
      <c r="A183" s="38" t="s">
        <v>1014</v>
      </c>
      <c r="B183" s="38" t="s">
        <v>1759</v>
      </c>
      <c r="C183" s="39" t="s">
        <v>1015</v>
      </c>
      <c r="D183" s="40" t="s">
        <v>1016</v>
      </c>
      <c r="E183" s="41">
        <v>57216.011500000001</v>
      </c>
      <c r="F183" s="41">
        <v>2817748.2146000001</v>
      </c>
      <c r="G183" s="41">
        <v>322753.40000000002</v>
      </c>
      <c r="H183" s="41">
        <v>263045.90000000002</v>
      </c>
      <c r="I183" s="42">
        <v>1.1764852845650329</v>
      </c>
      <c r="J183" s="41">
        <v>0</v>
      </c>
      <c r="K183" s="41">
        <v>21864.145130000001</v>
      </c>
      <c r="L183" s="41">
        <v>113446.2</v>
      </c>
      <c r="M183" s="41">
        <v>552718.30000000005</v>
      </c>
      <c r="N183" s="42">
        <v>0.18115586533157182</v>
      </c>
      <c r="O183" s="41">
        <v>73789.811619999993</v>
      </c>
      <c r="P183" s="41">
        <v>3105208.1089499998</v>
      </c>
      <c r="Q183" s="41">
        <v>501222.5</v>
      </c>
      <c r="R183" s="41">
        <v>367245.4</v>
      </c>
      <c r="S183" s="42">
        <v>1.3190044302596062</v>
      </c>
      <c r="T183" s="41">
        <v>3258.8621899999998</v>
      </c>
      <c r="U183" s="41">
        <v>546424.32912999997</v>
      </c>
      <c r="V183" s="41">
        <v>96187.6</v>
      </c>
      <c r="W183" s="41">
        <v>286067.7</v>
      </c>
      <c r="X183" s="42">
        <v>0.31319229935799658</v>
      </c>
      <c r="Y183" s="43">
        <v>2</v>
      </c>
      <c r="Z183" s="43" t="s">
        <v>2091</v>
      </c>
      <c r="AA183" s="43" t="s">
        <v>2090</v>
      </c>
      <c r="AB183" s="43" t="s">
        <v>2090</v>
      </c>
      <c r="AC183" s="43" t="s">
        <v>2090</v>
      </c>
      <c r="AD183" s="43">
        <v>0</v>
      </c>
      <c r="AE183" s="43">
        <v>0</v>
      </c>
      <c r="AF183" s="43">
        <v>0</v>
      </c>
      <c r="AG183" s="43">
        <v>0</v>
      </c>
      <c r="AH183" s="43">
        <v>0</v>
      </c>
      <c r="AI183" s="43">
        <v>0</v>
      </c>
      <c r="AJ183" s="43">
        <v>0</v>
      </c>
      <c r="AK183" s="43">
        <v>0</v>
      </c>
      <c r="AL183" s="43">
        <v>0</v>
      </c>
      <c r="AM183" s="43">
        <v>0</v>
      </c>
      <c r="AN183" s="43">
        <v>0</v>
      </c>
      <c r="AO183" s="43">
        <v>0</v>
      </c>
      <c r="AP183" s="43">
        <v>0</v>
      </c>
      <c r="AQ183" s="43">
        <v>0</v>
      </c>
      <c r="AR183" s="43">
        <v>0</v>
      </c>
      <c r="AS183" s="43">
        <v>0</v>
      </c>
      <c r="AT183" s="43">
        <v>0</v>
      </c>
      <c r="AU183" s="43">
        <v>0</v>
      </c>
      <c r="AV183" s="43">
        <v>0</v>
      </c>
      <c r="AW183" s="43">
        <v>1</v>
      </c>
      <c r="AX183" s="43">
        <v>0</v>
      </c>
      <c r="AY183" s="43">
        <v>0</v>
      </c>
      <c r="AZ183" s="43">
        <v>0</v>
      </c>
      <c r="BA183" s="43">
        <v>0</v>
      </c>
      <c r="BB183" s="43">
        <v>0</v>
      </c>
      <c r="BC183" s="43">
        <v>0</v>
      </c>
      <c r="BD183" s="43">
        <v>0</v>
      </c>
      <c r="BE183" s="43">
        <v>0</v>
      </c>
      <c r="BF183" s="43">
        <v>0</v>
      </c>
      <c r="BG183" s="43">
        <v>0</v>
      </c>
      <c r="BH183" s="43">
        <v>0</v>
      </c>
      <c r="BI183" s="43">
        <v>0</v>
      </c>
      <c r="BJ183" s="43" t="s">
        <v>2090</v>
      </c>
      <c r="BK183" s="43" t="s">
        <v>2090</v>
      </c>
      <c r="BL183" s="43" t="s">
        <v>2090</v>
      </c>
      <c r="BM183" s="43" t="s">
        <v>2090</v>
      </c>
      <c r="BN183" s="43" t="s">
        <v>2090</v>
      </c>
      <c r="BO183" s="43" t="s">
        <v>2090</v>
      </c>
      <c r="BP183" s="43" t="s">
        <v>2090</v>
      </c>
      <c r="BQ183" s="43" t="s">
        <v>2090</v>
      </c>
      <c r="BR183" s="43" t="s">
        <v>2090</v>
      </c>
      <c r="BS183" s="43" t="s">
        <v>2090</v>
      </c>
      <c r="BT183" s="43" t="s">
        <v>2090</v>
      </c>
      <c r="BU183" s="43" t="s">
        <v>2090</v>
      </c>
      <c r="BV183" s="43" t="s">
        <v>2090</v>
      </c>
      <c r="BW183" s="43" t="s">
        <v>2090</v>
      </c>
    </row>
    <row r="184" spans="1:75" ht="204.2" customHeight="1" x14ac:dyDescent="0.25">
      <c r="A184" s="38" t="s">
        <v>1017</v>
      </c>
      <c r="B184" s="38" t="s">
        <v>1760</v>
      </c>
      <c r="C184" s="39" t="s">
        <v>1018</v>
      </c>
      <c r="D184" s="40" t="s">
        <v>1019</v>
      </c>
      <c r="E184" s="41">
        <v>29096.22983</v>
      </c>
      <c r="F184" s="41">
        <v>1713129.0208000001</v>
      </c>
      <c r="G184" s="41">
        <v>127922.2</v>
      </c>
      <c r="H184" s="41">
        <v>236380.7</v>
      </c>
      <c r="I184" s="42">
        <v>0.50499060735814172</v>
      </c>
      <c r="J184" s="41">
        <v>1524.07223</v>
      </c>
      <c r="K184" s="41">
        <v>250992.05720000001</v>
      </c>
      <c r="L184" s="41">
        <v>72201.600000000006</v>
      </c>
      <c r="M184" s="41">
        <v>339958</v>
      </c>
      <c r="N184" s="42">
        <v>0.19950049534788664</v>
      </c>
      <c r="O184" s="41">
        <v>0</v>
      </c>
      <c r="P184" s="41">
        <v>234222.99827000001</v>
      </c>
      <c r="Q184" s="41">
        <v>10838.5</v>
      </c>
      <c r="R184" s="41">
        <v>55889.3</v>
      </c>
      <c r="S184" s="42">
        <v>0.18911441206485996</v>
      </c>
      <c r="T184" s="41">
        <v>14717.132540000001</v>
      </c>
      <c r="U184" s="41">
        <v>618839.75341999996</v>
      </c>
      <c r="V184" s="41">
        <v>54460.5</v>
      </c>
      <c r="W184" s="41">
        <v>180511</v>
      </c>
      <c r="X184" s="42">
        <v>0.29005292162070051</v>
      </c>
      <c r="Y184" s="43">
        <v>2</v>
      </c>
      <c r="Z184" s="43" t="s">
        <v>2091</v>
      </c>
      <c r="AA184" s="43" t="s">
        <v>2090</v>
      </c>
      <c r="AB184" s="43" t="s">
        <v>2090</v>
      </c>
      <c r="AC184" s="43" t="s">
        <v>2090</v>
      </c>
      <c r="AD184" s="43">
        <v>0</v>
      </c>
      <c r="AE184" s="43">
        <v>0</v>
      </c>
      <c r="AF184" s="43">
        <v>0</v>
      </c>
      <c r="AG184" s="43">
        <v>0</v>
      </c>
      <c r="AH184" s="43">
        <v>0</v>
      </c>
      <c r="AI184" s="43">
        <v>0</v>
      </c>
      <c r="AJ184" s="43">
        <v>0</v>
      </c>
      <c r="AK184" s="43">
        <v>0</v>
      </c>
      <c r="AL184" s="43">
        <v>0</v>
      </c>
      <c r="AM184" s="43">
        <v>0</v>
      </c>
      <c r="AN184" s="43">
        <v>0</v>
      </c>
      <c r="AO184" s="43">
        <v>0</v>
      </c>
      <c r="AP184" s="43">
        <v>0</v>
      </c>
      <c r="AQ184" s="43">
        <v>0</v>
      </c>
      <c r="AR184" s="43">
        <v>0</v>
      </c>
      <c r="AS184" s="43">
        <v>0</v>
      </c>
      <c r="AT184" s="43">
        <v>0</v>
      </c>
      <c r="AU184" s="43">
        <v>0</v>
      </c>
      <c r="AV184" s="43">
        <v>0</v>
      </c>
      <c r="AW184" s="43">
        <v>0</v>
      </c>
      <c r="AX184" s="43">
        <v>0</v>
      </c>
      <c r="AY184" s="43">
        <v>0</v>
      </c>
      <c r="AZ184" s="43">
        <v>0</v>
      </c>
      <c r="BA184" s="43">
        <v>0</v>
      </c>
      <c r="BB184" s="43">
        <v>1</v>
      </c>
      <c r="BC184" s="43">
        <v>0</v>
      </c>
      <c r="BD184" s="43">
        <v>0</v>
      </c>
      <c r="BE184" s="43">
        <v>0</v>
      </c>
      <c r="BF184" s="43">
        <v>0</v>
      </c>
      <c r="BG184" s="43">
        <v>0</v>
      </c>
      <c r="BH184" s="43">
        <v>0</v>
      </c>
      <c r="BI184" s="43">
        <v>0</v>
      </c>
      <c r="BJ184" s="43" t="s">
        <v>2090</v>
      </c>
      <c r="BK184" s="43" t="s">
        <v>2090</v>
      </c>
      <c r="BL184" s="43" t="s">
        <v>2090</v>
      </c>
      <c r="BM184" s="43" t="s">
        <v>2090</v>
      </c>
      <c r="BN184" s="43" t="s">
        <v>2090</v>
      </c>
      <c r="BO184" s="43" t="s">
        <v>2090</v>
      </c>
      <c r="BP184" s="43" t="s">
        <v>2090</v>
      </c>
      <c r="BQ184" s="43" t="s">
        <v>2090</v>
      </c>
      <c r="BR184" s="43" t="s">
        <v>2090</v>
      </c>
      <c r="BS184" s="43" t="s">
        <v>2090</v>
      </c>
      <c r="BT184" s="43" t="s">
        <v>2090</v>
      </c>
      <c r="BU184" s="43" t="s">
        <v>2090</v>
      </c>
      <c r="BV184" s="43" t="s">
        <v>2090</v>
      </c>
      <c r="BW184" s="43" t="s">
        <v>2090</v>
      </c>
    </row>
    <row r="185" spans="1:75" ht="159.19999999999999" customHeight="1" x14ac:dyDescent="0.25">
      <c r="A185" s="38" t="s">
        <v>1020</v>
      </c>
      <c r="B185" s="38" t="s">
        <v>1761</v>
      </c>
      <c r="C185" s="39" t="s">
        <v>1021</v>
      </c>
      <c r="D185" s="40" t="s">
        <v>1022</v>
      </c>
      <c r="E185" s="41">
        <v>52378.092720000001</v>
      </c>
      <c r="F185" s="41">
        <v>2671370.1015699999</v>
      </c>
      <c r="G185" s="41">
        <v>88074.8</v>
      </c>
      <c r="H185" s="41">
        <v>116868</v>
      </c>
      <c r="I185" s="42">
        <v>0.69295009526898288</v>
      </c>
      <c r="J185" s="41">
        <v>8807.6690299999991</v>
      </c>
      <c r="K185" s="41">
        <v>1019634.41548</v>
      </c>
      <c r="L185" s="41">
        <v>103882.7</v>
      </c>
      <c r="M185" s="41">
        <v>184746.3</v>
      </c>
      <c r="N185" s="42">
        <v>0.53663385081408554</v>
      </c>
      <c r="O185" s="41">
        <v>0</v>
      </c>
      <c r="P185" s="41">
        <v>29277.41647</v>
      </c>
      <c r="Q185" s="41">
        <v>20103.099999999999</v>
      </c>
      <c r="R185" s="41">
        <v>80246.899999999994</v>
      </c>
      <c r="S185" s="42">
        <v>0.24299109456721482</v>
      </c>
      <c r="T185" s="41">
        <v>10931.32092</v>
      </c>
      <c r="U185" s="41">
        <v>1173378.4250099999</v>
      </c>
      <c r="V185" s="41">
        <v>33216.300000000003</v>
      </c>
      <c r="W185" s="41">
        <v>88238.1</v>
      </c>
      <c r="X185" s="42">
        <v>0.3610906805386539</v>
      </c>
      <c r="Y185" s="43">
        <v>2</v>
      </c>
      <c r="Z185" s="43" t="s">
        <v>2091</v>
      </c>
      <c r="AA185" s="43" t="s">
        <v>2090</v>
      </c>
      <c r="AB185" s="43" t="s">
        <v>2090</v>
      </c>
      <c r="AC185" s="43" t="s">
        <v>2090</v>
      </c>
      <c r="AD185" s="43">
        <v>0</v>
      </c>
      <c r="AE185" s="43">
        <v>0</v>
      </c>
      <c r="AF185" s="43">
        <v>0</v>
      </c>
      <c r="AG185" s="43">
        <v>0</v>
      </c>
      <c r="AH185" s="43">
        <v>0</v>
      </c>
      <c r="AI185" s="43">
        <v>0</v>
      </c>
      <c r="AJ185" s="43">
        <v>0</v>
      </c>
      <c r="AK185" s="43">
        <v>0</v>
      </c>
      <c r="AL185" s="43">
        <v>0</v>
      </c>
      <c r="AM185" s="43">
        <v>0</v>
      </c>
      <c r="AN185" s="43">
        <v>0</v>
      </c>
      <c r="AO185" s="43">
        <v>0</v>
      </c>
      <c r="AP185" s="43">
        <v>0</v>
      </c>
      <c r="AQ185" s="43">
        <v>0</v>
      </c>
      <c r="AR185" s="43">
        <v>0</v>
      </c>
      <c r="AS185" s="43">
        <v>0</v>
      </c>
      <c r="AT185" s="43">
        <v>0</v>
      </c>
      <c r="AU185" s="43">
        <v>0</v>
      </c>
      <c r="AV185" s="43">
        <v>0</v>
      </c>
      <c r="AW185" s="43">
        <v>0</v>
      </c>
      <c r="AX185" s="43">
        <v>0</v>
      </c>
      <c r="AY185" s="43">
        <v>0</v>
      </c>
      <c r="AZ185" s="43">
        <v>0</v>
      </c>
      <c r="BA185" s="43">
        <v>1</v>
      </c>
      <c r="BB185" s="43">
        <v>0</v>
      </c>
      <c r="BC185" s="43">
        <v>0</v>
      </c>
      <c r="BD185" s="43">
        <v>0</v>
      </c>
      <c r="BE185" s="43">
        <v>0</v>
      </c>
      <c r="BF185" s="43">
        <v>0</v>
      </c>
      <c r="BG185" s="43">
        <v>0</v>
      </c>
      <c r="BH185" s="43">
        <v>0</v>
      </c>
      <c r="BI185" s="43">
        <v>0</v>
      </c>
      <c r="BJ185" s="43" t="s">
        <v>2090</v>
      </c>
      <c r="BK185" s="43" t="s">
        <v>2090</v>
      </c>
      <c r="BL185" s="43" t="s">
        <v>2091</v>
      </c>
      <c r="BM185" s="43" t="s">
        <v>2090</v>
      </c>
      <c r="BN185" s="43" t="s">
        <v>2090</v>
      </c>
      <c r="BO185" s="43" t="s">
        <v>2090</v>
      </c>
      <c r="BP185" s="43" t="s">
        <v>2090</v>
      </c>
      <c r="BQ185" s="43" t="s">
        <v>2090</v>
      </c>
      <c r="BR185" s="43" t="s">
        <v>2090</v>
      </c>
      <c r="BS185" s="43" t="s">
        <v>2090</v>
      </c>
      <c r="BT185" s="43" t="s">
        <v>2090</v>
      </c>
      <c r="BU185" s="43" t="s">
        <v>2090</v>
      </c>
      <c r="BV185" s="43" t="s">
        <v>2090</v>
      </c>
      <c r="BW185" s="43" t="s">
        <v>2090</v>
      </c>
    </row>
    <row r="186" spans="1:75" ht="164.45" customHeight="1" x14ac:dyDescent="0.25">
      <c r="A186" s="38" t="s">
        <v>1023</v>
      </c>
      <c r="B186" s="38" t="s">
        <v>1762</v>
      </c>
      <c r="C186" s="39" t="s">
        <v>1024</v>
      </c>
      <c r="D186" s="40" t="s">
        <v>1025</v>
      </c>
      <c r="E186" s="41">
        <v>77003.585990000007</v>
      </c>
      <c r="F186" s="41">
        <v>3072395.5332599999</v>
      </c>
      <c r="G186" s="41">
        <v>132259.79999999999</v>
      </c>
      <c r="H186" s="41">
        <v>134362.9</v>
      </c>
      <c r="I186" s="42">
        <v>0.93118981616574259</v>
      </c>
      <c r="J186" s="41">
        <v>16432.351470000001</v>
      </c>
      <c r="K186" s="41">
        <v>1421529.06122</v>
      </c>
      <c r="L186" s="41">
        <v>14443.4</v>
      </c>
      <c r="M186" s="41">
        <v>34438.300000000003</v>
      </c>
      <c r="N186" s="42">
        <v>0.39103657051393576</v>
      </c>
      <c r="O186" s="41">
        <v>0</v>
      </c>
      <c r="P186" s="41">
        <v>299031.66817000002</v>
      </c>
      <c r="Q186" s="41">
        <v>40256.5</v>
      </c>
      <c r="R186" s="41">
        <v>134373.79999999999</v>
      </c>
      <c r="S186" s="42">
        <v>0.28950170850734802</v>
      </c>
      <c r="T186" s="41">
        <v>20801.840069999998</v>
      </c>
      <c r="U186" s="41">
        <v>1685361.6894799999</v>
      </c>
      <c r="V186" s="41">
        <v>49875.8</v>
      </c>
      <c r="W186" s="41">
        <v>75698.5</v>
      </c>
      <c r="X186" s="42">
        <v>0.61807281766340105</v>
      </c>
      <c r="Y186" s="43">
        <v>2</v>
      </c>
      <c r="Z186" s="43" t="s">
        <v>2091</v>
      </c>
      <c r="AA186" s="43" t="s">
        <v>2090</v>
      </c>
      <c r="AB186" s="43" t="s">
        <v>2090</v>
      </c>
      <c r="AC186" s="43" t="s">
        <v>2090</v>
      </c>
      <c r="AD186" s="43">
        <v>0</v>
      </c>
      <c r="AE186" s="43">
        <v>0</v>
      </c>
      <c r="AF186" s="43">
        <v>0</v>
      </c>
      <c r="AG186" s="43">
        <v>0</v>
      </c>
      <c r="AH186" s="43">
        <v>0</v>
      </c>
      <c r="AI186" s="43">
        <v>0</v>
      </c>
      <c r="AJ186" s="43">
        <v>0</v>
      </c>
      <c r="AK186" s="43">
        <v>0</v>
      </c>
      <c r="AL186" s="43">
        <v>1</v>
      </c>
      <c r="AM186" s="43">
        <v>0</v>
      </c>
      <c r="AN186" s="43">
        <v>0</v>
      </c>
      <c r="AO186" s="43">
        <v>0</v>
      </c>
      <c r="AP186" s="43">
        <v>0</v>
      </c>
      <c r="AQ186" s="43">
        <v>0</v>
      </c>
      <c r="AR186" s="43">
        <v>0</v>
      </c>
      <c r="AS186" s="43">
        <v>0</v>
      </c>
      <c r="AT186" s="43">
        <v>0</v>
      </c>
      <c r="AU186" s="43">
        <v>0</v>
      </c>
      <c r="AV186" s="43">
        <v>0</v>
      </c>
      <c r="AW186" s="43">
        <v>0</v>
      </c>
      <c r="AX186" s="43">
        <v>0</v>
      </c>
      <c r="AY186" s="43">
        <v>0</v>
      </c>
      <c r="AZ186" s="43">
        <v>0</v>
      </c>
      <c r="BA186" s="43">
        <v>0</v>
      </c>
      <c r="BB186" s="43">
        <v>0</v>
      </c>
      <c r="BC186" s="43">
        <v>0</v>
      </c>
      <c r="BD186" s="43">
        <v>0</v>
      </c>
      <c r="BE186" s="43">
        <v>0</v>
      </c>
      <c r="BF186" s="43">
        <v>0</v>
      </c>
      <c r="BG186" s="43">
        <v>0</v>
      </c>
      <c r="BH186" s="43">
        <v>0</v>
      </c>
      <c r="BI186" s="43">
        <v>0</v>
      </c>
      <c r="BJ186" s="43" t="s">
        <v>2090</v>
      </c>
      <c r="BK186" s="43" t="s">
        <v>2090</v>
      </c>
      <c r="BL186" s="43" t="s">
        <v>2090</v>
      </c>
      <c r="BM186" s="43" t="s">
        <v>2090</v>
      </c>
      <c r="BN186" s="43" t="s">
        <v>2090</v>
      </c>
      <c r="BO186" s="43" t="s">
        <v>2090</v>
      </c>
      <c r="BP186" s="43" t="s">
        <v>2090</v>
      </c>
      <c r="BQ186" s="43" t="s">
        <v>2090</v>
      </c>
      <c r="BR186" s="43" t="s">
        <v>2090</v>
      </c>
      <c r="BS186" s="43" t="s">
        <v>2090</v>
      </c>
      <c r="BT186" s="43" t="s">
        <v>2090</v>
      </c>
      <c r="BU186" s="43" t="s">
        <v>2090</v>
      </c>
      <c r="BV186" s="43" t="s">
        <v>2090</v>
      </c>
      <c r="BW186" s="43" t="s">
        <v>2090</v>
      </c>
    </row>
    <row r="187" spans="1:75" ht="120.2" customHeight="1" x14ac:dyDescent="0.25">
      <c r="A187" s="38" t="s">
        <v>1026</v>
      </c>
      <c r="B187" s="38" t="s">
        <v>1763</v>
      </c>
      <c r="C187" s="39" t="s">
        <v>1027</v>
      </c>
      <c r="D187" s="40" t="s">
        <v>1028</v>
      </c>
      <c r="E187" s="41">
        <v>1140.34574</v>
      </c>
      <c r="F187" s="41">
        <v>241182.52596</v>
      </c>
      <c r="G187" s="41">
        <v>16781.3</v>
      </c>
      <c r="H187" s="41">
        <v>117879.8</v>
      </c>
      <c r="I187" s="42">
        <v>0.13792883899105446</v>
      </c>
      <c r="J187" s="41">
        <v>3211.8369400000001</v>
      </c>
      <c r="K187" s="41">
        <v>594.30592999999999</v>
      </c>
      <c r="L187" s="41">
        <v>34701.9</v>
      </c>
      <c r="M187" s="41">
        <v>246859.3</v>
      </c>
      <c r="N187" s="42">
        <v>0.13739932227931342</v>
      </c>
      <c r="O187" s="41">
        <v>0</v>
      </c>
      <c r="P187" s="41">
        <v>29961.811679999999</v>
      </c>
      <c r="Q187" s="41">
        <v>88206.6</v>
      </c>
      <c r="R187" s="41">
        <v>337071.7</v>
      </c>
      <c r="S187" s="42">
        <v>0.25784078739354377</v>
      </c>
      <c r="T187" s="41">
        <v>5254.5759900000003</v>
      </c>
      <c r="U187" s="41">
        <v>327526.88789000001</v>
      </c>
      <c r="V187" s="41">
        <v>18505.400000000001</v>
      </c>
      <c r="W187" s="41">
        <v>107946.4</v>
      </c>
      <c r="X187" s="42">
        <v>0.16861264536577408</v>
      </c>
      <c r="Y187" s="43">
        <v>2</v>
      </c>
      <c r="Z187" s="43" t="s">
        <v>2091</v>
      </c>
      <c r="AA187" s="43" t="s">
        <v>2090</v>
      </c>
      <c r="AB187" s="43" t="s">
        <v>2090</v>
      </c>
      <c r="AC187" s="43" t="s">
        <v>2090</v>
      </c>
      <c r="AD187" s="43">
        <v>0</v>
      </c>
      <c r="AE187" s="43">
        <v>0</v>
      </c>
      <c r="AF187" s="43">
        <v>0</v>
      </c>
      <c r="AG187" s="43">
        <v>0</v>
      </c>
      <c r="AH187" s="43">
        <v>0</v>
      </c>
      <c r="AI187" s="43">
        <v>0</v>
      </c>
      <c r="AJ187" s="43">
        <v>0</v>
      </c>
      <c r="AK187" s="43">
        <v>0</v>
      </c>
      <c r="AL187" s="43">
        <v>0</v>
      </c>
      <c r="AM187" s="43">
        <v>0</v>
      </c>
      <c r="AN187" s="43">
        <v>0</v>
      </c>
      <c r="AO187" s="43">
        <v>0</v>
      </c>
      <c r="AP187" s="43">
        <v>0</v>
      </c>
      <c r="AQ187" s="43">
        <v>0</v>
      </c>
      <c r="AR187" s="43">
        <v>0</v>
      </c>
      <c r="AS187" s="43">
        <v>0</v>
      </c>
      <c r="AT187" s="43">
        <v>0</v>
      </c>
      <c r="AU187" s="43">
        <v>0</v>
      </c>
      <c r="AV187" s="43">
        <v>0</v>
      </c>
      <c r="AW187" s="43">
        <v>0</v>
      </c>
      <c r="AX187" s="43">
        <v>0</v>
      </c>
      <c r="AY187" s="43">
        <v>0</v>
      </c>
      <c r="AZ187" s="43">
        <v>0</v>
      </c>
      <c r="BA187" s="43">
        <v>0</v>
      </c>
      <c r="BB187" s="43">
        <v>0</v>
      </c>
      <c r="BC187" s="43">
        <v>0</v>
      </c>
      <c r="BD187" s="43">
        <v>0</v>
      </c>
      <c r="BE187" s="43">
        <v>1</v>
      </c>
      <c r="BF187" s="43">
        <v>0</v>
      </c>
      <c r="BG187" s="43">
        <v>0</v>
      </c>
      <c r="BH187" s="43">
        <v>0</v>
      </c>
      <c r="BI187" s="43">
        <v>0</v>
      </c>
      <c r="BJ187" s="43" t="s">
        <v>2090</v>
      </c>
      <c r="BK187" s="43" t="s">
        <v>2090</v>
      </c>
      <c r="BL187" s="43" t="s">
        <v>2090</v>
      </c>
      <c r="BM187" s="43" t="s">
        <v>2090</v>
      </c>
      <c r="BN187" s="43" t="s">
        <v>2090</v>
      </c>
      <c r="BO187" s="43" t="s">
        <v>2090</v>
      </c>
      <c r="BP187" s="43" t="s">
        <v>2090</v>
      </c>
      <c r="BQ187" s="43" t="s">
        <v>2090</v>
      </c>
      <c r="BR187" s="43" t="s">
        <v>2090</v>
      </c>
      <c r="BS187" s="43" t="s">
        <v>2090</v>
      </c>
      <c r="BT187" s="43" t="s">
        <v>2090</v>
      </c>
      <c r="BU187" s="43" t="s">
        <v>2090</v>
      </c>
      <c r="BV187" s="43" t="s">
        <v>2090</v>
      </c>
      <c r="BW187" s="43" t="s">
        <v>2090</v>
      </c>
    </row>
    <row r="188" spans="1:75" ht="110.45" customHeight="1" x14ac:dyDescent="0.25">
      <c r="A188" s="38" t="s">
        <v>1029</v>
      </c>
      <c r="B188" s="38" t="s">
        <v>1764</v>
      </c>
      <c r="C188" s="39" t="s">
        <v>1030</v>
      </c>
      <c r="D188" s="40" t="s">
        <v>1031</v>
      </c>
      <c r="E188" s="41"/>
      <c r="F188" s="41">
        <v>197215.98641000001</v>
      </c>
      <c r="G188" s="41">
        <v>229010.7</v>
      </c>
      <c r="H188" s="41">
        <v>622465</v>
      </c>
      <c r="I188" s="42">
        <v>0.32760159728345223</v>
      </c>
      <c r="J188" s="41">
        <v>44624.650979999999</v>
      </c>
      <c r="K188" s="41">
        <v>13889.845219999999</v>
      </c>
      <c r="L188" s="41">
        <v>109617.3</v>
      </c>
      <c r="M188" s="41">
        <v>602520.6</v>
      </c>
      <c r="N188" s="42">
        <v>0.16635814746692612</v>
      </c>
      <c r="O188" s="41">
        <v>0</v>
      </c>
      <c r="P188" s="41">
        <v>15700.82231</v>
      </c>
      <c r="Q188" s="41">
        <v>41216.6</v>
      </c>
      <c r="R188" s="41">
        <v>466381.1</v>
      </c>
      <c r="S188" s="42">
        <v>7.8053971140220335E-2</v>
      </c>
      <c r="T188" s="41">
        <v>73341.0674</v>
      </c>
      <c r="U188" s="41">
        <v>413147.11975000001</v>
      </c>
      <c r="V188" s="41">
        <v>72887.399999999994</v>
      </c>
      <c r="W188" s="41">
        <v>338066.5</v>
      </c>
      <c r="X188" s="42">
        <v>0.20502533860931774</v>
      </c>
      <c r="Y188" s="43">
        <v>2</v>
      </c>
      <c r="Z188" s="43" t="s">
        <v>2091</v>
      </c>
      <c r="AA188" s="43" t="s">
        <v>2090</v>
      </c>
      <c r="AB188" s="43" t="s">
        <v>2090</v>
      </c>
      <c r="AC188" s="43" t="s">
        <v>2090</v>
      </c>
      <c r="AD188" s="43">
        <v>0</v>
      </c>
      <c r="AE188" s="43">
        <v>0</v>
      </c>
      <c r="AF188" s="43">
        <v>0</v>
      </c>
      <c r="AG188" s="43">
        <v>0</v>
      </c>
      <c r="AH188" s="43">
        <v>0</v>
      </c>
      <c r="AI188" s="43">
        <v>0</v>
      </c>
      <c r="AJ188" s="43">
        <v>0</v>
      </c>
      <c r="AK188" s="43">
        <v>0</v>
      </c>
      <c r="AL188" s="43">
        <v>0</v>
      </c>
      <c r="AM188" s="43">
        <v>0</v>
      </c>
      <c r="AN188" s="43">
        <v>0</v>
      </c>
      <c r="AO188" s="43">
        <v>0</v>
      </c>
      <c r="AP188" s="43">
        <v>0</v>
      </c>
      <c r="AQ188" s="43">
        <v>0</v>
      </c>
      <c r="AR188" s="43">
        <v>0</v>
      </c>
      <c r="AS188" s="43">
        <v>0</v>
      </c>
      <c r="AT188" s="43">
        <v>0</v>
      </c>
      <c r="AU188" s="43">
        <v>0</v>
      </c>
      <c r="AV188" s="43">
        <v>0</v>
      </c>
      <c r="AW188" s="43">
        <v>0</v>
      </c>
      <c r="AX188" s="43">
        <v>0</v>
      </c>
      <c r="AY188" s="43">
        <v>0</v>
      </c>
      <c r="AZ188" s="43">
        <v>0</v>
      </c>
      <c r="BA188" s="43">
        <v>0</v>
      </c>
      <c r="BB188" s="43">
        <v>0</v>
      </c>
      <c r="BC188" s="43">
        <v>0</v>
      </c>
      <c r="BD188" s="43">
        <v>0</v>
      </c>
      <c r="BE188" s="43">
        <v>0</v>
      </c>
      <c r="BF188" s="43">
        <v>0</v>
      </c>
      <c r="BG188" s="43">
        <v>1</v>
      </c>
      <c r="BH188" s="43">
        <v>0</v>
      </c>
      <c r="BI188" s="43">
        <v>0</v>
      </c>
      <c r="BJ188" s="43" t="s">
        <v>2090</v>
      </c>
      <c r="BK188" s="43" t="s">
        <v>2090</v>
      </c>
      <c r="BL188" s="43" t="s">
        <v>2090</v>
      </c>
      <c r="BM188" s="43" t="s">
        <v>2090</v>
      </c>
      <c r="BN188" s="43" t="s">
        <v>2090</v>
      </c>
      <c r="BO188" s="43" t="s">
        <v>2090</v>
      </c>
      <c r="BP188" s="43" t="s">
        <v>2090</v>
      </c>
      <c r="BQ188" s="43" t="s">
        <v>2090</v>
      </c>
      <c r="BR188" s="43" t="s">
        <v>2090</v>
      </c>
      <c r="BS188" s="43" t="s">
        <v>2090</v>
      </c>
      <c r="BT188" s="43" t="s">
        <v>2090</v>
      </c>
      <c r="BU188" s="43" t="s">
        <v>2090</v>
      </c>
      <c r="BV188" s="43" t="s">
        <v>2090</v>
      </c>
      <c r="BW188" s="43" t="s">
        <v>2090</v>
      </c>
    </row>
    <row r="189" spans="1:75" ht="129.94999999999999" customHeight="1" x14ac:dyDescent="0.25">
      <c r="A189" s="38" t="s">
        <v>1032</v>
      </c>
      <c r="B189" s="38" t="s">
        <v>1765</v>
      </c>
      <c r="C189" s="39" t="s">
        <v>1033</v>
      </c>
      <c r="D189" s="40" t="s">
        <v>1034</v>
      </c>
      <c r="E189" s="41">
        <v>0</v>
      </c>
      <c r="F189" s="41">
        <v>201963.90687000001</v>
      </c>
      <c r="G189" s="41">
        <v>34810.9</v>
      </c>
      <c r="H189" s="41">
        <v>192581.6</v>
      </c>
      <c r="I189" s="42">
        <v>0.1876508967125792</v>
      </c>
      <c r="J189" s="41">
        <v>0</v>
      </c>
      <c r="K189" s="41">
        <v>717.81778999999995</v>
      </c>
      <c r="L189" s="41">
        <v>84697.2</v>
      </c>
      <c r="M189" s="41">
        <v>521358.2</v>
      </c>
      <c r="N189" s="42">
        <v>0.15965387301980372</v>
      </c>
      <c r="O189" s="41">
        <v>0</v>
      </c>
      <c r="P189" s="41">
        <v>27819.643769999999</v>
      </c>
      <c r="Q189" s="41">
        <v>67291.399999999994</v>
      </c>
      <c r="R189" s="41">
        <v>208626.4</v>
      </c>
      <c r="S189" s="42">
        <v>0.33415935377934425</v>
      </c>
      <c r="T189" s="41">
        <v>5045.7691800000002</v>
      </c>
      <c r="U189" s="41">
        <v>426371.11316000001</v>
      </c>
      <c r="V189" s="41">
        <v>81258.3</v>
      </c>
      <c r="W189" s="41">
        <v>208468.5</v>
      </c>
      <c r="X189" s="42">
        <v>0.38085406415298656</v>
      </c>
      <c r="Y189" s="43">
        <v>2</v>
      </c>
      <c r="Z189" s="43" t="s">
        <v>2091</v>
      </c>
      <c r="AA189" s="43" t="s">
        <v>2090</v>
      </c>
      <c r="AB189" s="43" t="s">
        <v>2090</v>
      </c>
      <c r="AC189" s="43" t="s">
        <v>2090</v>
      </c>
      <c r="AD189" s="43">
        <v>0</v>
      </c>
      <c r="AE189" s="43">
        <v>0</v>
      </c>
      <c r="AF189" s="43">
        <v>0</v>
      </c>
      <c r="AG189" s="43">
        <v>0</v>
      </c>
      <c r="AH189" s="43">
        <v>0</v>
      </c>
      <c r="AI189" s="43">
        <v>0</v>
      </c>
      <c r="AJ189" s="43">
        <v>0</v>
      </c>
      <c r="AK189" s="43">
        <v>0</v>
      </c>
      <c r="AL189" s="43">
        <v>0</v>
      </c>
      <c r="AM189" s="43">
        <v>0</v>
      </c>
      <c r="AN189" s="43">
        <v>0</v>
      </c>
      <c r="AO189" s="43">
        <v>0</v>
      </c>
      <c r="AP189" s="43">
        <v>0</v>
      </c>
      <c r="AQ189" s="43">
        <v>0</v>
      </c>
      <c r="AR189" s="43">
        <v>0</v>
      </c>
      <c r="AS189" s="43">
        <v>0</v>
      </c>
      <c r="AT189" s="43">
        <v>0</v>
      </c>
      <c r="AU189" s="43">
        <v>0</v>
      </c>
      <c r="AV189" s="43">
        <v>0</v>
      </c>
      <c r="AW189" s="43">
        <v>0</v>
      </c>
      <c r="AX189" s="43">
        <v>0</v>
      </c>
      <c r="AY189" s="43">
        <v>0</v>
      </c>
      <c r="AZ189" s="43">
        <v>0</v>
      </c>
      <c r="BA189" s="43">
        <v>0</v>
      </c>
      <c r="BB189" s="43">
        <v>0</v>
      </c>
      <c r="BC189" s="43">
        <v>0</v>
      </c>
      <c r="BD189" s="43">
        <v>0</v>
      </c>
      <c r="BE189" s="43">
        <v>0</v>
      </c>
      <c r="BF189" s="43">
        <v>0</v>
      </c>
      <c r="BG189" s="43">
        <v>0</v>
      </c>
      <c r="BH189" s="43">
        <v>1</v>
      </c>
      <c r="BI189" s="43">
        <v>0</v>
      </c>
      <c r="BJ189" s="43" t="s">
        <v>2090</v>
      </c>
      <c r="BK189" s="43" t="s">
        <v>2090</v>
      </c>
      <c r="BL189" s="43" t="s">
        <v>2090</v>
      </c>
      <c r="BM189" s="43" t="s">
        <v>2090</v>
      </c>
      <c r="BN189" s="43" t="s">
        <v>2090</v>
      </c>
      <c r="BO189" s="43" t="s">
        <v>2090</v>
      </c>
      <c r="BP189" s="43" t="s">
        <v>2090</v>
      </c>
      <c r="BQ189" s="43" t="s">
        <v>2090</v>
      </c>
      <c r="BR189" s="43" t="s">
        <v>2090</v>
      </c>
      <c r="BS189" s="43" t="s">
        <v>2090</v>
      </c>
      <c r="BT189" s="43" t="s">
        <v>2090</v>
      </c>
      <c r="BU189" s="43" t="s">
        <v>2090</v>
      </c>
      <c r="BV189" s="43" t="s">
        <v>2090</v>
      </c>
      <c r="BW189" s="43" t="s">
        <v>2090</v>
      </c>
    </row>
    <row r="190" spans="1:75" ht="123.2" customHeight="1" x14ac:dyDescent="0.25">
      <c r="A190" s="38" t="s">
        <v>1035</v>
      </c>
      <c r="B190" s="38" t="s">
        <v>1766</v>
      </c>
      <c r="C190" s="39" t="s">
        <v>1036</v>
      </c>
      <c r="D190" s="40" t="s">
        <v>1037</v>
      </c>
      <c r="E190" s="41">
        <v>49013.459049999998</v>
      </c>
      <c r="F190" s="41">
        <v>2618742.4711000002</v>
      </c>
      <c r="G190" s="41">
        <v>223083.4</v>
      </c>
      <c r="H190" s="41">
        <v>199122.5</v>
      </c>
      <c r="I190" s="42">
        <v>1.0850031587146791</v>
      </c>
      <c r="J190" s="41">
        <v>6149.9035599999997</v>
      </c>
      <c r="K190" s="41">
        <v>806244.81532000005</v>
      </c>
      <c r="L190" s="41">
        <v>136743.20000000001</v>
      </c>
      <c r="M190" s="41">
        <v>353260.1</v>
      </c>
      <c r="N190" s="42">
        <v>0.36455194972884564</v>
      </c>
      <c r="O190" s="41">
        <v>0</v>
      </c>
      <c r="P190" s="41">
        <v>91733.115300000005</v>
      </c>
      <c r="Q190" s="41">
        <v>101718.1</v>
      </c>
      <c r="R190" s="41">
        <v>466386.6</v>
      </c>
      <c r="S190" s="42">
        <v>0.19676041116891602</v>
      </c>
      <c r="T190" s="41">
        <v>7186.3150800000003</v>
      </c>
      <c r="U190" s="41">
        <v>967734.18469000002</v>
      </c>
      <c r="V190" s="41">
        <v>85039</v>
      </c>
      <c r="W190" s="41">
        <v>227941.3</v>
      </c>
      <c r="X190" s="42">
        <v>0.35192264924227179</v>
      </c>
      <c r="Y190" s="43">
        <v>2</v>
      </c>
      <c r="Z190" s="43" t="s">
        <v>2091</v>
      </c>
      <c r="AA190" s="43" t="s">
        <v>2090</v>
      </c>
      <c r="AB190" s="43" t="s">
        <v>2090</v>
      </c>
      <c r="AC190" s="43" t="s">
        <v>2090</v>
      </c>
      <c r="AD190" s="43">
        <v>0</v>
      </c>
      <c r="AE190" s="43">
        <v>0</v>
      </c>
      <c r="AF190" s="43">
        <v>0</v>
      </c>
      <c r="AG190" s="43">
        <v>0</v>
      </c>
      <c r="AH190" s="43">
        <v>0</v>
      </c>
      <c r="AI190" s="43">
        <v>0</v>
      </c>
      <c r="AJ190" s="43">
        <v>0</v>
      </c>
      <c r="AK190" s="43">
        <v>0</v>
      </c>
      <c r="AL190" s="43">
        <v>0</v>
      </c>
      <c r="AM190" s="43">
        <v>0</v>
      </c>
      <c r="AN190" s="43">
        <v>0</v>
      </c>
      <c r="AO190" s="43">
        <v>0</v>
      </c>
      <c r="AP190" s="43">
        <v>0</v>
      </c>
      <c r="AQ190" s="43">
        <v>0</v>
      </c>
      <c r="AR190" s="43">
        <v>0</v>
      </c>
      <c r="AS190" s="43">
        <v>0</v>
      </c>
      <c r="AT190" s="43">
        <v>0</v>
      </c>
      <c r="AU190" s="43">
        <v>0</v>
      </c>
      <c r="AV190" s="43">
        <v>0</v>
      </c>
      <c r="AW190" s="43">
        <v>0</v>
      </c>
      <c r="AX190" s="43">
        <v>0</v>
      </c>
      <c r="AY190" s="43">
        <v>0</v>
      </c>
      <c r="AZ190" s="43">
        <v>0</v>
      </c>
      <c r="BA190" s="43">
        <v>0</v>
      </c>
      <c r="BB190" s="43">
        <v>0</v>
      </c>
      <c r="BC190" s="43">
        <v>0</v>
      </c>
      <c r="BD190" s="43">
        <v>0</v>
      </c>
      <c r="BE190" s="43">
        <v>0</v>
      </c>
      <c r="BF190" s="43">
        <v>0</v>
      </c>
      <c r="BG190" s="43">
        <v>0</v>
      </c>
      <c r="BH190" s="43">
        <v>0</v>
      </c>
      <c r="BI190" s="43">
        <v>1</v>
      </c>
      <c r="BJ190" s="43" t="s">
        <v>2090</v>
      </c>
      <c r="BK190" s="43" t="s">
        <v>2090</v>
      </c>
      <c r="BL190" s="43" t="s">
        <v>2090</v>
      </c>
      <c r="BM190" s="43" t="s">
        <v>2090</v>
      </c>
      <c r="BN190" s="43" t="s">
        <v>2090</v>
      </c>
      <c r="BO190" s="43" t="s">
        <v>2090</v>
      </c>
      <c r="BP190" s="43" t="s">
        <v>2090</v>
      </c>
      <c r="BQ190" s="43" t="s">
        <v>2090</v>
      </c>
      <c r="BR190" s="43" t="s">
        <v>2090</v>
      </c>
      <c r="BS190" s="43" t="s">
        <v>2090</v>
      </c>
      <c r="BT190" s="43" t="s">
        <v>2090</v>
      </c>
      <c r="BU190" s="43" t="s">
        <v>2090</v>
      </c>
      <c r="BV190" s="43" t="s">
        <v>2090</v>
      </c>
      <c r="BW190" s="43" t="s">
        <v>2090</v>
      </c>
    </row>
    <row r="191" spans="1:75" ht="162.19999999999999" customHeight="1" x14ac:dyDescent="0.25">
      <c r="A191" s="38" t="s">
        <v>1038</v>
      </c>
      <c r="B191" s="38" t="s">
        <v>1767</v>
      </c>
      <c r="C191" s="39" t="s">
        <v>1039</v>
      </c>
      <c r="D191" s="40" t="s">
        <v>1040</v>
      </c>
      <c r="E191" s="41">
        <v>57299.211689999996</v>
      </c>
      <c r="F191" s="41">
        <v>2742543.1653499999</v>
      </c>
      <c r="G191" s="41">
        <v>325251.7</v>
      </c>
      <c r="H191" s="41">
        <v>268456</v>
      </c>
      <c r="I191" s="42">
        <v>1.1827663942859494</v>
      </c>
      <c r="J191" s="41">
        <v>1260.5492200000001</v>
      </c>
      <c r="K191" s="41">
        <v>194355.72159</v>
      </c>
      <c r="L191" s="41">
        <v>33160.300000000003</v>
      </c>
      <c r="M191" s="41">
        <v>264071.2</v>
      </c>
      <c r="N191" s="42">
        <v>0.11855923054274217</v>
      </c>
      <c r="O191" s="41">
        <v>8266.6132300000008</v>
      </c>
      <c r="P191" s="41">
        <v>698770.07027000003</v>
      </c>
      <c r="Q191" s="41">
        <v>73770.3</v>
      </c>
      <c r="R191" s="41">
        <v>227551</v>
      </c>
      <c r="S191" s="42">
        <v>0.30521626278709624</v>
      </c>
      <c r="T191" s="41">
        <v>4097.7695299999996</v>
      </c>
      <c r="U191" s="41">
        <v>550365.93912999996</v>
      </c>
      <c r="V191" s="41">
        <v>152283.20000000001</v>
      </c>
      <c r="W191" s="41">
        <v>475187.9</v>
      </c>
      <c r="X191" s="42">
        <v>0.29739838541248292</v>
      </c>
      <c r="Y191" s="43">
        <v>2</v>
      </c>
      <c r="Z191" s="43" t="s">
        <v>2090</v>
      </c>
      <c r="AA191" s="43" t="s">
        <v>2091</v>
      </c>
      <c r="AB191" s="43" t="s">
        <v>2090</v>
      </c>
      <c r="AC191" s="43" t="s">
        <v>2090</v>
      </c>
      <c r="AD191" s="43">
        <v>0</v>
      </c>
      <c r="AE191" s="43">
        <v>0</v>
      </c>
      <c r="AF191" s="43">
        <v>0</v>
      </c>
      <c r="AG191" s="43">
        <v>0</v>
      </c>
      <c r="AH191" s="43">
        <v>0</v>
      </c>
      <c r="AI191" s="43">
        <v>0</v>
      </c>
      <c r="AJ191" s="43">
        <v>0</v>
      </c>
      <c r="AK191" s="43">
        <v>0</v>
      </c>
      <c r="AL191" s="43">
        <v>0</v>
      </c>
      <c r="AM191" s="43">
        <v>0</v>
      </c>
      <c r="AN191" s="43">
        <v>0</v>
      </c>
      <c r="AO191" s="43">
        <v>0</v>
      </c>
      <c r="AP191" s="43">
        <v>0</v>
      </c>
      <c r="AQ191" s="43">
        <v>0</v>
      </c>
      <c r="AR191" s="43">
        <v>1</v>
      </c>
      <c r="AS191" s="43">
        <v>0</v>
      </c>
      <c r="AT191" s="43">
        <v>0</v>
      </c>
      <c r="AU191" s="43">
        <v>0</v>
      </c>
      <c r="AV191" s="43">
        <v>0</v>
      </c>
      <c r="AW191" s="43">
        <v>0</v>
      </c>
      <c r="AX191" s="43">
        <v>0</v>
      </c>
      <c r="AY191" s="43">
        <v>0</v>
      </c>
      <c r="AZ191" s="43">
        <v>0</v>
      </c>
      <c r="BA191" s="43">
        <v>0</v>
      </c>
      <c r="BB191" s="43">
        <v>0</v>
      </c>
      <c r="BC191" s="43">
        <v>0</v>
      </c>
      <c r="BD191" s="43">
        <v>0</v>
      </c>
      <c r="BE191" s="43">
        <v>0</v>
      </c>
      <c r="BF191" s="43">
        <v>0</v>
      </c>
      <c r="BG191" s="43">
        <v>0</v>
      </c>
      <c r="BH191" s="43">
        <v>0</v>
      </c>
      <c r="BI191" s="43">
        <v>0</v>
      </c>
      <c r="BJ191" s="43" t="s">
        <v>2090</v>
      </c>
      <c r="BK191" s="43" t="s">
        <v>2090</v>
      </c>
      <c r="BL191" s="43" t="s">
        <v>2090</v>
      </c>
      <c r="BM191" s="43" t="s">
        <v>2090</v>
      </c>
      <c r="BN191" s="43" t="s">
        <v>2090</v>
      </c>
      <c r="BO191" s="43" t="s">
        <v>2090</v>
      </c>
      <c r="BP191" s="43" t="s">
        <v>2090</v>
      </c>
      <c r="BQ191" s="43" t="s">
        <v>2090</v>
      </c>
      <c r="BR191" s="43" t="s">
        <v>2091</v>
      </c>
      <c r="BS191" s="43" t="s">
        <v>2090</v>
      </c>
      <c r="BT191" s="43" t="s">
        <v>2091</v>
      </c>
      <c r="BU191" s="43" t="s">
        <v>2090</v>
      </c>
      <c r="BV191" s="43" t="s">
        <v>2090</v>
      </c>
      <c r="BW191" s="43" t="s">
        <v>2090</v>
      </c>
    </row>
    <row r="192" spans="1:75" ht="123.2" customHeight="1" x14ac:dyDescent="0.25">
      <c r="A192" s="38" t="s">
        <v>1041</v>
      </c>
      <c r="B192" s="38" t="s">
        <v>1768</v>
      </c>
      <c r="C192" s="39" t="s">
        <v>1042</v>
      </c>
      <c r="D192" s="40" t="s">
        <v>1043</v>
      </c>
      <c r="E192" s="41">
        <v>3159.0232000000001</v>
      </c>
      <c r="F192" s="41">
        <v>530547.25587999995</v>
      </c>
      <c r="G192" s="41">
        <v>105780.2</v>
      </c>
      <c r="H192" s="41">
        <v>339038.2</v>
      </c>
      <c r="I192" s="42">
        <v>0.29189385419187674</v>
      </c>
      <c r="J192" s="41">
        <v>0</v>
      </c>
      <c r="K192" s="41">
        <v>7668.1445800000001</v>
      </c>
      <c r="L192" s="41">
        <v>107639.6</v>
      </c>
      <c r="M192" s="41">
        <v>371422.8</v>
      </c>
      <c r="N192" s="42">
        <v>0.27414319073234505</v>
      </c>
      <c r="O192" s="41">
        <v>0</v>
      </c>
      <c r="P192" s="41">
        <v>5277.1940800000002</v>
      </c>
      <c r="Q192" s="41">
        <v>34142.5</v>
      </c>
      <c r="R192" s="41">
        <v>198384.8</v>
      </c>
      <c r="S192" s="42">
        <v>0.16126130597153812</v>
      </c>
      <c r="T192" s="41">
        <v>1861.50719</v>
      </c>
      <c r="U192" s="41">
        <v>330473.47826</v>
      </c>
      <c r="V192" s="41">
        <v>62048.800000000003</v>
      </c>
      <c r="W192" s="41">
        <v>255389.7</v>
      </c>
      <c r="X192" s="42">
        <v>0.23073943900620636</v>
      </c>
      <c r="Y192" s="43">
        <v>2</v>
      </c>
      <c r="Z192" s="43" t="s">
        <v>2091</v>
      </c>
      <c r="AA192" s="43" t="s">
        <v>2091</v>
      </c>
      <c r="AB192" s="43" t="s">
        <v>2090</v>
      </c>
      <c r="AC192" s="43" t="s">
        <v>2090</v>
      </c>
      <c r="AD192" s="43">
        <v>0</v>
      </c>
      <c r="AE192" s="43">
        <v>0</v>
      </c>
      <c r="AF192" s="43">
        <v>0</v>
      </c>
      <c r="AG192" s="43">
        <v>0</v>
      </c>
      <c r="AH192" s="43">
        <v>0</v>
      </c>
      <c r="AI192" s="43">
        <v>0</v>
      </c>
      <c r="AJ192" s="43">
        <v>0</v>
      </c>
      <c r="AK192" s="43">
        <v>0</v>
      </c>
      <c r="AL192" s="43">
        <v>0</v>
      </c>
      <c r="AM192" s="43">
        <v>0</v>
      </c>
      <c r="AN192" s="43">
        <v>0</v>
      </c>
      <c r="AO192" s="43">
        <v>0</v>
      </c>
      <c r="AP192" s="43">
        <v>0</v>
      </c>
      <c r="AQ192" s="43">
        <v>0</v>
      </c>
      <c r="AR192" s="43">
        <v>0</v>
      </c>
      <c r="AS192" s="43">
        <v>0</v>
      </c>
      <c r="AT192" s="43">
        <v>0</v>
      </c>
      <c r="AU192" s="43">
        <v>0</v>
      </c>
      <c r="AV192" s="43">
        <v>0</v>
      </c>
      <c r="AW192" s="43">
        <v>0</v>
      </c>
      <c r="AX192" s="43">
        <v>0</v>
      </c>
      <c r="AY192" s="43">
        <v>0</v>
      </c>
      <c r="AZ192" s="43">
        <v>0</v>
      </c>
      <c r="BA192" s="43">
        <v>0</v>
      </c>
      <c r="BB192" s="43">
        <v>0</v>
      </c>
      <c r="BC192" s="43">
        <v>0</v>
      </c>
      <c r="BD192" s="43">
        <v>0</v>
      </c>
      <c r="BE192" s="43">
        <v>0</v>
      </c>
      <c r="BF192" s="43">
        <v>0</v>
      </c>
      <c r="BG192" s="43">
        <v>0</v>
      </c>
      <c r="BH192" s="43">
        <v>0</v>
      </c>
      <c r="BI192" s="43">
        <v>0</v>
      </c>
      <c r="BJ192" s="43" t="s">
        <v>2090</v>
      </c>
      <c r="BK192" s="43" t="s">
        <v>2090</v>
      </c>
      <c r="BL192" s="43" t="s">
        <v>2090</v>
      </c>
      <c r="BM192" s="43" t="s">
        <v>2090</v>
      </c>
      <c r="BN192" s="43" t="s">
        <v>2090</v>
      </c>
      <c r="BO192" s="43" t="s">
        <v>2091</v>
      </c>
      <c r="BP192" s="43" t="s">
        <v>2090</v>
      </c>
      <c r="BQ192" s="43" t="s">
        <v>2091</v>
      </c>
      <c r="BR192" s="43" t="s">
        <v>2090</v>
      </c>
      <c r="BS192" s="43" t="s">
        <v>2090</v>
      </c>
      <c r="BT192" s="43" t="s">
        <v>2090</v>
      </c>
      <c r="BU192" s="43" t="s">
        <v>2090</v>
      </c>
      <c r="BV192" s="43" t="s">
        <v>2090</v>
      </c>
      <c r="BW192" s="43" t="s">
        <v>2090</v>
      </c>
    </row>
    <row r="193" spans="1:75" ht="238.7" customHeight="1" x14ac:dyDescent="0.25">
      <c r="A193" s="38" t="s">
        <v>1044</v>
      </c>
      <c r="B193" s="38" t="s">
        <v>1769</v>
      </c>
      <c r="C193" s="39" t="s">
        <v>1045</v>
      </c>
      <c r="D193" s="40" t="s">
        <v>1046</v>
      </c>
      <c r="E193" s="41">
        <v>33239.70794</v>
      </c>
      <c r="F193" s="41">
        <v>2138230.9965300001</v>
      </c>
      <c r="G193" s="41">
        <v>33366.5</v>
      </c>
      <c r="H193" s="41">
        <v>36353.300000000003</v>
      </c>
      <c r="I193" s="42">
        <v>0.88605860445506301</v>
      </c>
      <c r="J193" s="41">
        <v>0</v>
      </c>
      <c r="K193" s="41">
        <v>119886.76121</v>
      </c>
      <c r="L193" s="41">
        <v>24027.9</v>
      </c>
      <c r="M193" s="41">
        <v>149025.4</v>
      </c>
      <c r="N193" s="42">
        <v>0.15792424937554161</v>
      </c>
      <c r="O193" s="41">
        <v>15132.39724</v>
      </c>
      <c r="P193" s="41">
        <v>1573524.4569399999</v>
      </c>
      <c r="Q193" s="41">
        <v>9105.9</v>
      </c>
      <c r="R193" s="41">
        <v>15744.1</v>
      </c>
      <c r="S193" s="42">
        <v>0.55602962485912089</v>
      </c>
      <c r="T193" s="41">
        <v>2991.5787</v>
      </c>
      <c r="U193" s="41">
        <v>487382.59428999998</v>
      </c>
      <c r="V193" s="41">
        <v>34242.1</v>
      </c>
      <c r="W193" s="41">
        <v>121032.7</v>
      </c>
      <c r="X193" s="42">
        <v>0.27728242726446789</v>
      </c>
      <c r="Y193" s="43">
        <v>3</v>
      </c>
      <c r="Z193" s="43" t="s">
        <v>2091</v>
      </c>
      <c r="AA193" s="43" t="s">
        <v>2090</v>
      </c>
      <c r="AB193" s="43" t="s">
        <v>2090</v>
      </c>
      <c r="AC193" s="43" t="s">
        <v>2090</v>
      </c>
      <c r="AD193" s="43">
        <v>0</v>
      </c>
      <c r="AE193" s="43">
        <v>0</v>
      </c>
      <c r="AF193" s="43">
        <v>0</v>
      </c>
      <c r="AG193" s="43">
        <v>0</v>
      </c>
      <c r="AH193" s="43">
        <v>0</v>
      </c>
      <c r="AI193" s="43">
        <v>0</v>
      </c>
      <c r="AJ193" s="43">
        <v>0</v>
      </c>
      <c r="AK193" s="43">
        <v>1</v>
      </c>
      <c r="AL193" s="43">
        <v>0</v>
      </c>
      <c r="AM193" s="43">
        <v>1</v>
      </c>
      <c r="AN193" s="43">
        <v>0</v>
      </c>
      <c r="AO193" s="43">
        <v>0</v>
      </c>
      <c r="AP193" s="43">
        <v>0</v>
      </c>
      <c r="AQ193" s="43">
        <v>0</v>
      </c>
      <c r="AR193" s="43">
        <v>0</v>
      </c>
      <c r="AS193" s="43">
        <v>0</v>
      </c>
      <c r="AT193" s="43">
        <v>0</v>
      </c>
      <c r="AU193" s="43">
        <v>0</v>
      </c>
      <c r="AV193" s="43">
        <v>0</v>
      </c>
      <c r="AW193" s="43">
        <v>0</v>
      </c>
      <c r="AX193" s="43">
        <v>0</v>
      </c>
      <c r="AY193" s="43">
        <v>0</v>
      </c>
      <c r="AZ193" s="43">
        <v>0</v>
      </c>
      <c r="BA193" s="43">
        <v>0</v>
      </c>
      <c r="BB193" s="43">
        <v>0</v>
      </c>
      <c r="BC193" s="43">
        <v>0</v>
      </c>
      <c r="BD193" s="43">
        <v>0</v>
      </c>
      <c r="BE193" s="43">
        <v>0</v>
      </c>
      <c r="BF193" s="43">
        <v>0</v>
      </c>
      <c r="BG193" s="43">
        <v>0</v>
      </c>
      <c r="BH193" s="43">
        <v>0</v>
      </c>
      <c r="BI193" s="43">
        <v>0</v>
      </c>
      <c r="BJ193" s="43" t="s">
        <v>2090</v>
      </c>
      <c r="BK193" s="43" t="s">
        <v>2091</v>
      </c>
      <c r="BL193" s="43" t="s">
        <v>2090</v>
      </c>
      <c r="BM193" s="43" t="s">
        <v>2090</v>
      </c>
      <c r="BN193" s="43" t="s">
        <v>2090</v>
      </c>
      <c r="BO193" s="43" t="s">
        <v>2090</v>
      </c>
      <c r="BP193" s="43" t="s">
        <v>2090</v>
      </c>
      <c r="BQ193" s="43" t="s">
        <v>2090</v>
      </c>
      <c r="BR193" s="43" t="s">
        <v>2090</v>
      </c>
      <c r="BS193" s="43" t="s">
        <v>2090</v>
      </c>
      <c r="BT193" s="43" t="s">
        <v>2090</v>
      </c>
      <c r="BU193" s="43" t="s">
        <v>2090</v>
      </c>
      <c r="BV193" s="43" t="s">
        <v>2090</v>
      </c>
      <c r="BW193" s="43" t="s">
        <v>2090</v>
      </c>
    </row>
    <row r="194" spans="1:75" ht="175.7" customHeight="1" x14ac:dyDescent="0.25">
      <c r="A194" s="38" t="s">
        <v>1047</v>
      </c>
      <c r="B194" s="38" t="s">
        <v>1770</v>
      </c>
      <c r="C194" s="39" t="s">
        <v>1048</v>
      </c>
      <c r="D194" s="40" t="s">
        <v>1049</v>
      </c>
      <c r="E194" s="41">
        <v>13502.15403</v>
      </c>
      <c r="F194" s="41">
        <v>1307471.33561</v>
      </c>
      <c r="G194" s="41">
        <v>30704.1</v>
      </c>
      <c r="H194" s="41">
        <v>60319.6</v>
      </c>
      <c r="I194" s="42">
        <v>0.49384696569920844</v>
      </c>
      <c r="J194" s="41">
        <v>0</v>
      </c>
      <c r="K194" s="41">
        <v>13785.00179</v>
      </c>
      <c r="L194" s="41">
        <v>47386.9</v>
      </c>
      <c r="M194" s="41">
        <v>283359.59999999998</v>
      </c>
      <c r="N194" s="42">
        <v>0.15872757721876196</v>
      </c>
      <c r="O194" s="41">
        <v>13588.22494</v>
      </c>
      <c r="P194" s="41">
        <v>1621090.27272</v>
      </c>
      <c r="Q194" s="41">
        <v>9819.6</v>
      </c>
      <c r="R194" s="41">
        <v>18682.3</v>
      </c>
      <c r="S194" s="42">
        <v>0.51493156366652848</v>
      </c>
      <c r="T194" s="41">
        <v>3506.0292100000001</v>
      </c>
      <c r="U194" s="41">
        <v>579488.84958000004</v>
      </c>
      <c r="V194" s="41">
        <v>123751.2</v>
      </c>
      <c r="W194" s="41">
        <v>361067.8</v>
      </c>
      <c r="X194" s="42">
        <v>0.32343752685030847</v>
      </c>
      <c r="Y194" s="43">
        <v>3</v>
      </c>
      <c r="Z194" s="43" t="s">
        <v>2091</v>
      </c>
      <c r="AA194" s="43" t="s">
        <v>2090</v>
      </c>
      <c r="AB194" s="43" t="s">
        <v>2090</v>
      </c>
      <c r="AC194" s="43" t="s">
        <v>2090</v>
      </c>
      <c r="AD194" s="43">
        <v>0</v>
      </c>
      <c r="AE194" s="43">
        <v>0</v>
      </c>
      <c r="AF194" s="43">
        <v>0</v>
      </c>
      <c r="AG194" s="43">
        <v>0</v>
      </c>
      <c r="AH194" s="43">
        <v>0</v>
      </c>
      <c r="AI194" s="43">
        <v>0</v>
      </c>
      <c r="AJ194" s="43">
        <v>0</v>
      </c>
      <c r="AK194" s="43">
        <v>1</v>
      </c>
      <c r="AL194" s="43">
        <v>0</v>
      </c>
      <c r="AM194" s="43">
        <v>1</v>
      </c>
      <c r="AN194" s="43">
        <v>0</v>
      </c>
      <c r="AO194" s="43">
        <v>0</v>
      </c>
      <c r="AP194" s="43">
        <v>0</v>
      </c>
      <c r="AQ194" s="43">
        <v>0</v>
      </c>
      <c r="AR194" s="43">
        <v>0</v>
      </c>
      <c r="AS194" s="43">
        <v>0</v>
      </c>
      <c r="AT194" s="43">
        <v>0</v>
      </c>
      <c r="AU194" s="43">
        <v>0</v>
      </c>
      <c r="AV194" s="43">
        <v>0</v>
      </c>
      <c r="AW194" s="43">
        <v>0</v>
      </c>
      <c r="AX194" s="43">
        <v>0</v>
      </c>
      <c r="AY194" s="43">
        <v>0</v>
      </c>
      <c r="AZ194" s="43">
        <v>0</v>
      </c>
      <c r="BA194" s="43">
        <v>0</v>
      </c>
      <c r="BB194" s="43">
        <v>0</v>
      </c>
      <c r="BC194" s="43">
        <v>0</v>
      </c>
      <c r="BD194" s="43">
        <v>0</v>
      </c>
      <c r="BE194" s="43">
        <v>0</v>
      </c>
      <c r="BF194" s="43">
        <v>0</v>
      </c>
      <c r="BG194" s="43">
        <v>0</v>
      </c>
      <c r="BH194" s="43">
        <v>0</v>
      </c>
      <c r="BI194" s="43">
        <v>0</v>
      </c>
      <c r="BJ194" s="43" t="s">
        <v>2090</v>
      </c>
      <c r="BK194" s="43" t="s">
        <v>2091</v>
      </c>
      <c r="BL194" s="43" t="s">
        <v>2090</v>
      </c>
      <c r="BM194" s="43" t="s">
        <v>2090</v>
      </c>
      <c r="BN194" s="43" t="s">
        <v>2090</v>
      </c>
      <c r="BO194" s="43" t="s">
        <v>2090</v>
      </c>
      <c r="BP194" s="43" t="s">
        <v>2090</v>
      </c>
      <c r="BQ194" s="43" t="s">
        <v>2090</v>
      </c>
      <c r="BR194" s="43" t="s">
        <v>2090</v>
      </c>
      <c r="BS194" s="43" t="s">
        <v>2090</v>
      </c>
      <c r="BT194" s="43" t="s">
        <v>2090</v>
      </c>
      <c r="BU194" s="43" t="s">
        <v>2090</v>
      </c>
      <c r="BV194" s="43" t="s">
        <v>2090</v>
      </c>
      <c r="BW194" s="43" t="s">
        <v>2090</v>
      </c>
    </row>
    <row r="195" spans="1:75" ht="117.2" customHeight="1" x14ac:dyDescent="0.25">
      <c r="A195" s="38" t="s">
        <v>1050</v>
      </c>
      <c r="B195" s="38" t="s">
        <v>1771</v>
      </c>
      <c r="C195" s="39" t="s">
        <v>1051</v>
      </c>
      <c r="D195" s="40" t="s">
        <v>1052</v>
      </c>
      <c r="E195" s="41">
        <v>10735.657090000001</v>
      </c>
      <c r="F195" s="41">
        <v>1177266.8209899999</v>
      </c>
      <c r="G195" s="41">
        <v>57187.9</v>
      </c>
      <c r="H195" s="41">
        <v>155693.1</v>
      </c>
      <c r="I195" s="42">
        <v>0.35784402387490344</v>
      </c>
      <c r="J195" s="41">
        <v>0</v>
      </c>
      <c r="K195" s="41">
        <v>59819.694530000001</v>
      </c>
      <c r="L195" s="41">
        <v>76724.899999999994</v>
      </c>
      <c r="M195" s="41">
        <v>212614.8</v>
      </c>
      <c r="N195" s="42">
        <v>0.34655017253607168</v>
      </c>
      <c r="O195" s="41">
        <v>0</v>
      </c>
      <c r="P195" s="41">
        <v>5372.6199200000001</v>
      </c>
      <c r="Q195" s="41">
        <v>5346.8</v>
      </c>
      <c r="R195" s="41">
        <v>32325.8</v>
      </c>
      <c r="S195" s="42">
        <v>0.16219828602877584</v>
      </c>
      <c r="T195" s="41">
        <v>2833.9266200000002</v>
      </c>
      <c r="U195" s="41">
        <v>490420.54976999998</v>
      </c>
      <c r="V195" s="41">
        <v>112073.1</v>
      </c>
      <c r="W195" s="41">
        <v>309793.90000000002</v>
      </c>
      <c r="X195" s="42">
        <v>0.34258831840788029</v>
      </c>
      <c r="Y195" s="43">
        <v>2</v>
      </c>
      <c r="Z195" s="43" t="s">
        <v>2091</v>
      </c>
      <c r="AA195" s="43" t="s">
        <v>2091</v>
      </c>
      <c r="AB195" s="43" t="s">
        <v>2090</v>
      </c>
      <c r="AC195" s="43" t="s">
        <v>2090</v>
      </c>
      <c r="AD195" s="43">
        <v>0</v>
      </c>
      <c r="AE195" s="43">
        <v>0</v>
      </c>
      <c r="AF195" s="43">
        <v>0</v>
      </c>
      <c r="AG195" s="43">
        <v>0</v>
      </c>
      <c r="AH195" s="43">
        <v>0</v>
      </c>
      <c r="AI195" s="43">
        <v>0</v>
      </c>
      <c r="AJ195" s="43">
        <v>0</v>
      </c>
      <c r="AK195" s="43">
        <v>0</v>
      </c>
      <c r="AL195" s="43">
        <v>0</v>
      </c>
      <c r="AM195" s="43">
        <v>0</v>
      </c>
      <c r="AN195" s="43">
        <v>0</v>
      </c>
      <c r="AO195" s="43">
        <v>0</v>
      </c>
      <c r="AP195" s="43">
        <v>0</v>
      </c>
      <c r="AQ195" s="43">
        <v>0</v>
      </c>
      <c r="AR195" s="43">
        <v>0</v>
      </c>
      <c r="AS195" s="43">
        <v>0</v>
      </c>
      <c r="AT195" s="43">
        <v>0</v>
      </c>
      <c r="AU195" s="43">
        <v>0</v>
      </c>
      <c r="AV195" s="43">
        <v>0</v>
      </c>
      <c r="AW195" s="43">
        <v>0</v>
      </c>
      <c r="AX195" s="43">
        <v>0</v>
      </c>
      <c r="AY195" s="43">
        <v>0</v>
      </c>
      <c r="AZ195" s="43">
        <v>0</v>
      </c>
      <c r="BA195" s="43">
        <v>0</v>
      </c>
      <c r="BB195" s="43">
        <v>0</v>
      </c>
      <c r="BC195" s="43">
        <v>0</v>
      </c>
      <c r="BD195" s="43">
        <v>0</v>
      </c>
      <c r="BE195" s="43">
        <v>0</v>
      </c>
      <c r="BF195" s="43">
        <v>0</v>
      </c>
      <c r="BG195" s="43">
        <v>0</v>
      </c>
      <c r="BH195" s="43">
        <v>0</v>
      </c>
      <c r="BI195" s="43">
        <v>0</v>
      </c>
      <c r="BJ195" s="43" t="s">
        <v>2090</v>
      </c>
      <c r="BK195" s="43" t="s">
        <v>2090</v>
      </c>
      <c r="BL195" s="43" t="s">
        <v>2090</v>
      </c>
      <c r="BM195" s="43" t="s">
        <v>2090</v>
      </c>
      <c r="BN195" s="43" t="s">
        <v>2090</v>
      </c>
      <c r="BO195" s="43" t="s">
        <v>2091</v>
      </c>
      <c r="BP195" s="43" t="s">
        <v>2090</v>
      </c>
      <c r="BQ195" s="43" t="s">
        <v>2091</v>
      </c>
      <c r="BR195" s="43" t="s">
        <v>2090</v>
      </c>
      <c r="BS195" s="43" t="s">
        <v>2090</v>
      </c>
      <c r="BT195" s="43" t="s">
        <v>2090</v>
      </c>
      <c r="BU195" s="43" t="s">
        <v>2090</v>
      </c>
      <c r="BV195" s="43" t="s">
        <v>2090</v>
      </c>
      <c r="BW195" s="43" t="s">
        <v>2090</v>
      </c>
    </row>
    <row r="196" spans="1:75" ht="121.7" customHeight="1" x14ac:dyDescent="0.25">
      <c r="A196" s="38" t="s">
        <v>1053</v>
      </c>
      <c r="B196" s="38" t="s">
        <v>1772</v>
      </c>
      <c r="C196" s="39" t="s">
        <v>1054</v>
      </c>
      <c r="D196" s="40" t="s">
        <v>1055</v>
      </c>
      <c r="E196" s="41">
        <v>69436.27274</v>
      </c>
      <c r="F196" s="41">
        <v>2962196.7055600001</v>
      </c>
      <c r="G196" s="41">
        <v>120910.3</v>
      </c>
      <c r="H196" s="41">
        <v>87355.199999999997</v>
      </c>
      <c r="I196" s="42">
        <v>1.35550515765601</v>
      </c>
      <c r="J196" s="41">
        <v>23086.566940000001</v>
      </c>
      <c r="K196" s="41">
        <v>1648573.86311</v>
      </c>
      <c r="L196" s="41">
        <v>170882.5</v>
      </c>
      <c r="M196" s="41">
        <v>236066.2</v>
      </c>
      <c r="N196" s="42">
        <v>0.68329487506706332</v>
      </c>
      <c r="O196" s="41">
        <v>0</v>
      </c>
      <c r="P196" s="41">
        <v>51926.157939999997</v>
      </c>
      <c r="Q196" s="41">
        <v>152528.5</v>
      </c>
      <c r="R196" s="41">
        <v>316540.90000000002</v>
      </c>
      <c r="S196" s="42">
        <v>0.45608294097039087</v>
      </c>
      <c r="T196" s="41">
        <v>27686.743859999999</v>
      </c>
      <c r="U196" s="41">
        <v>1810704.31507</v>
      </c>
      <c r="V196" s="41">
        <v>129623.2</v>
      </c>
      <c r="W196" s="41">
        <v>170423</v>
      </c>
      <c r="X196" s="42">
        <v>0.72157556433942627</v>
      </c>
      <c r="Y196" s="43">
        <v>2</v>
      </c>
      <c r="Z196" s="43" t="s">
        <v>2091</v>
      </c>
      <c r="AA196" s="43" t="s">
        <v>2091</v>
      </c>
      <c r="AB196" s="43" t="s">
        <v>2090</v>
      </c>
      <c r="AC196" s="43" t="s">
        <v>2090</v>
      </c>
      <c r="AD196" s="43">
        <v>0</v>
      </c>
      <c r="AE196" s="43">
        <v>0</v>
      </c>
      <c r="AF196" s="43">
        <v>0</v>
      </c>
      <c r="AG196" s="43">
        <v>0</v>
      </c>
      <c r="AH196" s="43">
        <v>0</v>
      </c>
      <c r="AI196" s="43">
        <v>0</v>
      </c>
      <c r="AJ196" s="43">
        <v>0</v>
      </c>
      <c r="AK196" s="43">
        <v>0</v>
      </c>
      <c r="AL196" s="43">
        <v>0</v>
      </c>
      <c r="AM196" s="43">
        <v>0</v>
      </c>
      <c r="AN196" s="43">
        <v>0</v>
      </c>
      <c r="AO196" s="43">
        <v>0</v>
      </c>
      <c r="AP196" s="43">
        <v>0</v>
      </c>
      <c r="AQ196" s="43">
        <v>0</v>
      </c>
      <c r="AR196" s="43">
        <v>0</v>
      </c>
      <c r="AS196" s="43">
        <v>0</v>
      </c>
      <c r="AT196" s="43">
        <v>0</v>
      </c>
      <c r="AU196" s="43">
        <v>0</v>
      </c>
      <c r="AV196" s="43">
        <v>0</v>
      </c>
      <c r="AW196" s="43">
        <v>0</v>
      </c>
      <c r="AX196" s="43">
        <v>0</v>
      </c>
      <c r="AY196" s="43">
        <v>0</v>
      </c>
      <c r="AZ196" s="43">
        <v>0</v>
      </c>
      <c r="BA196" s="43">
        <v>0</v>
      </c>
      <c r="BB196" s="43">
        <v>0</v>
      </c>
      <c r="BC196" s="43">
        <v>0</v>
      </c>
      <c r="BD196" s="43">
        <v>0</v>
      </c>
      <c r="BE196" s="43">
        <v>0</v>
      </c>
      <c r="BF196" s="43">
        <v>0</v>
      </c>
      <c r="BG196" s="43">
        <v>0</v>
      </c>
      <c r="BH196" s="43">
        <v>0</v>
      </c>
      <c r="BI196" s="43">
        <v>0</v>
      </c>
      <c r="BJ196" s="43" t="s">
        <v>2090</v>
      </c>
      <c r="BK196" s="43" t="s">
        <v>2090</v>
      </c>
      <c r="BL196" s="43" t="s">
        <v>2090</v>
      </c>
      <c r="BM196" s="43" t="s">
        <v>2090</v>
      </c>
      <c r="BN196" s="43" t="s">
        <v>2090</v>
      </c>
      <c r="BO196" s="43" t="s">
        <v>2091</v>
      </c>
      <c r="BP196" s="43" t="s">
        <v>2091</v>
      </c>
      <c r="BQ196" s="43" t="s">
        <v>2090</v>
      </c>
      <c r="BR196" s="43" t="s">
        <v>2090</v>
      </c>
      <c r="BS196" s="43" t="s">
        <v>2090</v>
      </c>
      <c r="BT196" s="43" t="s">
        <v>2090</v>
      </c>
      <c r="BU196" s="43" t="s">
        <v>2090</v>
      </c>
      <c r="BV196" s="43" t="s">
        <v>2090</v>
      </c>
      <c r="BW196" s="43" t="s">
        <v>2090</v>
      </c>
    </row>
    <row r="197" spans="1:75" ht="121.7" customHeight="1" x14ac:dyDescent="0.25">
      <c r="A197" s="38" t="s">
        <v>1056</v>
      </c>
      <c r="B197" s="38" t="s">
        <v>1773</v>
      </c>
      <c r="C197" s="39" t="s">
        <v>1057</v>
      </c>
      <c r="D197" s="40" t="s">
        <v>1055</v>
      </c>
      <c r="E197" s="41">
        <v>75903.549350000001</v>
      </c>
      <c r="F197" s="41">
        <v>3111218.7859</v>
      </c>
      <c r="G197" s="41">
        <v>282614.59999999998</v>
      </c>
      <c r="H197" s="41">
        <v>204840.2</v>
      </c>
      <c r="I197" s="42">
        <v>1.3653087486331206</v>
      </c>
      <c r="J197" s="41">
        <v>23906.940500000001</v>
      </c>
      <c r="K197" s="41">
        <v>1713522.3820199999</v>
      </c>
      <c r="L197" s="41">
        <v>229723.1</v>
      </c>
      <c r="M197" s="41">
        <v>283631.2</v>
      </c>
      <c r="N197" s="42">
        <v>0.76446639979558817</v>
      </c>
      <c r="O197" s="41">
        <v>0</v>
      </c>
      <c r="P197" s="41">
        <v>211985.91625000001</v>
      </c>
      <c r="Q197" s="41">
        <v>121107.8</v>
      </c>
      <c r="R197" s="41">
        <v>238318.5</v>
      </c>
      <c r="S197" s="42">
        <v>0.47721385348268314</v>
      </c>
      <c r="T197" s="41">
        <v>22887.214169999999</v>
      </c>
      <c r="U197" s="41">
        <v>1661754.0360600001</v>
      </c>
      <c r="V197" s="41">
        <v>92911.1</v>
      </c>
      <c r="W197" s="41">
        <v>133174.29999999999</v>
      </c>
      <c r="X197" s="42">
        <v>0.6629721156683388</v>
      </c>
      <c r="Y197" s="43">
        <v>2</v>
      </c>
      <c r="Z197" s="43" t="s">
        <v>2091</v>
      </c>
      <c r="AA197" s="43" t="s">
        <v>2091</v>
      </c>
      <c r="AB197" s="43" t="s">
        <v>2090</v>
      </c>
      <c r="AC197" s="43" t="s">
        <v>2090</v>
      </c>
      <c r="AD197" s="43">
        <v>0</v>
      </c>
      <c r="AE197" s="43">
        <v>0</v>
      </c>
      <c r="AF197" s="43">
        <v>0</v>
      </c>
      <c r="AG197" s="43">
        <v>0</v>
      </c>
      <c r="AH197" s="43">
        <v>0</v>
      </c>
      <c r="AI197" s="43">
        <v>0</v>
      </c>
      <c r="AJ197" s="43">
        <v>0</v>
      </c>
      <c r="AK197" s="43">
        <v>0</v>
      </c>
      <c r="AL197" s="43">
        <v>0</v>
      </c>
      <c r="AM197" s="43">
        <v>0</v>
      </c>
      <c r="AN197" s="43">
        <v>0</v>
      </c>
      <c r="AO197" s="43">
        <v>0</v>
      </c>
      <c r="AP197" s="43">
        <v>0</v>
      </c>
      <c r="AQ197" s="43">
        <v>0</v>
      </c>
      <c r="AR197" s="43">
        <v>0</v>
      </c>
      <c r="AS197" s="43">
        <v>0</v>
      </c>
      <c r="AT197" s="43">
        <v>0</v>
      </c>
      <c r="AU197" s="43">
        <v>0</v>
      </c>
      <c r="AV197" s="43">
        <v>0</v>
      </c>
      <c r="AW197" s="43">
        <v>0</v>
      </c>
      <c r="AX197" s="43">
        <v>0</v>
      </c>
      <c r="AY197" s="43">
        <v>0</v>
      </c>
      <c r="AZ197" s="43">
        <v>0</v>
      </c>
      <c r="BA197" s="43">
        <v>0</v>
      </c>
      <c r="BB197" s="43">
        <v>0</v>
      </c>
      <c r="BC197" s="43">
        <v>0</v>
      </c>
      <c r="BD197" s="43">
        <v>0</v>
      </c>
      <c r="BE197" s="43">
        <v>0</v>
      </c>
      <c r="BF197" s="43">
        <v>0</v>
      </c>
      <c r="BG197" s="43">
        <v>0</v>
      </c>
      <c r="BH197" s="43">
        <v>0</v>
      </c>
      <c r="BI197" s="43">
        <v>0</v>
      </c>
      <c r="BJ197" s="43" t="s">
        <v>2090</v>
      </c>
      <c r="BK197" s="43" t="s">
        <v>2090</v>
      </c>
      <c r="BL197" s="43" t="s">
        <v>2090</v>
      </c>
      <c r="BM197" s="43" t="s">
        <v>2090</v>
      </c>
      <c r="BN197" s="43" t="s">
        <v>2090</v>
      </c>
      <c r="BO197" s="43" t="s">
        <v>2091</v>
      </c>
      <c r="BP197" s="43" t="s">
        <v>2091</v>
      </c>
      <c r="BQ197" s="43" t="s">
        <v>2090</v>
      </c>
      <c r="BR197" s="43" t="s">
        <v>2090</v>
      </c>
      <c r="BS197" s="43" t="s">
        <v>2090</v>
      </c>
      <c r="BT197" s="43" t="s">
        <v>2090</v>
      </c>
      <c r="BU197" s="43" t="s">
        <v>2090</v>
      </c>
      <c r="BV197" s="43" t="s">
        <v>2090</v>
      </c>
      <c r="BW197" s="43" t="s">
        <v>2090</v>
      </c>
    </row>
    <row r="198" spans="1:75" ht="225.95" customHeight="1" x14ac:dyDescent="0.25">
      <c r="A198" s="38" t="s">
        <v>1058</v>
      </c>
      <c r="B198" s="38" t="s">
        <v>1774</v>
      </c>
      <c r="C198" s="39" t="s">
        <v>1059</v>
      </c>
      <c r="D198" s="40" t="s">
        <v>1060</v>
      </c>
      <c r="E198" s="41">
        <v>22984.27245</v>
      </c>
      <c r="F198" s="41">
        <v>1845988.8475599999</v>
      </c>
      <c r="G198" s="41">
        <v>158233.20000000001</v>
      </c>
      <c r="H198" s="41">
        <v>216483.8</v>
      </c>
      <c r="I198" s="42">
        <v>0.70334082138125686</v>
      </c>
      <c r="J198" s="41">
        <v>14509.9336</v>
      </c>
      <c r="K198" s="41">
        <v>1365552.3526300001</v>
      </c>
      <c r="L198" s="41">
        <v>131310.9</v>
      </c>
      <c r="M198" s="41">
        <v>225074.8</v>
      </c>
      <c r="N198" s="42">
        <v>0.54312126096692881</v>
      </c>
      <c r="O198" s="41">
        <v>1456.15798</v>
      </c>
      <c r="P198" s="41">
        <v>5622.1811399999997</v>
      </c>
      <c r="Q198" s="41">
        <v>129894.1</v>
      </c>
      <c r="R198" s="41">
        <v>538223.5</v>
      </c>
      <c r="S198" s="42">
        <v>0.2146086248698042</v>
      </c>
      <c r="T198" s="41">
        <v>42077.730369999997</v>
      </c>
      <c r="U198" s="41">
        <v>2320805.03358</v>
      </c>
      <c r="V198" s="41">
        <v>64077.4</v>
      </c>
      <c r="W198" s="41">
        <v>65380.9</v>
      </c>
      <c r="X198" s="42">
        <v>0.92137569112548023</v>
      </c>
      <c r="Y198" s="43">
        <v>2</v>
      </c>
      <c r="Z198" s="43" t="s">
        <v>2090</v>
      </c>
      <c r="AA198" s="43" t="s">
        <v>2091</v>
      </c>
      <c r="AB198" s="43" t="s">
        <v>2090</v>
      </c>
      <c r="AC198" s="43" t="s">
        <v>2090</v>
      </c>
      <c r="AD198" s="43">
        <v>0</v>
      </c>
      <c r="AE198" s="43">
        <v>0</v>
      </c>
      <c r="AF198" s="43">
        <v>0</v>
      </c>
      <c r="AG198" s="43">
        <v>0</v>
      </c>
      <c r="AH198" s="43">
        <v>0</v>
      </c>
      <c r="AI198" s="43">
        <v>0</v>
      </c>
      <c r="AJ198" s="43">
        <v>0</v>
      </c>
      <c r="AK198" s="43">
        <v>0</v>
      </c>
      <c r="AL198" s="43">
        <v>0</v>
      </c>
      <c r="AM198" s="43">
        <v>0</v>
      </c>
      <c r="AN198" s="43">
        <v>0</v>
      </c>
      <c r="AO198" s="43">
        <v>0</v>
      </c>
      <c r="AP198" s="43">
        <v>0</v>
      </c>
      <c r="AQ198" s="43">
        <v>0</v>
      </c>
      <c r="AR198" s="43">
        <v>1</v>
      </c>
      <c r="AS198" s="43">
        <v>0</v>
      </c>
      <c r="AT198" s="43">
        <v>0</v>
      </c>
      <c r="AU198" s="43">
        <v>0</v>
      </c>
      <c r="AV198" s="43">
        <v>0</v>
      </c>
      <c r="AW198" s="43">
        <v>0</v>
      </c>
      <c r="AX198" s="43">
        <v>0</v>
      </c>
      <c r="AY198" s="43">
        <v>0</v>
      </c>
      <c r="AZ198" s="43">
        <v>0</v>
      </c>
      <c r="BA198" s="43">
        <v>0</v>
      </c>
      <c r="BB198" s="43">
        <v>0</v>
      </c>
      <c r="BC198" s="43">
        <v>0</v>
      </c>
      <c r="BD198" s="43">
        <v>0</v>
      </c>
      <c r="BE198" s="43">
        <v>0</v>
      </c>
      <c r="BF198" s="43">
        <v>0</v>
      </c>
      <c r="BG198" s="43">
        <v>0</v>
      </c>
      <c r="BH198" s="43">
        <v>0</v>
      </c>
      <c r="BI198" s="43">
        <v>0</v>
      </c>
      <c r="BJ198" s="43" t="s">
        <v>2090</v>
      </c>
      <c r="BK198" s="43" t="s">
        <v>2090</v>
      </c>
      <c r="BL198" s="43" t="s">
        <v>2090</v>
      </c>
      <c r="BM198" s="43" t="s">
        <v>2090</v>
      </c>
      <c r="BN198" s="43" t="s">
        <v>2090</v>
      </c>
      <c r="BO198" s="43" t="s">
        <v>2090</v>
      </c>
      <c r="BP198" s="43" t="s">
        <v>2090</v>
      </c>
      <c r="BQ198" s="43" t="s">
        <v>2090</v>
      </c>
      <c r="BR198" s="43" t="s">
        <v>2091</v>
      </c>
      <c r="BS198" s="43" t="s">
        <v>2090</v>
      </c>
      <c r="BT198" s="43" t="s">
        <v>2091</v>
      </c>
      <c r="BU198" s="43" t="s">
        <v>2090</v>
      </c>
      <c r="BV198" s="43" t="s">
        <v>2090</v>
      </c>
      <c r="BW198" s="43" t="s">
        <v>2090</v>
      </c>
    </row>
    <row r="199" spans="1:75" ht="120.95" customHeight="1" x14ac:dyDescent="0.25">
      <c r="A199" s="38" t="s">
        <v>1061</v>
      </c>
      <c r="B199" s="38" t="s">
        <v>1775</v>
      </c>
      <c r="C199" s="39" t="s">
        <v>1062</v>
      </c>
      <c r="D199" s="40" t="s">
        <v>1063</v>
      </c>
      <c r="E199" s="41">
        <v>4082.5595899999998</v>
      </c>
      <c r="F199" s="41">
        <v>433829.07377999998</v>
      </c>
      <c r="G199" s="41">
        <v>25039.1</v>
      </c>
      <c r="H199" s="41">
        <v>66641.8</v>
      </c>
      <c r="I199" s="42">
        <v>0.35774122305993455</v>
      </c>
      <c r="J199" s="41">
        <v>1717.70787</v>
      </c>
      <c r="K199" s="41">
        <v>306330.07166000002</v>
      </c>
      <c r="L199" s="41">
        <v>60280.800000000003</v>
      </c>
      <c r="M199" s="41">
        <v>260348.1</v>
      </c>
      <c r="N199" s="42">
        <v>0.21501383005473992</v>
      </c>
      <c r="O199" s="41">
        <v>10869.77649</v>
      </c>
      <c r="P199" s="41">
        <v>713745.61647000001</v>
      </c>
      <c r="Q199" s="41">
        <v>98405.3</v>
      </c>
      <c r="R199" s="41">
        <v>217867.5</v>
      </c>
      <c r="S199" s="42">
        <v>0.42672701934080381</v>
      </c>
      <c r="T199" s="41">
        <v>9618.4388099999996</v>
      </c>
      <c r="U199" s="41">
        <v>1097807.9967700001</v>
      </c>
      <c r="V199" s="41">
        <v>94834.1</v>
      </c>
      <c r="W199" s="41">
        <v>207645.1</v>
      </c>
      <c r="X199" s="42">
        <v>0.42520132524001836</v>
      </c>
      <c r="Y199" s="43">
        <v>2</v>
      </c>
      <c r="Z199" s="43" t="s">
        <v>2090</v>
      </c>
      <c r="AA199" s="43" t="s">
        <v>2091</v>
      </c>
      <c r="AB199" s="43" t="s">
        <v>2090</v>
      </c>
      <c r="AC199" s="43" t="s">
        <v>2090</v>
      </c>
      <c r="AD199" s="43">
        <v>0</v>
      </c>
      <c r="AE199" s="43">
        <v>0</v>
      </c>
      <c r="AF199" s="43">
        <v>0</v>
      </c>
      <c r="AG199" s="43">
        <v>0</v>
      </c>
      <c r="AH199" s="43">
        <v>0</v>
      </c>
      <c r="AI199" s="43">
        <v>0</v>
      </c>
      <c r="AJ199" s="43">
        <v>0</v>
      </c>
      <c r="AK199" s="43">
        <v>0</v>
      </c>
      <c r="AL199" s="43">
        <v>0</v>
      </c>
      <c r="AM199" s="43">
        <v>0</v>
      </c>
      <c r="AN199" s="43">
        <v>0</v>
      </c>
      <c r="AO199" s="43">
        <v>0</v>
      </c>
      <c r="AP199" s="43">
        <v>0</v>
      </c>
      <c r="AQ199" s="43">
        <v>0</v>
      </c>
      <c r="AR199" s="43">
        <v>0</v>
      </c>
      <c r="AS199" s="43">
        <v>0</v>
      </c>
      <c r="AT199" s="43">
        <v>0</v>
      </c>
      <c r="AU199" s="43">
        <v>0</v>
      </c>
      <c r="AV199" s="43">
        <v>0</v>
      </c>
      <c r="AW199" s="43">
        <v>1</v>
      </c>
      <c r="AX199" s="43">
        <v>0</v>
      </c>
      <c r="AY199" s="43">
        <v>0</v>
      </c>
      <c r="AZ199" s="43">
        <v>0</v>
      </c>
      <c r="BA199" s="43">
        <v>0</v>
      </c>
      <c r="BB199" s="43">
        <v>0</v>
      </c>
      <c r="BC199" s="43">
        <v>0</v>
      </c>
      <c r="BD199" s="43">
        <v>0</v>
      </c>
      <c r="BE199" s="43">
        <v>0</v>
      </c>
      <c r="BF199" s="43">
        <v>0</v>
      </c>
      <c r="BG199" s="43">
        <v>0</v>
      </c>
      <c r="BH199" s="43">
        <v>0</v>
      </c>
      <c r="BI199" s="43">
        <v>0</v>
      </c>
      <c r="BJ199" s="43" t="s">
        <v>2090</v>
      </c>
      <c r="BK199" s="43" t="s">
        <v>2090</v>
      </c>
      <c r="BL199" s="43" t="s">
        <v>2090</v>
      </c>
      <c r="BM199" s="43" t="s">
        <v>2090</v>
      </c>
      <c r="BN199" s="43" t="s">
        <v>2090</v>
      </c>
      <c r="BO199" s="43" t="s">
        <v>2091</v>
      </c>
      <c r="BP199" s="43" t="s">
        <v>2090</v>
      </c>
      <c r="BQ199" s="43" t="s">
        <v>2091</v>
      </c>
      <c r="BR199" s="43" t="s">
        <v>2090</v>
      </c>
      <c r="BS199" s="43" t="s">
        <v>2090</v>
      </c>
      <c r="BT199" s="43" t="s">
        <v>2090</v>
      </c>
      <c r="BU199" s="43" t="s">
        <v>2090</v>
      </c>
      <c r="BV199" s="43" t="s">
        <v>2090</v>
      </c>
      <c r="BW199" s="43" t="s">
        <v>2090</v>
      </c>
    </row>
    <row r="200" spans="1:75" ht="114.95" customHeight="1" x14ac:dyDescent="0.25">
      <c r="A200" s="38" t="s">
        <v>1064</v>
      </c>
      <c r="B200" s="38" t="s">
        <v>1776</v>
      </c>
      <c r="C200" s="39" t="s">
        <v>1065</v>
      </c>
      <c r="D200" s="40" t="s">
        <v>1066</v>
      </c>
      <c r="E200" s="41">
        <v>1759.44498</v>
      </c>
      <c r="F200" s="41">
        <v>316171.98840999999</v>
      </c>
      <c r="G200" s="41">
        <v>339825.7</v>
      </c>
      <c r="H200" s="41">
        <v>702826.3</v>
      </c>
      <c r="I200" s="42">
        <v>0.39916928384184813</v>
      </c>
      <c r="J200" s="41">
        <v>26682.035199999998</v>
      </c>
      <c r="K200" s="41">
        <v>1833507.30375</v>
      </c>
      <c r="L200" s="41">
        <v>157700.1</v>
      </c>
      <c r="M200" s="41">
        <v>246591</v>
      </c>
      <c r="N200" s="42">
        <v>0.59891761876127481</v>
      </c>
      <c r="O200" s="41">
        <v>4414.6657100000002</v>
      </c>
      <c r="P200" s="41">
        <v>405201.65336</v>
      </c>
      <c r="Q200" s="41">
        <v>151919.29999999999</v>
      </c>
      <c r="R200" s="41">
        <v>414734.8</v>
      </c>
      <c r="S200" s="42">
        <v>0.33988267802138072</v>
      </c>
      <c r="T200" s="41">
        <v>27119.254959999998</v>
      </c>
      <c r="U200" s="41">
        <v>1946812.0266100001</v>
      </c>
      <c r="V200" s="41">
        <v>107561.9</v>
      </c>
      <c r="W200" s="41">
        <v>163849.9</v>
      </c>
      <c r="X200" s="42">
        <v>0.61973762365346963</v>
      </c>
      <c r="Y200" s="43">
        <v>1</v>
      </c>
      <c r="Z200" s="43" t="s">
        <v>2090</v>
      </c>
      <c r="AA200" s="43" t="s">
        <v>2091</v>
      </c>
      <c r="AB200" s="43" t="s">
        <v>2090</v>
      </c>
      <c r="AC200" s="43" t="s">
        <v>2090</v>
      </c>
      <c r="AD200" s="43">
        <v>0</v>
      </c>
      <c r="AE200" s="43">
        <v>0</v>
      </c>
      <c r="AF200" s="43">
        <v>0</v>
      </c>
      <c r="AG200" s="43">
        <v>0</v>
      </c>
      <c r="AH200" s="43">
        <v>0</v>
      </c>
      <c r="AI200" s="43">
        <v>0</v>
      </c>
      <c r="AJ200" s="43">
        <v>0</v>
      </c>
      <c r="AK200" s="43">
        <v>0</v>
      </c>
      <c r="AL200" s="43">
        <v>0</v>
      </c>
      <c r="AM200" s="43">
        <v>0</v>
      </c>
      <c r="AN200" s="43">
        <v>0</v>
      </c>
      <c r="AO200" s="43">
        <v>0</v>
      </c>
      <c r="AP200" s="43">
        <v>0</v>
      </c>
      <c r="AQ200" s="43">
        <v>0</v>
      </c>
      <c r="AR200" s="43">
        <v>0</v>
      </c>
      <c r="AS200" s="43">
        <v>0</v>
      </c>
      <c r="AT200" s="43">
        <v>0</v>
      </c>
      <c r="AU200" s="43">
        <v>0</v>
      </c>
      <c r="AV200" s="43">
        <v>0</v>
      </c>
      <c r="AW200" s="43">
        <v>0</v>
      </c>
      <c r="AX200" s="43">
        <v>0</v>
      </c>
      <c r="AY200" s="43">
        <v>0</v>
      </c>
      <c r="AZ200" s="43">
        <v>0</v>
      </c>
      <c r="BA200" s="43">
        <v>0</v>
      </c>
      <c r="BB200" s="43">
        <v>0</v>
      </c>
      <c r="BC200" s="43">
        <v>0</v>
      </c>
      <c r="BD200" s="43">
        <v>0</v>
      </c>
      <c r="BE200" s="43">
        <v>0</v>
      </c>
      <c r="BF200" s="43">
        <v>0</v>
      </c>
      <c r="BG200" s="43">
        <v>0</v>
      </c>
      <c r="BH200" s="43">
        <v>0</v>
      </c>
      <c r="BI200" s="43">
        <v>0</v>
      </c>
      <c r="BJ200" s="43" t="s">
        <v>2090</v>
      </c>
      <c r="BK200" s="43" t="s">
        <v>2090</v>
      </c>
      <c r="BL200" s="43" t="s">
        <v>2090</v>
      </c>
      <c r="BM200" s="43" t="s">
        <v>2090</v>
      </c>
      <c r="BN200" s="43" t="s">
        <v>2090</v>
      </c>
      <c r="BO200" s="43" t="s">
        <v>2091</v>
      </c>
      <c r="BP200" s="43" t="s">
        <v>2090</v>
      </c>
      <c r="BQ200" s="43" t="s">
        <v>2091</v>
      </c>
      <c r="BR200" s="43" t="s">
        <v>2090</v>
      </c>
      <c r="BS200" s="43" t="s">
        <v>2090</v>
      </c>
      <c r="BT200" s="43" t="s">
        <v>2090</v>
      </c>
      <c r="BU200" s="43" t="s">
        <v>2090</v>
      </c>
      <c r="BV200" s="43" t="s">
        <v>2090</v>
      </c>
      <c r="BW200" s="43" t="s">
        <v>2090</v>
      </c>
    </row>
    <row r="201" spans="1:75" ht="129.94999999999999" customHeight="1" x14ac:dyDescent="0.25">
      <c r="A201" s="38" t="s">
        <v>1067</v>
      </c>
      <c r="B201" s="38" t="s">
        <v>1777</v>
      </c>
      <c r="C201" s="39" t="s">
        <v>1068</v>
      </c>
      <c r="D201" s="40" t="s">
        <v>1069</v>
      </c>
      <c r="E201" s="41">
        <v>10882.006429999999</v>
      </c>
      <c r="F201" s="41">
        <v>1236595.02006</v>
      </c>
      <c r="G201" s="41">
        <v>14098.9</v>
      </c>
      <c r="H201" s="41">
        <v>42013.2</v>
      </c>
      <c r="I201" s="42">
        <v>0.32418284740398073</v>
      </c>
      <c r="J201" s="41">
        <v>0</v>
      </c>
      <c r="K201" s="41">
        <v>17711.948049999999</v>
      </c>
      <c r="L201" s="41">
        <v>70726.100000000006</v>
      </c>
      <c r="M201" s="41">
        <v>290947.59999999998</v>
      </c>
      <c r="N201" s="42">
        <v>0.23029322280887884</v>
      </c>
      <c r="O201" s="41">
        <v>8447.8666200000007</v>
      </c>
      <c r="P201" s="41">
        <v>654563.71363999997</v>
      </c>
      <c r="Q201" s="41">
        <v>13598.2</v>
      </c>
      <c r="R201" s="41">
        <v>53326.3</v>
      </c>
      <c r="S201" s="42">
        <v>0.24939362647390789</v>
      </c>
      <c r="T201" s="41">
        <v>2574.7957799999999</v>
      </c>
      <c r="U201" s="41">
        <v>447886.88503</v>
      </c>
      <c r="V201" s="41">
        <v>11397.2</v>
      </c>
      <c r="W201" s="41">
        <v>42582.3</v>
      </c>
      <c r="X201" s="42">
        <v>0.26655088163433516</v>
      </c>
      <c r="Y201" s="43">
        <v>2</v>
      </c>
      <c r="Z201" s="43" t="s">
        <v>2090</v>
      </c>
      <c r="AA201" s="43" t="s">
        <v>2090</v>
      </c>
      <c r="AB201" s="43" t="s">
        <v>2090</v>
      </c>
      <c r="AC201" s="43" t="s">
        <v>2090</v>
      </c>
      <c r="AD201" s="43">
        <v>0</v>
      </c>
      <c r="AE201" s="43">
        <v>0</v>
      </c>
      <c r="AF201" s="43">
        <v>0</v>
      </c>
      <c r="AG201" s="43">
        <v>0</v>
      </c>
      <c r="AH201" s="43">
        <v>0</v>
      </c>
      <c r="AI201" s="43">
        <v>0</v>
      </c>
      <c r="AJ201" s="43">
        <v>0</v>
      </c>
      <c r="AK201" s="43">
        <v>0</v>
      </c>
      <c r="AL201" s="43">
        <v>0</v>
      </c>
      <c r="AM201" s="43">
        <v>1</v>
      </c>
      <c r="AN201" s="43">
        <v>0</v>
      </c>
      <c r="AO201" s="43">
        <v>0</v>
      </c>
      <c r="AP201" s="43">
        <v>0</v>
      </c>
      <c r="AQ201" s="43">
        <v>0</v>
      </c>
      <c r="AR201" s="43">
        <v>0</v>
      </c>
      <c r="AS201" s="43">
        <v>0</v>
      </c>
      <c r="AT201" s="43">
        <v>1</v>
      </c>
      <c r="AU201" s="43">
        <v>0</v>
      </c>
      <c r="AV201" s="43">
        <v>0</v>
      </c>
      <c r="AW201" s="43">
        <v>0</v>
      </c>
      <c r="AX201" s="43">
        <v>0</v>
      </c>
      <c r="AY201" s="43">
        <v>0</v>
      </c>
      <c r="AZ201" s="43">
        <v>0</v>
      </c>
      <c r="BA201" s="43">
        <v>0</v>
      </c>
      <c r="BB201" s="43">
        <v>0</v>
      </c>
      <c r="BC201" s="43">
        <v>0</v>
      </c>
      <c r="BD201" s="43">
        <v>0</v>
      </c>
      <c r="BE201" s="43">
        <v>0</v>
      </c>
      <c r="BF201" s="43">
        <v>0</v>
      </c>
      <c r="BG201" s="43">
        <v>0</v>
      </c>
      <c r="BH201" s="43">
        <v>0</v>
      </c>
      <c r="BI201" s="43">
        <v>0</v>
      </c>
      <c r="BJ201" s="43" t="s">
        <v>2090</v>
      </c>
      <c r="BK201" s="43" t="s">
        <v>2090</v>
      </c>
      <c r="BL201" s="43" t="s">
        <v>2090</v>
      </c>
      <c r="BM201" s="43" t="s">
        <v>2090</v>
      </c>
      <c r="BN201" s="43" t="s">
        <v>2090</v>
      </c>
      <c r="BO201" s="43" t="s">
        <v>2090</v>
      </c>
      <c r="BP201" s="43" t="s">
        <v>2090</v>
      </c>
      <c r="BQ201" s="43" t="s">
        <v>2090</v>
      </c>
      <c r="BR201" s="43" t="s">
        <v>2090</v>
      </c>
      <c r="BS201" s="43" t="s">
        <v>2090</v>
      </c>
      <c r="BT201" s="43" t="s">
        <v>2090</v>
      </c>
      <c r="BU201" s="43" t="s">
        <v>2090</v>
      </c>
      <c r="BV201" s="43" t="s">
        <v>2090</v>
      </c>
      <c r="BW201" s="43" t="s">
        <v>2090</v>
      </c>
    </row>
    <row r="202" spans="1:75" ht="183.2" customHeight="1" x14ac:dyDescent="0.25">
      <c r="A202" s="38" t="s">
        <v>1070</v>
      </c>
      <c r="B202" s="38" t="s">
        <v>1778</v>
      </c>
      <c r="C202" s="39" t="s">
        <v>1071</v>
      </c>
      <c r="D202" s="40" t="s">
        <v>1072</v>
      </c>
      <c r="E202" s="41">
        <v>42600.229509999997</v>
      </c>
      <c r="F202" s="41">
        <v>2463173.98875</v>
      </c>
      <c r="G202" s="41">
        <v>238023</v>
      </c>
      <c r="H202" s="41">
        <v>263380.40000000002</v>
      </c>
      <c r="I202" s="42">
        <v>0.86115650988288606</v>
      </c>
      <c r="J202" s="41">
        <v>1659.17067</v>
      </c>
      <c r="K202" s="41">
        <v>297214.82251000003</v>
      </c>
      <c r="L202" s="41">
        <v>3289.1</v>
      </c>
      <c r="M202" s="41">
        <v>12969.2</v>
      </c>
      <c r="N202" s="42">
        <v>0.25168869309838476</v>
      </c>
      <c r="O202" s="41">
        <v>19570.762879999998</v>
      </c>
      <c r="P202" s="41">
        <v>1763685.70563</v>
      </c>
      <c r="Q202" s="41">
        <v>50626.3</v>
      </c>
      <c r="R202" s="41">
        <v>89173.3</v>
      </c>
      <c r="S202" s="42">
        <v>0.53637660485021399</v>
      </c>
      <c r="T202" s="41">
        <v>3709.8605299999999</v>
      </c>
      <c r="U202" s="41">
        <v>549727.98710999999</v>
      </c>
      <c r="V202" s="41">
        <v>71189</v>
      </c>
      <c r="W202" s="41">
        <v>230954.5</v>
      </c>
      <c r="X202" s="42">
        <v>0.29605152678992214</v>
      </c>
      <c r="Y202" s="43">
        <v>2</v>
      </c>
      <c r="Z202" s="43" t="s">
        <v>2090</v>
      </c>
      <c r="AA202" s="43" t="s">
        <v>2090</v>
      </c>
      <c r="AB202" s="43" t="s">
        <v>2090</v>
      </c>
      <c r="AC202" s="43" t="s">
        <v>2090</v>
      </c>
      <c r="AD202" s="43">
        <v>0</v>
      </c>
      <c r="AE202" s="43">
        <v>0</v>
      </c>
      <c r="AF202" s="43">
        <v>0</v>
      </c>
      <c r="AG202" s="43">
        <v>0</v>
      </c>
      <c r="AH202" s="43">
        <v>0</v>
      </c>
      <c r="AI202" s="43">
        <v>0</v>
      </c>
      <c r="AJ202" s="43">
        <v>0</v>
      </c>
      <c r="AK202" s="43">
        <v>0</v>
      </c>
      <c r="AL202" s="43">
        <v>0</v>
      </c>
      <c r="AM202" s="43">
        <v>1</v>
      </c>
      <c r="AN202" s="43">
        <v>0</v>
      </c>
      <c r="AO202" s="43">
        <v>0</v>
      </c>
      <c r="AP202" s="43">
        <v>0</v>
      </c>
      <c r="AQ202" s="43">
        <v>0</v>
      </c>
      <c r="AR202" s="43">
        <v>0</v>
      </c>
      <c r="AS202" s="43">
        <v>0</v>
      </c>
      <c r="AT202" s="43">
        <v>0</v>
      </c>
      <c r="AU202" s="43">
        <v>0</v>
      </c>
      <c r="AV202" s="43">
        <v>0</v>
      </c>
      <c r="AW202" s="43">
        <v>0</v>
      </c>
      <c r="AX202" s="43">
        <v>0</v>
      </c>
      <c r="AY202" s="43">
        <v>0</v>
      </c>
      <c r="AZ202" s="43">
        <v>0</v>
      </c>
      <c r="BA202" s="43">
        <v>1</v>
      </c>
      <c r="BB202" s="43">
        <v>0</v>
      </c>
      <c r="BC202" s="43">
        <v>0</v>
      </c>
      <c r="BD202" s="43">
        <v>0</v>
      </c>
      <c r="BE202" s="43">
        <v>0</v>
      </c>
      <c r="BF202" s="43">
        <v>0</v>
      </c>
      <c r="BG202" s="43">
        <v>0</v>
      </c>
      <c r="BH202" s="43">
        <v>0</v>
      </c>
      <c r="BI202" s="43">
        <v>0</v>
      </c>
      <c r="BJ202" s="43" t="s">
        <v>2090</v>
      </c>
      <c r="BK202" s="43" t="s">
        <v>2090</v>
      </c>
      <c r="BL202" s="43" t="s">
        <v>2090</v>
      </c>
      <c r="BM202" s="43" t="s">
        <v>2091</v>
      </c>
      <c r="BN202" s="43" t="s">
        <v>2090</v>
      </c>
      <c r="BO202" s="43" t="s">
        <v>2090</v>
      </c>
      <c r="BP202" s="43" t="s">
        <v>2090</v>
      </c>
      <c r="BQ202" s="43" t="s">
        <v>2090</v>
      </c>
      <c r="BR202" s="43" t="s">
        <v>2090</v>
      </c>
      <c r="BS202" s="43" t="s">
        <v>2090</v>
      </c>
      <c r="BT202" s="43" t="s">
        <v>2090</v>
      </c>
      <c r="BU202" s="43" t="s">
        <v>2090</v>
      </c>
      <c r="BV202" s="43" t="s">
        <v>2090</v>
      </c>
      <c r="BW202" s="43" t="s">
        <v>2090</v>
      </c>
    </row>
    <row r="203" spans="1:75" ht="175.7" customHeight="1" x14ac:dyDescent="0.25">
      <c r="A203" s="38" t="s">
        <v>1073</v>
      </c>
      <c r="B203" s="38" t="s">
        <v>1779</v>
      </c>
      <c r="C203" s="39" t="s">
        <v>1074</v>
      </c>
      <c r="D203" s="40" t="s">
        <v>1075</v>
      </c>
      <c r="E203" s="41">
        <v>21957.086080000001</v>
      </c>
      <c r="F203" s="41">
        <v>1695514.6908499999</v>
      </c>
      <c r="G203" s="41">
        <v>48864.4</v>
      </c>
      <c r="H203" s="41">
        <v>103511</v>
      </c>
      <c r="I203" s="42">
        <v>0.4530597968979907</v>
      </c>
      <c r="J203" s="41">
        <v>0</v>
      </c>
      <c r="K203" s="41">
        <v>12954.64703</v>
      </c>
      <c r="L203" s="41">
        <v>17336.3</v>
      </c>
      <c r="M203" s="41">
        <v>119009.3</v>
      </c>
      <c r="N203" s="42">
        <v>0.14291365521960397</v>
      </c>
      <c r="O203" s="41">
        <v>0</v>
      </c>
      <c r="P203" s="41">
        <v>129325.60539</v>
      </c>
      <c r="Q203" s="41">
        <v>137378.20000000001</v>
      </c>
      <c r="R203" s="41">
        <v>362641.1</v>
      </c>
      <c r="S203" s="42">
        <v>0.3591741869404933</v>
      </c>
      <c r="T203" s="41">
        <v>3755.02502</v>
      </c>
      <c r="U203" s="41">
        <v>540939.29876999999</v>
      </c>
      <c r="V203" s="41">
        <v>81953.2</v>
      </c>
      <c r="W203" s="41">
        <v>266427.09999999998</v>
      </c>
      <c r="X203" s="42">
        <v>0.28615487582077676</v>
      </c>
      <c r="Y203" s="43">
        <v>3</v>
      </c>
      <c r="Z203" s="43" t="s">
        <v>2090</v>
      </c>
      <c r="AA203" s="43" t="s">
        <v>2090</v>
      </c>
      <c r="AB203" s="43" t="s">
        <v>2090</v>
      </c>
      <c r="AC203" s="43" t="s">
        <v>2090</v>
      </c>
      <c r="AD203" s="43">
        <v>0</v>
      </c>
      <c r="AE203" s="43">
        <v>0</v>
      </c>
      <c r="AF203" s="43">
        <v>0</v>
      </c>
      <c r="AG203" s="43">
        <v>0</v>
      </c>
      <c r="AH203" s="43">
        <v>0</v>
      </c>
      <c r="AI203" s="43">
        <v>0</v>
      </c>
      <c r="AJ203" s="43">
        <v>0</v>
      </c>
      <c r="AK203" s="43">
        <v>1</v>
      </c>
      <c r="AL203" s="43">
        <v>0</v>
      </c>
      <c r="AM203" s="43">
        <v>0</v>
      </c>
      <c r="AN203" s="43">
        <v>0</v>
      </c>
      <c r="AO203" s="43">
        <v>0</v>
      </c>
      <c r="AP203" s="43">
        <v>0</v>
      </c>
      <c r="AQ203" s="43">
        <v>0</v>
      </c>
      <c r="AR203" s="43">
        <v>0</v>
      </c>
      <c r="AS203" s="43">
        <v>0</v>
      </c>
      <c r="AT203" s="43">
        <v>0</v>
      </c>
      <c r="AU203" s="43">
        <v>0</v>
      </c>
      <c r="AV203" s="43">
        <v>0</v>
      </c>
      <c r="AW203" s="43">
        <v>0</v>
      </c>
      <c r="AX203" s="43">
        <v>0</v>
      </c>
      <c r="AY203" s="43">
        <v>0</v>
      </c>
      <c r="AZ203" s="43">
        <v>0</v>
      </c>
      <c r="BA203" s="43">
        <v>0</v>
      </c>
      <c r="BB203" s="43">
        <v>0</v>
      </c>
      <c r="BC203" s="43">
        <v>0</v>
      </c>
      <c r="BD203" s="43">
        <v>0</v>
      </c>
      <c r="BE203" s="43">
        <v>0</v>
      </c>
      <c r="BF203" s="43">
        <v>0</v>
      </c>
      <c r="BG203" s="43">
        <v>0</v>
      </c>
      <c r="BH203" s="43">
        <v>0</v>
      </c>
      <c r="BI203" s="43">
        <v>0</v>
      </c>
      <c r="BJ203" s="43" t="s">
        <v>2091</v>
      </c>
      <c r="BK203" s="43" t="s">
        <v>2090</v>
      </c>
      <c r="BL203" s="43" t="s">
        <v>2090</v>
      </c>
      <c r="BM203" s="43" t="s">
        <v>2090</v>
      </c>
      <c r="BN203" s="43" t="s">
        <v>2090</v>
      </c>
      <c r="BO203" s="43" t="s">
        <v>2090</v>
      </c>
      <c r="BP203" s="43" t="s">
        <v>2090</v>
      </c>
      <c r="BQ203" s="43" t="s">
        <v>2090</v>
      </c>
      <c r="BR203" s="43" t="s">
        <v>2090</v>
      </c>
      <c r="BS203" s="43" t="s">
        <v>2090</v>
      </c>
      <c r="BT203" s="43" t="s">
        <v>2090</v>
      </c>
      <c r="BU203" s="43" t="s">
        <v>2090</v>
      </c>
      <c r="BV203" s="43" t="s">
        <v>2090</v>
      </c>
      <c r="BW203" s="43" t="s">
        <v>2090</v>
      </c>
    </row>
    <row r="204" spans="1:75" ht="144.94999999999999" customHeight="1" x14ac:dyDescent="0.25">
      <c r="A204" s="38" t="s">
        <v>1076</v>
      </c>
      <c r="B204" s="38" t="s">
        <v>1780</v>
      </c>
      <c r="C204" s="39" t="s">
        <v>1077</v>
      </c>
      <c r="D204" s="40" t="s">
        <v>1078</v>
      </c>
      <c r="E204" s="41">
        <v>10088.59395</v>
      </c>
      <c r="F204" s="41">
        <v>1179073.1410699999</v>
      </c>
      <c r="G204" s="41">
        <v>144304.79999999999</v>
      </c>
      <c r="H204" s="41">
        <v>280378.3</v>
      </c>
      <c r="I204" s="42">
        <v>0.49487258892231467</v>
      </c>
      <c r="J204" s="41">
        <v>21725.422900000001</v>
      </c>
      <c r="K204" s="41">
        <v>1611972.1285699999</v>
      </c>
      <c r="L204" s="41">
        <v>143160.1</v>
      </c>
      <c r="M204" s="41">
        <v>219044.3</v>
      </c>
      <c r="N204" s="42">
        <v>0.61212619509241306</v>
      </c>
      <c r="O204" s="41">
        <v>0</v>
      </c>
      <c r="P204" s="41">
        <v>57083.791369999999</v>
      </c>
      <c r="Q204" s="41">
        <v>28496.3</v>
      </c>
      <c r="R204" s="41">
        <v>127470.8</v>
      </c>
      <c r="S204" s="42">
        <v>0.20824395617137223</v>
      </c>
      <c r="T204" s="41">
        <v>36064.963490000002</v>
      </c>
      <c r="U204" s="41">
        <v>2197765.85672</v>
      </c>
      <c r="V204" s="41">
        <v>103834.6</v>
      </c>
      <c r="W204" s="41">
        <v>122937.8</v>
      </c>
      <c r="X204" s="42">
        <v>0.78895235052122858</v>
      </c>
      <c r="Y204" s="43">
        <v>2</v>
      </c>
      <c r="Z204" s="43" t="s">
        <v>2090</v>
      </c>
      <c r="AA204" s="43" t="s">
        <v>2091</v>
      </c>
      <c r="AB204" s="43" t="s">
        <v>2090</v>
      </c>
      <c r="AC204" s="43" t="s">
        <v>2090</v>
      </c>
      <c r="AD204" s="43">
        <v>0</v>
      </c>
      <c r="AE204" s="43">
        <v>0</v>
      </c>
      <c r="AF204" s="43">
        <v>0</v>
      </c>
      <c r="AG204" s="43">
        <v>0</v>
      </c>
      <c r="AH204" s="43">
        <v>0</v>
      </c>
      <c r="AI204" s="43">
        <v>0</v>
      </c>
      <c r="AJ204" s="43">
        <v>0</v>
      </c>
      <c r="AK204" s="43">
        <v>1</v>
      </c>
      <c r="AL204" s="43">
        <v>0</v>
      </c>
      <c r="AM204" s="43">
        <v>0</v>
      </c>
      <c r="AN204" s="43">
        <v>0</v>
      </c>
      <c r="AO204" s="43">
        <v>0</v>
      </c>
      <c r="AP204" s="43">
        <v>0</v>
      </c>
      <c r="AQ204" s="43">
        <v>0</v>
      </c>
      <c r="AR204" s="43">
        <v>0</v>
      </c>
      <c r="AS204" s="43">
        <v>0</v>
      </c>
      <c r="AT204" s="43">
        <v>0</v>
      </c>
      <c r="AU204" s="43">
        <v>0</v>
      </c>
      <c r="AV204" s="43">
        <v>0</v>
      </c>
      <c r="AW204" s="43">
        <v>0</v>
      </c>
      <c r="AX204" s="43">
        <v>0</v>
      </c>
      <c r="AY204" s="43">
        <v>0</v>
      </c>
      <c r="AZ204" s="43">
        <v>0</v>
      </c>
      <c r="BA204" s="43">
        <v>0</v>
      </c>
      <c r="BB204" s="43">
        <v>0</v>
      </c>
      <c r="BC204" s="43">
        <v>0</v>
      </c>
      <c r="BD204" s="43">
        <v>0</v>
      </c>
      <c r="BE204" s="43">
        <v>0</v>
      </c>
      <c r="BF204" s="43">
        <v>0</v>
      </c>
      <c r="BG204" s="43">
        <v>0</v>
      </c>
      <c r="BH204" s="43">
        <v>0</v>
      </c>
      <c r="BI204" s="43">
        <v>0</v>
      </c>
      <c r="BJ204" s="43" t="s">
        <v>2091</v>
      </c>
      <c r="BK204" s="43" t="s">
        <v>2090</v>
      </c>
      <c r="BL204" s="43" t="s">
        <v>2090</v>
      </c>
      <c r="BM204" s="43" t="s">
        <v>2090</v>
      </c>
      <c r="BN204" s="43" t="s">
        <v>2090</v>
      </c>
      <c r="BO204" s="43" t="s">
        <v>2090</v>
      </c>
      <c r="BP204" s="43" t="s">
        <v>2090</v>
      </c>
      <c r="BQ204" s="43" t="s">
        <v>2090</v>
      </c>
      <c r="BR204" s="43" t="s">
        <v>2091</v>
      </c>
      <c r="BS204" s="43" t="s">
        <v>2091</v>
      </c>
      <c r="BT204" s="43" t="s">
        <v>2090</v>
      </c>
      <c r="BU204" s="43" t="s">
        <v>2090</v>
      </c>
      <c r="BV204" s="43" t="s">
        <v>2090</v>
      </c>
      <c r="BW204" s="43" t="s">
        <v>2090</v>
      </c>
    </row>
    <row r="205" spans="1:75" ht="194.45" customHeight="1" x14ac:dyDescent="0.25">
      <c r="A205" s="38" t="s">
        <v>1079</v>
      </c>
      <c r="B205" s="38" t="s">
        <v>1781</v>
      </c>
      <c r="C205" s="39" t="s">
        <v>1080</v>
      </c>
      <c r="D205" s="40" t="s">
        <v>1081</v>
      </c>
      <c r="E205" s="41">
        <v>81796.213780000005</v>
      </c>
      <c r="F205" s="41">
        <v>3164812.0827199998</v>
      </c>
      <c r="G205" s="41">
        <v>318542.09999999998</v>
      </c>
      <c r="H205" s="41">
        <v>231538.5</v>
      </c>
      <c r="I205" s="42">
        <v>1.3651800699113814</v>
      </c>
      <c r="J205" s="41">
        <v>29270.114740000001</v>
      </c>
      <c r="K205" s="41">
        <v>1910929.38173</v>
      </c>
      <c r="L205" s="41">
        <v>233709.7</v>
      </c>
      <c r="M205" s="41">
        <v>271234.40000000002</v>
      </c>
      <c r="N205" s="42">
        <v>0.81171453221029422</v>
      </c>
      <c r="O205" s="41">
        <v>53934.223239999999</v>
      </c>
      <c r="P205" s="41">
        <v>2688719.2640399998</v>
      </c>
      <c r="Q205" s="41">
        <v>342236</v>
      </c>
      <c r="R205" s="41">
        <v>288138.7</v>
      </c>
      <c r="S205" s="42">
        <v>1.1290334077840614</v>
      </c>
      <c r="T205" s="41">
        <v>61788.085619999998</v>
      </c>
      <c r="U205" s="41">
        <v>2759674.6187200001</v>
      </c>
      <c r="V205" s="41">
        <v>179550.7</v>
      </c>
      <c r="W205" s="41">
        <v>128385.2</v>
      </c>
      <c r="X205" s="42">
        <v>1.1731218555470282</v>
      </c>
      <c r="Y205" s="43">
        <v>2</v>
      </c>
      <c r="Z205" s="43" t="s">
        <v>2090</v>
      </c>
      <c r="AA205" s="43" t="s">
        <v>2090</v>
      </c>
      <c r="AB205" s="43" t="s">
        <v>2090</v>
      </c>
      <c r="AC205" s="43" t="s">
        <v>2090</v>
      </c>
      <c r="AD205" s="43">
        <v>0</v>
      </c>
      <c r="AE205" s="43">
        <v>1</v>
      </c>
      <c r="AF205" s="43">
        <v>0</v>
      </c>
      <c r="AG205" s="43">
        <v>0</v>
      </c>
      <c r="AH205" s="43">
        <v>0</v>
      </c>
      <c r="AI205" s="43">
        <v>0</v>
      </c>
      <c r="AJ205" s="43">
        <v>0</v>
      </c>
      <c r="AK205" s="43">
        <v>0</v>
      </c>
      <c r="AL205" s="43">
        <v>1</v>
      </c>
      <c r="AM205" s="43">
        <v>0</v>
      </c>
      <c r="AN205" s="43">
        <v>0</v>
      </c>
      <c r="AO205" s="43">
        <v>0</v>
      </c>
      <c r="AP205" s="43">
        <v>0</v>
      </c>
      <c r="AQ205" s="43">
        <v>0</v>
      </c>
      <c r="AR205" s="43">
        <v>0</v>
      </c>
      <c r="AS205" s="43">
        <v>0</v>
      </c>
      <c r="AT205" s="43">
        <v>0</v>
      </c>
      <c r="AU205" s="43">
        <v>0</v>
      </c>
      <c r="AV205" s="43">
        <v>0</v>
      </c>
      <c r="AW205" s="43">
        <v>0</v>
      </c>
      <c r="AX205" s="43">
        <v>0</v>
      </c>
      <c r="AY205" s="43">
        <v>0</v>
      </c>
      <c r="AZ205" s="43">
        <v>0</v>
      </c>
      <c r="BA205" s="43">
        <v>0</v>
      </c>
      <c r="BB205" s="43">
        <v>0</v>
      </c>
      <c r="BC205" s="43">
        <v>0</v>
      </c>
      <c r="BD205" s="43">
        <v>0</v>
      </c>
      <c r="BE205" s="43">
        <v>0</v>
      </c>
      <c r="BF205" s="43">
        <v>0</v>
      </c>
      <c r="BG205" s="43">
        <v>0</v>
      </c>
      <c r="BH205" s="43">
        <v>0</v>
      </c>
      <c r="BI205" s="43">
        <v>0</v>
      </c>
      <c r="BJ205" s="43" t="s">
        <v>2090</v>
      </c>
      <c r="BK205" s="43" t="s">
        <v>2090</v>
      </c>
      <c r="BL205" s="43" t="s">
        <v>2090</v>
      </c>
      <c r="BM205" s="43" t="s">
        <v>2090</v>
      </c>
      <c r="BN205" s="43" t="s">
        <v>2090</v>
      </c>
      <c r="BO205" s="43" t="s">
        <v>2090</v>
      </c>
      <c r="BP205" s="43" t="s">
        <v>2090</v>
      </c>
      <c r="BQ205" s="43" t="s">
        <v>2090</v>
      </c>
      <c r="BR205" s="43" t="s">
        <v>2090</v>
      </c>
      <c r="BS205" s="43" t="s">
        <v>2090</v>
      </c>
      <c r="BT205" s="43" t="s">
        <v>2090</v>
      </c>
      <c r="BU205" s="43" t="s">
        <v>2090</v>
      </c>
      <c r="BV205" s="43" t="s">
        <v>2090</v>
      </c>
      <c r="BW205" s="43" t="s">
        <v>2090</v>
      </c>
    </row>
    <row r="206" spans="1:75" ht="147.19999999999999" customHeight="1" x14ac:dyDescent="0.25">
      <c r="A206" s="38" t="s">
        <v>1082</v>
      </c>
      <c r="B206" s="38" t="s">
        <v>1782</v>
      </c>
      <c r="C206" s="39" t="s">
        <v>1083</v>
      </c>
      <c r="D206" s="40" t="s">
        <v>1084</v>
      </c>
      <c r="E206" s="41">
        <v>52847.054470000003</v>
      </c>
      <c r="F206" s="41">
        <v>2686855.6889499999</v>
      </c>
      <c r="G206" s="41">
        <v>275259.09999999998</v>
      </c>
      <c r="H206" s="41">
        <v>234276.2</v>
      </c>
      <c r="I206" s="42">
        <v>1.1585968119870966</v>
      </c>
      <c r="J206" s="41">
        <v>40773.935519999999</v>
      </c>
      <c r="K206" s="41">
        <v>2195745.1631999998</v>
      </c>
      <c r="L206" s="41">
        <v>205329.5</v>
      </c>
      <c r="M206" s="41">
        <v>202369</v>
      </c>
      <c r="N206" s="42">
        <v>0.96143521246644403</v>
      </c>
      <c r="O206" s="41">
        <v>14381.60139</v>
      </c>
      <c r="P206" s="41">
        <v>1415528.9497199999</v>
      </c>
      <c r="Q206" s="41">
        <v>150726.70000000001</v>
      </c>
      <c r="R206" s="41">
        <v>231270.7</v>
      </c>
      <c r="S206" s="42">
        <v>0.61873902992422614</v>
      </c>
      <c r="T206" s="41">
        <v>12703.16491</v>
      </c>
      <c r="U206" s="41">
        <v>1306697.4806299999</v>
      </c>
      <c r="V206" s="41">
        <v>95838.2</v>
      </c>
      <c r="W206" s="41">
        <v>194179.4</v>
      </c>
      <c r="X206" s="42">
        <v>0.46492590067913858</v>
      </c>
      <c r="Y206" s="43">
        <v>2</v>
      </c>
      <c r="Z206" s="43" t="s">
        <v>2090</v>
      </c>
      <c r="AA206" s="43" t="s">
        <v>2090</v>
      </c>
      <c r="AB206" s="43" t="s">
        <v>2090</v>
      </c>
      <c r="AC206" s="43" t="s">
        <v>2090</v>
      </c>
      <c r="AD206" s="43">
        <v>0</v>
      </c>
      <c r="AE206" s="43">
        <v>1</v>
      </c>
      <c r="AF206" s="43">
        <v>0</v>
      </c>
      <c r="AG206" s="43">
        <v>0</v>
      </c>
      <c r="AH206" s="43">
        <v>0</v>
      </c>
      <c r="AI206" s="43">
        <v>0</v>
      </c>
      <c r="AJ206" s="43">
        <v>0</v>
      </c>
      <c r="AK206" s="43">
        <v>0</v>
      </c>
      <c r="AL206" s="43">
        <v>1</v>
      </c>
      <c r="AM206" s="43">
        <v>0</v>
      </c>
      <c r="AN206" s="43">
        <v>0</v>
      </c>
      <c r="AO206" s="43">
        <v>0</v>
      </c>
      <c r="AP206" s="43">
        <v>0</v>
      </c>
      <c r="AQ206" s="43">
        <v>0</v>
      </c>
      <c r="AR206" s="43">
        <v>0</v>
      </c>
      <c r="AS206" s="43">
        <v>0</v>
      </c>
      <c r="AT206" s="43">
        <v>0</v>
      </c>
      <c r="AU206" s="43">
        <v>0</v>
      </c>
      <c r="AV206" s="43">
        <v>0</v>
      </c>
      <c r="AW206" s="43">
        <v>0</v>
      </c>
      <c r="AX206" s="43">
        <v>0</v>
      </c>
      <c r="AY206" s="43">
        <v>0</v>
      </c>
      <c r="AZ206" s="43">
        <v>0</v>
      </c>
      <c r="BA206" s="43">
        <v>0</v>
      </c>
      <c r="BB206" s="43">
        <v>0</v>
      </c>
      <c r="BC206" s="43">
        <v>0</v>
      </c>
      <c r="BD206" s="43">
        <v>0</v>
      </c>
      <c r="BE206" s="43">
        <v>0</v>
      </c>
      <c r="BF206" s="43">
        <v>0</v>
      </c>
      <c r="BG206" s="43">
        <v>0</v>
      </c>
      <c r="BH206" s="43">
        <v>0</v>
      </c>
      <c r="BI206" s="43">
        <v>0</v>
      </c>
      <c r="BJ206" s="43" t="s">
        <v>2090</v>
      </c>
      <c r="BK206" s="43" t="s">
        <v>2090</v>
      </c>
      <c r="BL206" s="43" t="s">
        <v>2090</v>
      </c>
      <c r="BM206" s="43" t="s">
        <v>2090</v>
      </c>
      <c r="BN206" s="43" t="s">
        <v>2090</v>
      </c>
      <c r="BO206" s="43" t="s">
        <v>2090</v>
      </c>
      <c r="BP206" s="43" t="s">
        <v>2090</v>
      </c>
      <c r="BQ206" s="43" t="s">
        <v>2090</v>
      </c>
      <c r="BR206" s="43" t="s">
        <v>2090</v>
      </c>
      <c r="BS206" s="43" t="s">
        <v>2090</v>
      </c>
      <c r="BT206" s="43" t="s">
        <v>2090</v>
      </c>
      <c r="BU206" s="43" t="s">
        <v>2090</v>
      </c>
      <c r="BV206" s="43" t="s">
        <v>2090</v>
      </c>
      <c r="BW206" s="43" t="s">
        <v>2090</v>
      </c>
    </row>
    <row r="207" spans="1:75" ht="164.45" customHeight="1" x14ac:dyDescent="0.25">
      <c r="A207" s="38" t="s">
        <v>1085</v>
      </c>
      <c r="B207" s="38" t="s">
        <v>1783</v>
      </c>
      <c r="C207" s="39" t="s">
        <v>1086</v>
      </c>
      <c r="D207" s="40" t="s">
        <v>1087</v>
      </c>
      <c r="E207" s="41">
        <v>53281.615940000003</v>
      </c>
      <c r="F207" s="41">
        <v>2697390.7477099998</v>
      </c>
      <c r="G207" s="41">
        <v>89612.3</v>
      </c>
      <c r="H207" s="41">
        <v>75227.8</v>
      </c>
      <c r="I207" s="42">
        <v>1.1706191388029656</v>
      </c>
      <c r="J207" s="41">
        <v>38294.462359999998</v>
      </c>
      <c r="K207" s="41">
        <v>2134748.34871</v>
      </c>
      <c r="L207" s="41">
        <v>127978.6</v>
      </c>
      <c r="M207" s="41">
        <v>125748.7</v>
      </c>
      <c r="N207" s="42">
        <v>0.96002185237937276</v>
      </c>
      <c r="O207" s="41">
        <v>58846.992660000004</v>
      </c>
      <c r="P207" s="41">
        <v>2742606.75563</v>
      </c>
      <c r="Q207" s="41">
        <v>422167.4</v>
      </c>
      <c r="R207" s="41">
        <v>335957.7</v>
      </c>
      <c r="S207" s="42">
        <v>1.2291848185968703</v>
      </c>
      <c r="T207" s="41">
        <v>61539.673699999999</v>
      </c>
      <c r="U207" s="41">
        <v>2773011.8815199998</v>
      </c>
      <c r="V207" s="41">
        <v>115517.2</v>
      </c>
      <c r="W207" s="41">
        <v>78779.199999999997</v>
      </c>
      <c r="X207" s="42">
        <v>1.2014534369428831</v>
      </c>
      <c r="Y207" s="43">
        <v>2</v>
      </c>
      <c r="Z207" s="43" t="s">
        <v>2090</v>
      </c>
      <c r="AA207" s="43" t="s">
        <v>2090</v>
      </c>
      <c r="AB207" s="43" t="s">
        <v>2090</v>
      </c>
      <c r="AC207" s="43" t="s">
        <v>2090</v>
      </c>
      <c r="AD207" s="43">
        <v>0</v>
      </c>
      <c r="AE207" s="43">
        <v>1</v>
      </c>
      <c r="AF207" s="43">
        <v>0</v>
      </c>
      <c r="AG207" s="43">
        <v>0</v>
      </c>
      <c r="AH207" s="43">
        <v>0</v>
      </c>
      <c r="AI207" s="43">
        <v>0</v>
      </c>
      <c r="AJ207" s="43">
        <v>0</v>
      </c>
      <c r="AK207" s="43">
        <v>0</v>
      </c>
      <c r="AL207" s="43">
        <v>0</v>
      </c>
      <c r="AM207" s="43">
        <v>0</v>
      </c>
      <c r="AN207" s="43">
        <v>0</v>
      </c>
      <c r="AO207" s="43">
        <v>0</v>
      </c>
      <c r="AP207" s="43">
        <v>0</v>
      </c>
      <c r="AQ207" s="43">
        <v>0</v>
      </c>
      <c r="AR207" s="43">
        <v>0</v>
      </c>
      <c r="AS207" s="43">
        <v>1</v>
      </c>
      <c r="AT207" s="43">
        <v>0</v>
      </c>
      <c r="AU207" s="43">
        <v>0</v>
      </c>
      <c r="AV207" s="43">
        <v>0</v>
      </c>
      <c r="AW207" s="43">
        <v>0</v>
      </c>
      <c r="AX207" s="43">
        <v>0</v>
      </c>
      <c r="AY207" s="43">
        <v>0</v>
      </c>
      <c r="AZ207" s="43">
        <v>0</v>
      </c>
      <c r="BA207" s="43">
        <v>0</v>
      </c>
      <c r="BB207" s="43">
        <v>0</v>
      </c>
      <c r="BC207" s="43">
        <v>0</v>
      </c>
      <c r="BD207" s="43">
        <v>0</v>
      </c>
      <c r="BE207" s="43">
        <v>0</v>
      </c>
      <c r="BF207" s="43">
        <v>0</v>
      </c>
      <c r="BG207" s="43">
        <v>0</v>
      </c>
      <c r="BH207" s="43">
        <v>0</v>
      </c>
      <c r="BI207" s="43">
        <v>0</v>
      </c>
      <c r="BJ207" s="43" t="s">
        <v>2090</v>
      </c>
      <c r="BK207" s="43" t="s">
        <v>2090</v>
      </c>
      <c r="BL207" s="43" t="s">
        <v>2090</v>
      </c>
      <c r="BM207" s="43" t="s">
        <v>2090</v>
      </c>
      <c r="BN207" s="43" t="s">
        <v>2090</v>
      </c>
      <c r="BO207" s="43" t="s">
        <v>2090</v>
      </c>
      <c r="BP207" s="43" t="s">
        <v>2090</v>
      </c>
      <c r="BQ207" s="43" t="s">
        <v>2090</v>
      </c>
      <c r="BR207" s="43" t="s">
        <v>2090</v>
      </c>
      <c r="BS207" s="43" t="s">
        <v>2090</v>
      </c>
      <c r="BT207" s="43" t="s">
        <v>2090</v>
      </c>
      <c r="BU207" s="43" t="s">
        <v>2090</v>
      </c>
      <c r="BV207" s="43" t="s">
        <v>2090</v>
      </c>
      <c r="BW207" s="43" t="s">
        <v>2090</v>
      </c>
    </row>
    <row r="208" spans="1:75" ht="152.44999999999999" customHeight="1" x14ac:dyDescent="0.25">
      <c r="A208" s="38" t="s">
        <v>1088</v>
      </c>
      <c r="B208" s="38" t="s">
        <v>1784</v>
      </c>
      <c r="C208" s="39" t="s">
        <v>1089</v>
      </c>
      <c r="D208" s="40" t="s">
        <v>1090</v>
      </c>
      <c r="E208" s="41">
        <v>54184.148020000001</v>
      </c>
      <c r="F208" s="41">
        <v>2693874.58115</v>
      </c>
      <c r="G208" s="41">
        <v>459851</v>
      </c>
      <c r="H208" s="41">
        <v>376972.6</v>
      </c>
      <c r="I208" s="42">
        <v>1.2097465502943727</v>
      </c>
      <c r="J208" s="41">
        <v>1844.3478299999999</v>
      </c>
      <c r="K208" s="41">
        <v>317611.74976999999</v>
      </c>
      <c r="L208" s="41">
        <v>179704.6</v>
      </c>
      <c r="M208" s="41">
        <v>597447.4</v>
      </c>
      <c r="N208" s="42">
        <v>0.26920877796537407</v>
      </c>
      <c r="O208" s="41">
        <v>14455.18405</v>
      </c>
      <c r="P208" s="41">
        <v>1605651.87913</v>
      </c>
      <c r="Q208" s="41">
        <v>217313</v>
      </c>
      <c r="R208" s="41">
        <v>288846.5</v>
      </c>
      <c r="S208" s="42">
        <v>0.72376143438341389</v>
      </c>
      <c r="T208" s="41">
        <v>19595.424429999999</v>
      </c>
      <c r="U208" s="41">
        <v>1675290.3713700001</v>
      </c>
      <c r="V208" s="41">
        <v>386696.9</v>
      </c>
      <c r="W208" s="41">
        <v>515792.3</v>
      </c>
      <c r="X208" s="42">
        <v>0.69992587333970835</v>
      </c>
      <c r="Y208" s="43">
        <v>2</v>
      </c>
      <c r="Z208" s="43" t="s">
        <v>2090</v>
      </c>
      <c r="AA208" s="43" t="s">
        <v>2090</v>
      </c>
      <c r="AB208" s="43" t="s">
        <v>2090</v>
      </c>
      <c r="AC208" s="43" t="s">
        <v>2090</v>
      </c>
      <c r="AD208" s="43">
        <v>0</v>
      </c>
      <c r="AE208" s="43">
        <v>1</v>
      </c>
      <c r="AF208" s="43">
        <v>0</v>
      </c>
      <c r="AG208" s="43">
        <v>0</v>
      </c>
      <c r="AH208" s="43">
        <v>0</v>
      </c>
      <c r="AI208" s="43">
        <v>0</v>
      </c>
      <c r="AJ208" s="43">
        <v>0</v>
      </c>
      <c r="AK208" s="43">
        <v>0</v>
      </c>
      <c r="AL208" s="43">
        <v>0</v>
      </c>
      <c r="AM208" s="43">
        <v>0</v>
      </c>
      <c r="AN208" s="43">
        <v>0</v>
      </c>
      <c r="AO208" s="43">
        <v>0</v>
      </c>
      <c r="AP208" s="43">
        <v>0</v>
      </c>
      <c r="AQ208" s="43">
        <v>0</v>
      </c>
      <c r="AR208" s="43">
        <v>0</v>
      </c>
      <c r="AS208" s="43">
        <v>0</v>
      </c>
      <c r="AT208" s="43">
        <v>0</v>
      </c>
      <c r="AU208" s="43">
        <v>0</v>
      </c>
      <c r="AV208" s="43">
        <v>0</v>
      </c>
      <c r="AW208" s="43">
        <v>1</v>
      </c>
      <c r="AX208" s="43">
        <v>0</v>
      </c>
      <c r="AY208" s="43">
        <v>0</v>
      </c>
      <c r="AZ208" s="43">
        <v>0</v>
      </c>
      <c r="BA208" s="43">
        <v>0</v>
      </c>
      <c r="BB208" s="43">
        <v>0</v>
      </c>
      <c r="BC208" s="43">
        <v>0</v>
      </c>
      <c r="BD208" s="43">
        <v>0</v>
      </c>
      <c r="BE208" s="43">
        <v>0</v>
      </c>
      <c r="BF208" s="43">
        <v>0</v>
      </c>
      <c r="BG208" s="43">
        <v>0</v>
      </c>
      <c r="BH208" s="43">
        <v>0</v>
      </c>
      <c r="BI208" s="43">
        <v>0</v>
      </c>
      <c r="BJ208" s="43" t="s">
        <v>2090</v>
      </c>
      <c r="BK208" s="43" t="s">
        <v>2090</v>
      </c>
      <c r="BL208" s="43" t="s">
        <v>2090</v>
      </c>
      <c r="BM208" s="43" t="s">
        <v>2090</v>
      </c>
      <c r="BN208" s="43" t="s">
        <v>2090</v>
      </c>
      <c r="BO208" s="43" t="s">
        <v>2090</v>
      </c>
      <c r="BP208" s="43" t="s">
        <v>2090</v>
      </c>
      <c r="BQ208" s="43" t="s">
        <v>2090</v>
      </c>
      <c r="BR208" s="43" t="s">
        <v>2090</v>
      </c>
      <c r="BS208" s="43" t="s">
        <v>2090</v>
      </c>
      <c r="BT208" s="43" t="s">
        <v>2090</v>
      </c>
      <c r="BU208" s="43" t="s">
        <v>2090</v>
      </c>
      <c r="BV208" s="43" t="s">
        <v>2090</v>
      </c>
      <c r="BW208" s="43" t="s">
        <v>2090</v>
      </c>
    </row>
    <row r="209" spans="1:75" ht="125.45" customHeight="1" x14ac:dyDescent="0.25">
      <c r="A209" s="38" t="s">
        <v>1091</v>
      </c>
      <c r="B209" s="38" t="s">
        <v>1785</v>
      </c>
      <c r="C209" s="39" t="s">
        <v>1092</v>
      </c>
      <c r="D209" s="40" t="s">
        <v>1093</v>
      </c>
      <c r="E209" s="41">
        <v>79510.736139999994</v>
      </c>
      <c r="F209" s="41">
        <v>3186040.36002</v>
      </c>
      <c r="G209" s="41">
        <v>282636.59999999998</v>
      </c>
      <c r="H209" s="41">
        <v>201294.5</v>
      </c>
      <c r="I209" s="42">
        <v>1.377103621874552</v>
      </c>
      <c r="J209" s="41">
        <v>95511.274179999993</v>
      </c>
      <c r="K209" s="41">
        <v>3147469.2408799999</v>
      </c>
      <c r="L209" s="41">
        <v>149780.70000000001</v>
      </c>
      <c r="M209" s="41">
        <v>102130.9</v>
      </c>
      <c r="N209" s="42">
        <v>1.422435774078707</v>
      </c>
      <c r="O209" s="41">
        <v>14662.791310000001</v>
      </c>
      <c r="P209" s="41">
        <v>1705964.0729199999</v>
      </c>
      <c r="Q209" s="41">
        <v>316823.7</v>
      </c>
      <c r="R209" s="41">
        <v>436847.4</v>
      </c>
      <c r="S209" s="42">
        <v>0.68911994181433489</v>
      </c>
      <c r="T209" s="41">
        <v>107860.11436000001</v>
      </c>
      <c r="U209" s="41">
        <v>3524425.5592200002</v>
      </c>
      <c r="V209" s="41">
        <v>277885.8</v>
      </c>
      <c r="W209" s="41">
        <v>186917</v>
      </c>
      <c r="X209" s="42">
        <v>1.4147794226546551</v>
      </c>
      <c r="Y209" s="43">
        <v>2</v>
      </c>
      <c r="Z209" s="43" t="s">
        <v>2090</v>
      </c>
      <c r="AA209" s="43" t="s">
        <v>2090</v>
      </c>
      <c r="AB209" s="43" t="s">
        <v>2090</v>
      </c>
      <c r="AC209" s="43" t="s">
        <v>2090</v>
      </c>
      <c r="AD209" s="43">
        <v>0</v>
      </c>
      <c r="AE209" s="43">
        <v>1</v>
      </c>
      <c r="AF209" s="43">
        <v>0</v>
      </c>
      <c r="AG209" s="43">
        <v>0</v>
      </c>
      <c r="AH209" s="43">
        <v>0</v>
      </c>
      <c r="AI209" s="43">
        <v>0</v>
      </c>
      <c r="AJ209" s="43">
        <v>0</v>
      </c>
      <c r="AK209" s="43">
        <v>0</v>
      </c>
      <c r="AL209" s="43">
        <v>0</v>
      </c>
      <c r="AM209" s="43">
        <v>1</v>
      </c>
      <c r="AN209" s="43">
        <v>0</v>
      </c>
      <c r="AO209" s="43">
        <v>0</v>
      </c>
      <c r="AP209" s="43">
        <v>0</v>
      </c>
      <c r="AQ209" s="43">
        <v>0</v>
      </c>
      <c r="AR209" s="43">
        <v>0</v>
      </c>
      <c r="AS209" s="43">
        <v>0</v>
      </c>
      <c r="AT209" s="43">
        <v>0</v>
      </c>
      <c r="AU209" s="43">
        <v>0</v>
      </c>
      <c r="AV209" s="43">
        <v>0</v>
      </c>
      <c r="AW209" s="43">
        <v>0</v>
      </c>
      <c r="AX209" s="43">
        <v>0</v>
      </c>
      <c r="AY209" s="43">
        <v>0</v>
      </c>
      <c r="AZ209" s="43">
        <v>0</v>
      </c>
      <c r="BA209" s="43">
        <v>0</v>
      </c>
      <c r="BB209" s="43">
        <v>0</v>
      </c>
      <c r="BC209" s="43">
        <v>0</v>
      </c>
      <c r="BD209" s="43">
        <v>0</v>
      </c>
      <c r="BE209" s="43">
        <v>0</v>
      </c>
      <c r="BF209" s="43">
        <v>0</v>
      </c>
      <c r="BG209" s="43">
        <v>0</v>
      </c>
      <c r="BH209" s="43">
        <v>0</v>
      </c>
      <c r="BI209" s="43">
        <v>0</v>
      </c>
      <c r="BJ209" s="43" t="s">
        <v>2090</v>
      </c>
      <c r="BK209" s="43" t="s">
        <v>2090</v>
      </c>
      <c r="BL209" s="43" t="s">
        <v>2090</v>
      </c>
      <c r="BM209" s="43" t="s">
        <v>2090</v>
      </c>
      <c r="BN209" s="43" t="s">
        <v>2090</v>
      </c>
      <c r="BO209" s="43" t="s">
        <v>2090</v>
      </c>
      <c r="BP209" s="43" t="s">
        <v>2090</v>
      </c>
      <c r="BQ209" s="43" t="s">
        <v>2090</v>
      </c>
      <c r="BR209" s="43" t="s">
        <v>2090</v>
      </c>
      <c r="BS209" s="43" t="s">
        <v>2090</v>
      </c>
      <c r="BT209" s="43" t="s">
        <v>2090</v>
      </c>
      <c r="BU209" s="43" t="s">
        <v>2090</v>
      </c>
      <c r="BV209" s="43" t="s">
        <v>2090</v>
      </c>
      <c r="BW209" s="43" t="s">
        <v>2090</v>
      </c>
    </row>
    <row r="210" spans="1:75" ht="265.7" customHeight="1" x14ac:dyDescent="0.25">
      <c r="A210" s="38" t="s">
        <v>1094</v>
      </c>
      <c r="B210" s="38" t="s">
        <v>1786</v>
      </c>
      <c r="C210" s="39" t="s">
        <v>1095</v>
      </c>
      <c r="D210" s="40" t="s">
        <v>1096</v>
      </c>
      <c r="E210" s="41">
        <v>119893.32205</v>
      </c>
      <c r="F210" s="41">
        <v>2679876.93389</v>
      </c>
      <c r="G210" s="41">
        <v>47140.800000000003</v>
      </c>
      <c r="H210" s="41">
        <v>42117.5</v>
      </c>
      <c r="I210" s="42">
        <v>1.076769720593924</v>
      </c>
      <c r="J210" s="41">
        <v>57202.334739999998</v>
      </c>
      <c r="K210" s="41">
        <v>2582509.3040499999</v>
      </c>
      <c r="L210" s="41">
        <v>106649.7</v>
      </c>
      <c r="M210" s="41">
        <v>77844.899999999994</v>
      </c>
      <c r="N210" s="42">
        <v>1.1319386996817207</v>
      </c>
      <c r="O210" s="41">
        <v>77989.119229999997</v>
      </c>
      <c r="P210" s="41">
        <v>2976593.6474899999</v>
      </c>
      <c r="Q210" s="41">
        <v>11289.1</v>
      </c>
      <c r="R210" s="41">
        <v>6792.6</v>
      </c>
      <c r="S210" s="42">
        <v>1.5796616471463099</v>
      </c>
      <c r="T210" s="41">
        <v>134131.97414999999</v>
      </c>
      <c r="U210" s="41">
        <v>2877494.5916499998</v>
      </c>
      <c r="V210" s="41">
        <v>106086.6</v>
      </c>
      <c r="W210" s="41">
        <v>65591</v>
      </c>
      <c r="X210" s="42">
        <v>1.4486194239010541</v>
      </c>
      <c r="Y210" s="43">
        <v>2</v>
      </c>
      <c r="Z210" s="43" t="s">
        <v>2090</v>
      </c>
      <c r="AA210" s="43" t="s">
        <v>2090</v>
      </c>
      <c r="AB210" s="43" t="s">
        <v>2090</v>
      </c>
      <c r="AC210" s="43" t="s">
        <v>2090</v>
      </c>
      <c r="AD210" s="43">
        <v>0</v>
      </c>
      <c r="AE210" s="43">
        <v>2</v>
      </c>
      <c r="AF210" s="43">
        <v>0</v>
      </c>
      <c r="AG210" s="43">
        <v>0</v>
      </c>
      <c r="AH210" s="43">
        <v>0</v>
      </c>
      <c r="AI210" s="43">
        <v>0</v>
      </c>
      <c r="AJ210" s="43">
        <v>0</v>
      </c>
      <c r="AK210" s="43">
        <v>0</v>
      </c>
      <c r="AL210" s="43">
        <v>0</v>
      </c>
      <c r="AM210" s="43">
        <v>0</v>
      </c>
      <c r="AN210" s="43">
        <v>0</v>
      </c>
      <c r="AO210" s="43">
        <v>0</v>
      </c>
      <c r="AP210" s="43">
        <v>0</v>
      </c>
      <c r="AQ210" s="43">
        <v>0</v>
      </c>
      <c r="AR210" s="43">
        <v>0</v>
      </c>
      <c r="AS210" s="43">
        <v>0</v>
      </c>
      <c r="AT210" s="43">
        <v>0</v>
      </c>
      <c r="AU210" s="43">
        <v>0</v>
      </c>
      <c r="AV210" s="43">
        <v>0</v>
      </c>
      <c r="AW210" s="43">
        <v>0</v>
      </c>
      <c r="AX210" s="43">
        <v>0</v>
      </c>
      <c r="AY210" s="43">
        <v>0</v>
      </c>
      <c r="AZ210" s="43">
        <v>0</v>
      </c>
      <c r="BA210" s="43">
        <v>0</v>
      </c>
      <c r="BB210" s="43">
        <v>0</v>
      </c>
      <c r="BC210" s="43">
        <v>0</v>
      </c>
      <c r="BD210" s="43">
        <v>0</v>
      </c>
      <c r="BE210" s="43">
        <v>0</v>
      </c>
      <c r="BF210" s="43">
        <v>0</v>
      </c>
      <c r="BG210" s="43">
        <v>0</v>
      </c>
      <c r="BH210" s="43">
        <v>0</v>
      </c>
      <c r="BI210" s="43">
        <v>0</v>
      </c>
      <c r="BJ210" s="43" t="s">
        <v>2090</v>
      </c>
      <c r="BK210" s="43" t="s">
        <v>2090</v>
      </c>
      <c r="BL210" s="43" t="s">
        <v>2090</v>
      </c>
      <c r="BM210" s="43" t="s">
        <v>2090</v>
      </c>
      <c r="BN210" s="43" t="s">
        <v>2090</v>
      </c>
      <c r="BO210" s="43" t="s">
        <v>2090</v>
      </c>
      <c r="BP210" s="43" t="s">
        <v>2090</v>
      </c>
      <c r="BQ210" s="43" t="s">
        <v>2090</v>
      </c>
      <c r="BR210" s="43" t="s">
        <v>2090</v>
      </c>
      <c r="BS210" s="43" t="s">
        <v>2090</v>
      </c>
      <c r="BT210" s="43" t="s">
        <v>2090</v>
      </c>
      <c r="BU210" s="43" t="s">
        <v>2090</v>
      </c>
      <c r="BV210" s="43" t="s">
        <v>2090</v>
      </c>
      <c r="BW210" s="43" t="s">
        <v>2090</v>
      </c>
    </row>
    <row r="211" spans="1:75" ht="131.44999999999999" customHeight="1" x14ac:dyDescent="0.25">
      <c r="A211" s="38" t="s">
        <v>1097</v>
      </c>
      <c r="B211" s="38" t="s">
        <v>1787</v>
      </c>
      <c r="C211" s="39" t="s">
        <v>1098</v>
      </c>
      <c r="D211" s="40" t="s">
        <v>1099</v>
      </c>
      <c r="E211" s="41">
        <v>53900.735500000003</v>
      </c>
      <c r="F211" s="41">
        <v>2653391.6749900002</v>
      </c>
      <c r="G211" s="41">
        <v>357132.2</v>
      </c>
      <c r="H211" s="41">
        <v>302719.8</v>
      </c>
      <c r="I211" s="42">
        <v>1.1274380801848567</v>
      </c>
      <c r="J211" s="41">
        <v>11396.61384</v>
      </c>
      <c r="K211" s="41">
        <v>1149996.5974600001</v>
      </c>
      <c r="L211" s="41">
        <v>318189.09999999998</v>
      </c>
      <c r="M211" s="41">
        <v>534694.1</v>
      </c>
      <c r="N211" s="42">
        <v>0.54855372576017358</v>
      </c>
      <c r="O211" s="41">
        <v>11843.507170000001</v>
      </c>
      <c r="P211" s="41">
        <v>1328255.55498</v>
      </c>
      <c r="Q211" s="41">
        <v>163460.5</v>
      </c>
      <c r="R211" s="41">
        <v>286120</v>
      </c>
      <c r="S211" s="42">
        <v>0.54896068229079842</v>
      </c>
      <c r="T211" s="41">
        <v>24532.327969999998</v>
      </c>
      <c r="U211" s="41">
        <v>1944226.8315399999</v>
      </c>
      <c r="V211" s="41">
        <v>174936</v>
      </c>
      <c r="W211" s="41">
        <v>194732.9</v>
      </c>
      <c r="X211" s="42">
        <v>0.86017277028655514</v>
      </c>
      <c r="Y211" s="43">
        <v>2</v>
      </c>
      <c r="Z211" s="43" t="s">
        <v>2090</v>
      </c>
      <c r="AA211" s="43" t="s">
        <v>2090</v>
      </c>
      <c r="AB211" s="43" t="s">
        <v>2090</v>
      </c>
      <c r="AC211" s="43" t="s">
        <v>2090</v>
      </c>
      <c r="AD211" s="43">
        <v>0</v>
      </c>
      <c r="AE211" s="43">
        <v>1</v>
      </c>
      <c r="AF211" s="43">
        <v>0</v>
      </c>
      <c r="AG211" s="43">
        <v>0</v>
      </c>
      <c r="AH211" s="43">
        <v>0</v>
      </c>
      <c r="AI211" s="43">
        <v>0</v>
      </c>
      <c r="AJ211" s="43">
        <v>0</v>
      </c>
      <c r="AK211" s="43">
        <v>0</v>
      </c>
      <c r="AL211" s="43">
        <v>0</v>
      </c>
      <c r="AM211" s="43">
        <v>0</v>
      </c>
      <c r="AN211" s="43">
        <v>0</v>
      </c>
      <c r="AO211" s="43">
        <v>0</v>
      </c>
      <c r="AP211" s="43">
        <v>0</v>
      </c>
      <c r="AQ211" s="43">
        <v>0</v>
      </c>
      <c r="AR211" s="43">
        <v>1</v>
      </c>
      <c r="AS211" s="43">
        <v>0</v>
      </c>
      <c r="AT211" s="43">
        <v>0</v>
      </c>
      <c r="AU211" s="43">
        <v>0</v>
      </c>
      <c r="AV211" s="43">
        <v>0</v>
      </c>
      <c r="AW211" s="43">
        <v>0</v>
      </c>
      <c r="AX211" s="43">
        <v>0</v>
      </c>
      <c r="AY211" s="43">
        <v>0</v>
      </c>
      <c r="AZ211" s="43">
        <v>0</v>
      </c>
      <c r="BA211" s="43">
        <v>0</v>
      </c>
      <c r="BB211" s="43">
        <v>0</v>
      </c>
      <c r="BC211" s="43">
        <v>0</v>
      </c>
      <c r="BD211" s="43">
        <v>0</v>
      </c>
      <c r="BE211" s="43">
        <v>0</v>
      </c>
      <c r="BF211" s="43">
        <v>0</v>
      </c>
      <c r="BG211" s="43">
        <v>0</v>
      </c>
      <c r="BH211" s="43">
        <v>0</v>
      </c>
      <c r="BI211" s="43">
        <v>0</v>
      </c>
      <c r="BJ211" s="43" t="s">
        <v>2090</v>
      </c>
      <c r="BK211" s="43" t="s">
        <v>2090</v>
      </c>
      <c r="BL211" s="43" t="s">
        <v>2090</v>
      </c>
      <c r="BM211" s="43" t="s">
        <v>2090</v>
      </c>
      <c r="BN211" s="43" t="s">
        <v>2090</v>
      </c>
      <c r="BO211" s="43" t="s">
        <v>2090</v>
      </c>
      <c r="BP211" s="43" t="s">
        <v>2090</v>
      </c>
      <c r="BQ211" s="43" t="s">
        <v>2090</v>
      </c>
      <c r="BR211" s="43" t="s">
        <v>2090</v>
      </c>
      <c r="BS211" s="43" t="s">
        <v>2090</v>
      </c>
      <c r="BT211" s="43" t="s">
        <v>2090</v>
      </c>
      <c r="BU211" s="43" t="s">
        <v>2090</v>
      </c>
      <c r="BV211" s="43" t="s">
        <v>2090</v>
      </c>
      <c r="BW211" s="43" t="s">
        <v>2090</v>
      </c>
    </row>
    <row r="212" spans="1:75" ht="111.2" customHeight="1" x14ac:dyDescent="0.25">
      <c r="A212" s="38" t="s">
        <v>1100</v>
      </c>
      <c r="B212" s="38" t="s">
        <v>1788</v>
      </c>
      <c r="C212" s="39" t="s">
        <v>1101</v>
      </c>
      <c r="D212" s="40" t="s">
        <v>1102</v>
      </c>
      <c r="E212" s="41">
        <v>56162.577700000002</v>
      </c>
      <c r="F212" s="41">
        <v>2809748.42056</v>
      </c>
      <c r="G212" s="41">
        <v>480780.1</v>
      </c>
      <c r="H212" s="41">
        <v>399232.7</v>
      </c>
      <c r="I212" s="42">
        <v>1.146161516637187</v>
      </c>
      <c r="J212" s="41">
        <v>58279.395839999997</v>
      </c>
      <c r="K212" s="41">
        <v>2552894.5352099999</v>
      </c>
      <c r="L212" s="41">
        <v>340307.3</v>
      </c>
      <c r="M212" s="41">
        <v>257877.8</v>
      </c>
      <c r="N212" s="42">
        <v>1.0882067215661519</v>
      </c>
      <c r="O212" s="41">
        <v>65371.560270000002</v>
      </c>
      <c r="P212" s="41">
        <v>2939929.0707100001</v>
      </c>
      <c r="Q212" s="41">
        <v>181019.7</v>
      </c>
      <c r="R212" s="41">
        <v>116852.5</v>
      </c>
      <c r="S212" s="42">
        <v>1.5093912334177648</v>
      </c>
      <c r="T212" s="41">
        <v>43027.173340000001</v>
      </c>
      <c r="U212" s="41">
        <v>2352109.0615900001</v>
      </c>
      <c r="V212" s="41">
        <v>185736.2</v>
      </c>
      <c r="W212" s="41">
        <v>155987.9</v>
      </c>
      <c r="X212" s="42">
        <v>1.0964040250617049</v>
      </c>
      <c r="Y212" s="43">
        <v>2</v>
      </c>
      <c r="Z212" s="43" t="s">
        <v>2090</v>
      </c>
      <c r="AA212" s="43" t="s">
        <v>2090</v>
      </c>
      <c r="AB212" s="43" t="s">
        <v>2090</v>
      </c>
      <c r="AC212" s="43" t="s">
        <v>2090</v>
      </c>
      <c r="AD212" s="43">
        <v>0</v>
      </c>
      <c r="AE212" s="43">
        <v>0</v>
      </c>
      <c r="AF212" s="43">
        <v>0</v>
      </c>
      <c r="AG212" s="43">
        <v>1</v>
      </c>
      <c r="AH212" s="43">
        <v>0</v>
      </c>
      <c r="AI212" s="43">
        <v>0</v>
      </c>
      <c r="AJ212" s="43">
        <v>0</v>
      </c>
      <c r="AK212" s="43">
        <v>1</v>
      </c>
      <c r="AL212" s="43">
        <v>0</v>
      </c>
      <c r="AM212" s="43">
        <v>0</v>
      </c>
      <c r="AN212" s="43">
        <v>0</v>
      </c>
      <c r="AO212" s="43">
        <v>0</v>
      </c>
      <c r="AP212" s="43">
        <v>0</v>
      </c>
      <c r="AQ212" s="43">
        <v>0</v>
      </c>
      <c r="AR212" s="43">
        <v>0</v>
      </c>
      <c r="AS212" s="43">
        <v>0</v>
      </c>
      <c r="AT212" s="43">
        <v>0</v>
      </c>
      <c r="AU212" s="43">
        <v>0</v>
      </c>
      <c r="AV212" s="43">
        <v>0</v>
      </c>
      <c r="AW212" s="43">
        <v>0</v>
      </c>
      <c r="AX212" s="43">
        <v>0</v>
      </c>
      <c r="AY212" s="43">
        <v>0</v>
      </c>
      <c r="AZ212" s="43">
        <v>0</v>
      </c>
      <c r="BA212" s="43">
        <v>0</v>
      </c>
      <c r="BB212" s="43">
        <v>0</v>
      </c>
      <c r="BC212" s="43">
        <v>0</v>
      </c>
      <c r="BD212" s="43">
        <v>0</v>
      </c>
      <c r="BE212" s="43">
        <v>0</v>
      </c>
      <c r="BF212" s="43">
        <v>0</v>
      </c>
      <c r="BG212" s="43">
        <v>0</v>
      </c>
      <c r="BH212" s="43">
        <v>0</v>
      </c>
      <c r="BI212" s="43">
        <v>0</v>
      </c>
      <c r="BJ212" s="43" t="s">
        <v>2090</v>
      </c>
      <c r="BK212" s="43" t="s">
        <v>2091</v>
      </c>
      <c r="BL212" s="43" t="s">
        <v>2090</v>
      </c>
      <c r="BM212" s="43" t="s">
        <v>2090</v>
      </c>
      <c r="BN212" s="43" t="s">
        <v>2090</v>
      </c>
      <c r="BO212" s="43" t="s">
        <v>2090</v>
      </c>
      <c r="BP212" s="43" t="s">
        <v>2090</v>
      </c>
      <c r="BQ212" s="43" t="s">
        <v>2090</v>
      </c>
      <c r="BR212" s="43" t="s">
        <v>2090</v>
      </c>
      <c r="BS212" s="43" t="s">
        <v>2090</v>
      </c>
      <c r="BT212" s="43" t="s">
        <v>2090</v>
      </c>
      <c r="BU212" s="43" t="s">
        <v>2090</v>
      </c>
      <c r="BV212" s="43" t="s">
        <v>2090</v>
      </c>
      <c r="BW212" s="43" t="s">
        <v>2090</v>
      </c>
    </row>
    <row r="213" spans="1:75" ht="114.95" customHeight="1" x14ac:dyDescent="0.25">
      <c r="A213" s="38" t="s">
        <v>1103</v>
      </c>
      <c r="B213" s="38" t="s">
        <v>1789</v>
      </c>
      <c r="C213" s="39" t="s">
        <v>1104</v>
      </c>
      <c r="D213" s="40" t="s">
        <v>1105</v>
      </c>
      <c r="E213" s="41">
        <v>60420.29363</v>
      </c>
      <c r="F213" s="41">
        <v>2777807.3477099999</v>
      </c>
      <c r="G213" s="41">
        <v>370078.5</v>
      </c>
      <c r="H213" s="41">
        <v>343071.2</v>
      </c>
      <c r="I213" s="42">
        <v>1.0564871170984751</v>
      </c>
      <c r="J213" s="41">
        <v>47078.318200000002</v>
      </c>
      <c r="K213" s="41">
        <v>2331558.1763900002</v>
      </c>
      <c r="L213" s="41">
        <v>249022.9</v>
      </c>
      <c r="M213" s="41">
        <v>227070.9</v>
      </c>
      <c r="N213" s="42">
        <v>1.020033030120324</v>
      </c>
      <c r="O213" s="41">
        <v>2668.3554300000001</v>
      </c>
      <c r="P213" s="41">
        <v>340474.53609000001</v>
      </c>
      <c r="Q213" s="41">
        <v>21284.400000000001</v>
      </c>
      <c r="R213" s="41">
        <v>104921.8</v>
      </c>
      <c r="S213" s="42">
        <v>0.19399791034630345</v>
      </c>
      <c r="T213" s="41">
        <v>50936.257550000002</v>
      </c>
      <c r="U213" s="41">
        <v>2591159.81758</v>
      </c>
      <c r="V213" s="41">
        <v>69041.7</v>
      </c>
      <c r="W213" s="41">
        <v>50971.6</v>
      </c>
      <c r="X213" s="42">
        <v>1.0710053208642372</v>
      </c>
      <c r="Y213" s="43">
        <v>2</v>
      </c>
      <c r="Z213" s="43" t="s">
        <v>2090</v>
      </c>
      <c r="AA213" s="43" t="s">
        <v>2090</v>
      </c>
      <c r="AB213" s="43" t="s">
        <v>2090</v>
      </c>
      <c r="AC213" s="43" t="s">
        <v>2090</v>
      </c>
      <c r="AD213" s="43">
        <v>0</v>
      </c>
      <c r="AE213" s="43">
        <v>0</v>
      </c>
      <c r="AF213" s="43">
        <v>0</v>
      </c>
      <c r="AG213" s="43">
        <v>0</v>
      </c>
      <c r="AH213" s="43">
        <v>1</v>
      </c>
      <c r="AI213" s="43">
        <v>0</v>
      </c>
      <c r="AJ213" s="43">
        <v>0</v>
      </c>
      <c r="AK213" s="43">
        <v>0</v>
      </c>
      <c r="AL213" s="43">
        <v>1</v>
      </c>
      <c r="AM213" s="43">
        <v>0</v>
      </c>
      <c r="AN213" s="43">
        <v>0</v>
      </c>
      <c r="AO213" s="43">
        <v>0</v>
      </c>
      <c r="AP213" s="43">
        <v>0</v>
      </c>
      <c r="AQ213" s="43">
        <v>0</v>
      </c>
      <c r="AR213" s="43">
        <v>0</v>
      </c>
      <c r="AS213" s="43">
        <v>0</v>
      </c>
      <c r="AT213" s="43">
        <v>0</v>
      </c>
      <c r="AU213" s="43">
        <v>0</v>
      </c>
      <c r="AV213" s="43">
        <v>0</v>
      </c>
      <c r="AW213" s="43">
        <v>0</v>
      </c>
      <c r="AX213" s="43">
        <v>0</v>
      </c>
      <c r="AY213" s="43">
        <v>0</v>
      </c>
      <c r="AZ213" s="43">
        <v>0</v>
      </c>
      <c r="BA213" s="43">
        <v>0</v>
      </c>
      <c r="BB213" s="43">
        <v>0</v>
      </c>
      <c r="BC213" s="43">
        <v>0</v>
      </c>
      <c r="BD213" s="43">
        <v>0</v>
      </c>
      <c r="BE213" s="43">
        <v>0</v>
      </c>
      <c r="BF213" s="43">
        <v>0</v>
      </c>
      <c r="BG213" s="43">
        <v>0</v>
      </c>
      <c r="BH213" s="43">
        <v>0</v>
      </c>
      <c r="BI213" s="43">
        <v>0</v>
      </c>
      <c r="BJ213" s="43" t="s">
        <v>2090</v>
      </c>
      <c r="BK213" s="43" t="s">
        <v>2090</v>
      </c>
      <c r="BL213" s="43" t="s">
        <v>2090</v>
      </c>
      <c r="BM213" s="43" t="s">
        <v>2090</v>
      </c>
      <c r="BN213" s="43" t="s">
        <v>2090</v>
      </c>
      <c r="BO213" s="43" t="s">
        <v>2090</v>
      </c>
      <c r="BP213" s="43" t="s">
        <v>2090</v>
      </c>
      <c r="BQ213" s="43" t="s">
        <v>2090</v>
      </c>
      <c r="BR213" s="43" t="s">
        <v>2090</v>
      </c>
      <c r="BS213" s="43" t="s">
        <v>2090</v>
      </c>
      <c r="BT213" s="43" t="s">
        <v>2090</v>
      </c>
      <c r="BU213" s="43" t="s">
        <v>2090</v>
      </c>
      <c r="BV213" s="43" t="s">
        <v>2090</v>
      </c>
      <c r="BW213" s="43" t="s">
        <v>2090</v>
      </c>
    </row>
    <row r="214" spans="1:75" ht="183.2" customHeight="1" x14ac:dyDescent="0.25">
      <c r="A214" s="38" t="s">
        <v>1106</v>
      </c>
      <c r="B214" s="38" t="s">
        <v>1790</v>
      </c>
      <c r="C214" s="39" t="s">
        <v>1107</v>
      </c>
      <c r="D214" s="40" t="s">
        <v>1108</v>
      </c>
      <c r="E214" s="41">
        <v>49062.77246</v>
      </c>
      <c r="F214" s="41">
        <v>2607310.6651300001</v>
      </c>
      <c r="G214" s="41">
        <v>416017.6</v>
      </c>
      <c r="H214" s="41">
        <v>373101.2</v>
      </c>
      <c r="I214" s="42">
        <v>1.0861846384134444</v>
      </c>
      <c r="J214" s="41">
        <v>21178.8122</v>
      </c>
      <c r="K214" s="41">
        <v>1592287.4421399999</v>
      </c>
      <c r="L214" s="41">
        <v>190754.1</v>
      </c>
      <c r="M214" s="41">
        <v>264903.59999999998</v>
      </c>
      <c r="N214" s="42">
        <v>0.63411280426779915</v>
      </c>
      <c r="O214" s="41">
        <v>0</v>
      </c>
      <c r="P214" s="41">
        <v>18401.528780000001</v>
      </c>
      <c r="Q214" s="41">
        <v>171016.7</v>
      </c>
      <c r="R214" s="41">
        <v>618685.9</v>
      </c>
      <c r="S214" s="42">
        <v>0.23985410104665059</v>
      </c>
      <c r="T214" s="41">
        <v>17182.05672</v>
      </c>
      <c r="U214" s="41">
        <v>1501764.3364500001</v>
      </c>
      <c r="V214" s="41">
        <v>233108.6</v>
      </c>
      <c r="W214" s="41">
        <v>352867.1</v>
      </c>
      <c r="X214" s="42">
        <v>0.57416117712245274</v>
      </c>
      <c r="Y214" s="43">
        <v>2</v>
      </c>
      <c r="Z214" s="43" t="s">
        <v>2090</v>
      </c>
      <c r="AA214" s="43" t="s">
        <v>2090</v>
      </c>
      <c r="AB214" s="43" t="s">
        <v>2090</v>
      </c>
      <c r="AC214" s="43" t="s">
        <v>2090</v>
      </c>
      <c r="AD214" s="43">
        <v>0</v>
      </c>
      <c r="AE214" s="43">
        <v>0</v>
      </c>
      <c r="AF214" s="43">
        <v>0</v>
      </c>
      <c r="AG214" s="43">
        <v>0</v>
      </c>
      <c r="AH214" s="43">
        <v>0</v>
      </c>
      <c r="AI214" s="43">
        <v>1</v>
      </c>
      <c r="AJ214" s="43">
        <v>0</v>
      </c>
      <c r="AK214" s="43">
        <v>0</v>
      </c>
      <c r="AL214" s="43">
        <v>0</v>
      </c>
      <c r="AM214" s="43">
        <v>0</v>
      </c>
      <c r="AN214" s="43">
        <v>0</v>
      </c>
      <c r="AO214" s="43">
        <v>0</v>
      </c>
      <c r="AP214" s="43">
        <v>0</v>
      </c>
      <c r="AQ214" s="43">
        <v>0</v>
      </c>
      <c r="AR214" s="43">
        <v>0</v>
      </c>
      <c r="AS214" s="43">
        <v>0</v>
      </c>
      <c r="AT214" s="43">
        <v>0</v>
      </c>
      <c r="AU214" s="43">
        <v>0</v>
      </c>
      <c r="AV214" s="43">
        <v>0</v>
      </c>
      <c r="AW214" s="43">
        <v>0</v>
      </c>
      <c r="AX214" s="43">
        <v>0</v>
      </c>
      <c r="AY214" s="43">
        <v>0</v>
      </c>
      <c r="AZ214" s="43">
        <v>0</v>
      </c>
      <c r="BA214" s="43">
        <v>0</v>
      </c>
      <c r="BB214" s="43">
        <v>0</v>
      </c>
      <c r="BC214" s="43">
        <v>0</v>
      </c>
      <c r="BD214" s="43">
        <v>1</v>
      </c>
      <c r="BE214" s="43">
        <v>0</v>
      </c>
      <c r="BF214" s="43">
        <v>0</v>
      </c>
      <c r="BG214" s="43">
        <v>0</v>
      </c>
      <c r="BH214" s="43">
        <v>0</v>
      </c>
      <c r="BI214" s="43">
        <v>0</v>
      </c>
      <c r="BJ214" s="43" t="s">
        <v>2090</v>
      </c>
      <c r="BK214" s="43" t="s">
        <v>2090</v>
      </c>
      <c r="BL214" s="43" t="s">
        <v>2090</v>
      </c>
      <c r="BM214" s="43" t="s">
        <v>2090</v>
      </c>
      <c r="BN214" s="43" t="s">
        <v>2090</v>
      </c>
      <c r="BO214" s="43" t="s">
        <v>2090</v>
      </c>
      <c r="BP214" s="43" t="s">
        <v>2090</v>
      </c>
      <c r="BQ214" s="43" t="s">
        <v>2090</v>
      </c>
      <c r="BR214" s="43" t="s">
        <v>2090</v>
      </c>
      <c r="BS214" s="43" t="s">
        <v>2090</v>
      </c>
      <c r="BT214" s="43" t="s">
        <v>2090</v>
      </c>
      <c r="BU214" s="43" t="s">
        <v>2091</v>
      </c>
      <c r="BV214" s="43" t="s">
        <v>2090</v>
      </c>
      <c r="BW214" s="43" t="s">
        <v>2090</v>
      </c>
    </row>
    <row r="215" spans="1:75" ht="152.44999999999999" customHeight="1" x14ac:dyDescent="0.25">
      <c r="A215" s="38" t="s">
        <v>1109</v>
      </c>
      <c r="B215" s="38" t="s">
        <v>1791</v>
      </c>
      <c r="C215" s="39" t="s">
        <v>1110</v>
      </c>
      <c r="D215" s="40" t="s">
        <v>1111</v>
      </c>
      <c r="E215" s="41">
        <v>53074.414100000002</v>
      </c>
      <c r="F215" s="41">
        <v>2712556.4264799999</v>
      </c>
      <c r="G215" s="41">
        <v>351521.7</v>
      </c>
      <c r="H215" s="41">
        <v>299183.7</v>
      </c>
      <c r="I215" s="42">
        <v>1.1463227136167011</v>
      </c>
      <c r="J215" s="41">
        <v>3982.9470700000002</v>
      </c>
      <c r="K215" s="41">
        <v>586101.38902999996</v>
      </c>
      <c r="L215" s="41">
        <v>198101.8</v>
      </c>
      <c r="M215" s="41">
        <v>495848.6</v>
      </c>
      <c r="N215" s="42">
        <v>0.36338379068527477</v>
      </c>
      <c r="O215" s="41">
        <v>9931.7656900000002</v>
      </c>
      <c r="P215" s="41">
        <v>971995.54946999997</v>
      </c>
      <c r="Q215" s="41">
        <v>52392.800000000003</v>
      </c>
      <c r="R215" s="41">
        <v>77630.899999999994</v>
      </c>
      <c r="S215" s="42">
        <v>0.65263619054038113</v>
      </c>
      <c r="T215" s="41">
        <v>6991.1550399999996</v>
      </c>
      <c r="U215" s="41">
        <v>903900.21135999996</v>
      </c>
      <c r="V215" s="41">
        <v>193385.4</v>
      </c>
      <c r="W215" s="41">
        <v>426496.5</v>
      </c>
      <c r="X215" s="42">
        <v>0.42005869736990631</v>
      </c>
      <c r="Y215" s="43">
        <v>2</v>
      </c>
      <c r="Z215" s="43" t="s">
        <v>2090</v>
      </c>
      <c r="AA215" s="43" t="s">
        <v>2090</v>
      </c>
      <c r="AB215" s="43" t="s">
        <v>2090</v>
      </c>
      <c r="AC215" s="43" t="s">
        <v>2090</v>
      </c>
      <c r="AD215" s="43">
        <v>0</v>
      </c>
      <c r="AE215" s="43">
        <v>0</v>
      </c>
      <c r="AF215" s="43">
        <v>0</v>
      </c>
      <c r="AG215" s="43">
        <v>0</v>
      </c>
      <c r="AH215" s="43">
        <v>0</v>
      </c>
      <c r="AI215" s="43">
        <v>2</v>
      </c>
      <c r="AJ215" s="43">
        <v>0</v>
      </c>
      <c r="AK215" s="43">
        <v>0</v>
      </c>
      <c r="AL215" s="43">
        <v>0</v>
      </c>
      <c r="AM215" s="43">
        <v>0</v>
      </c>
      <c r="AN215" s="43">
        <v>0</v>
      </c>
      <c r="AO215" s="43">
        <v>0</v>
      </c>
      <c r="AP215" s="43">
        <v>0</v>
      </c>
      <c r="AQ215" s="43">
        <v>0</v>
      </c>
      <c r="AR215" s="43">
        <v>0</v>
      </c>
      <c r="AS215" s="43">
        <v>0</v>
      </c>
      <c r="AT215" s="43">
        <v>0</v>
      </c>
      <c r="AU215" s="43">
        <v>0</v>
      </c>
      <c r="AV215" s="43">
        <v>0</v>
      </c>
      <c r="AW215" s="43">
        <v>0</v>
      </c>
      <c r="AX215" s="43">
        <v>0</v>
      </c>
      <c r="AY215" s="43">
        <v>0</v>
      </c>
      <c r="AZ215" s="43">
        <v>0</v>
      </c>
      <c r="BA215" s="43">
        <v>0</v>
      </c>
      <c r="BB215" s="43">
        <v>0</v>
      </c>
      <c r="BC215" s="43">
        <v>0</v>
      </c>
      <c r="BD215" s="43">
        <v>0</v>
      </c>
      <c r="BE215" s="43">
        <v>0</v>
      </c>
      <c r="BF215" s="43">
        <v>0</v>
      </c>
      <c r="BG215" s="43">
        <v>0</v>
      </c>
      <c r="BH215" s="43">
        <v>0</v>
      </c>
      <c r="BI215" s="43">
        <v>0</v>
      </c>
      <c r="BJ215" s="43" t="s">
        <v>2090</v>
      </c>
      <c r="BK215" s="43" t="s">
        <v>2090</v>
      </c>
      <c r="BL215" s="43" t="s">
        <v>2090</v>
      </c>
      <c r="BM215" s="43" t="s">
        <v>2090</v>
      </c>
      <c r="BN215" s="43" t="s">
        <v>2090</v>
      </c>
      <c r="BO215" s="43" t="s">
        <v>2090</v>
      </c>
      <c r="BP215" s="43" t="s">
        <v>2090</v>
      </c>
      <c r="BQ215" s="43" t="s">
        <v>2090</v>
      </c>
      <c r="BR215" s="43" t="s">
        <v>2090</v>
      </c>
      <c r="BS215" s="43" t="s">
        <v>2090</v>
      </c>
      <c r="BT215" s="43" t="s">
        <v>2090</v>
      </c>
      <c r="BU215" s="43" t="s">
        <v>2090</v>
      </c>
      <c r="BV215" s="43" t="s">
        <v>2090</v>
      </c>
      <c r="BW215" s="43" t="s">
        <v>2090</v>
      </c>
    </row>
    <row r="216" spans="1:75" ht="226.7" customHeight="1" x14ac:dyDescent="0.25">
      <c r="A216" s="38" t="s">
        <v>1112</v>
      </c>
      <c r="B216" s="38" t="s">
        <v>1792</v>
      </c>
      <c r="C216" s="39" t="s">
        <v>1113</v>
      </c>
      <c r="D216" s="40" t="s">
        <v>1114</v>
      </c>
      <c r="E216" s="41">
        <v>49190.482429999996</v>
      </c>
      <c r="F216" s="41">
        <v>2556624.45205</v>
      </c>
      <c r="G216" s="41">
        <v>532604.30000000005</v>
      </c>
      <c r="H216" s="41">
        <v>536041.30000000005</v>
      </c>
      <c r="I216" s="42">
        <v>0.95036629224398073</v>
      </c>
      <c r="J216" s="41">
        <v>33908.978309999999</v>
      </c>
      <c r="K216" s="41">
        <v>2011635.68591</v>
      </c>
      <c r="L216" s="41">
        <v>381369.7</v>
      </c>
      <c r="M216" s="41">
        <v>429036.4</v>
      </c>
      <c r="N216" s="42">
        <v>0.8398328120091243</v>
      </c>
      <c r="O216" s="41">
        <v>78256.168099999995</v>
      </c>
      <c r="P216" s="41">
        <v>3126793.1920400001</v>
      </c>
      <c r="Q216" s="41">
        <v>145538</v>
      </c>
      <c r="R216" s="41">
        <v>87066</v>
      </c>
      <c r="S216" s="42">
        <v>1.5975853971272564</v>
      </c>
      <c r="T216" s="41">
        <v>51406.083330000001</v>
      </c>
      <c r="U216" s="41">
        <v>2611476.9146199999</v>
      </c>
      <c r="V216" s="41">
        <v>66476.800000000003</v>
      </c>
      <c r="W216" s="41">
        <v>46644.1</v>
      </c>
      <c r="X216" s="42">
        <v>1.126497942106101</v>
      </c>
      <c r="Y216" s="43">
        <v>2</v>
      </c>
      <c r="Z216" s="43" t="s">
        <v>2090</v>
      </c>
      <c r="AA216" s="43" t="s">
        <v>2090</v>
      </c>
      <c r="AB216" s="43" t="s">
        <v>2090</v>
      </c>
      <c r="AC216" s="43" t="s">
        <v>2090</v>
      </c>
      <c r="AD216" s="43">
        <v>0</v>
      </c>
      <c r="AE216" s="43">
        <v>0</v>
      </c>
      <c r="AF216" s="43">
        <v>0</v>
      </c>
      <c r="AG216" s="43">
        <v>0</v>
      </c>
      <c r="AH216" s="43">
        <v>0</v>
      </c>
      <c r="AI216" s="43">
        <v>1</v>
      </c>
      <c r="AJ216" s="43">
        <v>0</v>
      </c>
      <c r="AK216" s="43">
        <v>0</v>
      </c>
      <c r="AL216" s="43">
        <v>0</v>
      </c>
      <c r="AM216" s="43">
        <v>0</v>
      </c>
      <c r="AN216" s="43">
        <v>1</v>
      </c>
      <c r="AO216" s="43">
        <v>0</v>
      </c>
      <c r="AP216" s="43">
        <v>0</v>
      </c>
      <c r="AQ216" s="43">
        <v>0</v>
      </c>
      <c r="AR216" s="43">
        <v>0</v>
      </c>
      <c r="AS216" s="43">
        <v>0</v>
      </c>
      <c r="AT216" s="43">
        <v>0</v>
      </c>
      <c r="AU216" s="43">
        <v>0</v>
      </c>
      <c r="AV216" s="43">
        <v>0</v>
      </c>
      <c r="AW216" s="43">
        <v>0</v>
      </c>
      <c r="AX216" s="43">
        <v>0</v>
      </c>
      <c r="AY216" s="43">
        <v>0</v>
      </c>
      <c r="AZ216" s="43">
        <v>0</v>
      </c>
      <c r="BA216" s="43">
        <v>0</v>
      </c>
      <c r="BB216" s="43">
        <v>0</v>
      </c>
      <c r="BC216" s="43">
        <v>0</v>
      </c>
      <c r="BD216" s="43">
        <v>0</v>
      </c>
      <c r="BE216" s="43">
        <v>0</v>
      </c>
      <c r="BF216" s="43">
        <v>0</v>
      </c>
      <c r="BG216" s="43">
        <v>0</v>
      </c>
      <c r="BH216" s="43">
        <v>0</v>
      </c>
      <c r="BI216" s="43">
        <v>0</v>
      </c>
      <c r="BJ216" s="43" t="s">
        <v>2090</v>
      </c>
      <c r="BK216" s="43" t="s">
        <v>2090</v>
      </c>
      <c r="BL216" s="43" t="s">
        <v>2090</v>
      </c>
      <c r="BM216" s="43" t="s">
        <v>2090</v>
      </c>
      <c r="BN216" s="43" t="s">
        <v>2090</v>
      </c>
      <c r="BO216" s="43" t="s">
        <v>2090</v>
      </c>
      <c r="BP216" s="43" t="s">
        <v>2090</v>
      </c>
      <c r="BQ216" s="43" t="s">
        <v>2090</v>
      </c>
      <c r="BR216" s="43" t="s">
        <v>2090</v>
      </c>
      <c r="BS216" s="43" t="s">
        <v>2090</v>
      </c>
      <c r="BT216" s="43" t="s">
        <v>2090</v>
      </c>
      <c r="BU216" s="43" t="s">
        <v>2090</v>
      </c>
      <c r="BV216" s="43" t="s">
        <v>2091</v>
      </c>
      <c r="BW216" s="43" t="s">
        <v>2090</v>
      </c>
    </row>
    <row r="217" spans="1:75" ht="184.7" customHeight="1" x14ac:dyDescent="0.25">
      <c r="A217" s="38" t="s">
        <v>1115</v>
      </c>
      <c r="B217" s="38" t="s">
        <v>1793</v>
      </c>
      <c r="C217" s="39" t="s">
        <v>1116</v>
      </c>
      <c r="D217" s="40" t="s">
        <v>1117</v>
      </c>
      <c r="E217" s="41">
        <v>50225.560570000001</v>
      </c>
      <c r="F217" s="41">
        <v>2548728.71661</v>
      </c>
      <c r="G217" s="41">
        <v>392926</v>
      </c>
      <c r="H217" s="41">
        <v>444453.4</v>
      </c>
      <c r="I217" s="42">
        <v>0.84549717126236745</v>
      </c>
      <c r="J217" s="41">
        <v>25989.928540000001</v>
      </c>
      <c r="K217" s="41">
        <v>1794228.4017700001</v>
      </c>
      <c r="L217" s="41">
        <v>624414.69999999995</v>
      </c>
      <c r="M217" s="41">
        <v>715568.9</v>
      </c>
      <c r="N217" s="42">
        <v>0.79077099417319785</v>
      </c>
      <c r="O217" s="41">
        <v>61770.124400000001</v>
      </c>
      <c r="P217" s="41">
        <v>2690589.27091</v>
      </c>
      <c r="Q217" s="41">
        <v>286345.8</v>
      </c>
      <c r="R217" s="41">
        <v>222621.3</v>
      </c>
      <c r="S217" s="42">
        <v>1.2382422644280517</v>
      </c>
      <c r="T217" s="41">
        <v>38634.060510000003</v>
      </c>
      <c r="U217" s="41">
        <v>2255642.99774</v>
      </c>
      <c r="V217" s="41">
        <v>50395.8</v>
      </c>
      <c r="W217" s="41">
        <v>47313.1</v>
      </c>
      <c r="X217" s="42">
        <v>0.93860533759685161</v>
      </c>
      <c r="Y217" s="43">
        <v>2</v>
      </c>
      <c r="Z217" s="43" t="s">
        <v>2090</v>
      </c>
      <c r="AA217" s="43" t="s">
        <v>2090</v>
      </c>
      <c r="AB217" s="43" t="s">
        <v>2090</v>
      </c>
      <c r="AC217" s="43" t="s">
        <v>2090</v>
      </c>
      <c r="AD217" s="43">
        <v>0</v>
      </c>
      <c r="AE217" s="43">
        <v>0</v>
      </c>
      <c r="AF217" s="43">
        <v>0</v>
      </c>
      <c r="AG217" s="43">
        <v>0</v>
      </c>
      <c r="AH217" s="43">
        <v>0</v>
      </c>
      <c r="AI217" s="43">
        <v>1</v>
      </c>
      <c r="AJ217" s="43">
        <v>0</v>
      </c>
      <c r="AK217" s="43">
        <v>0</v>
      </c>
      <c r="AL217" s="43">
        <v>1</v>
      </c>
      <c r="AM217" s="43">
        <v>0</v>
      </c>
      <c r="AN217" s="43">
        <v>0</v>
      </c>
      <c r="AO217" s="43">
        <v>0</v>
      </c>
      <c r="AP217" s="43">
        <v>0</v>
      </c>
      <c r="AQ217" s="43">
        <v>0</v>
      </c>
      <c r="AR217" s="43">
        <v>0</v>
      </c>
      <c r="AS217" s="43">
        <v>0</v>
      </c>
      <c r="AT217" s="43">
        <v>0</v>
      </c>
      <c r="AU217" s="43">
        <v>0</v>
      </c>
      <c r="AV217" s="43">
        <v>0</v>
      </c>
      <c r="AW217" s="43">
        <v>0</v>
      </c>
      <c r="AX217" s="43">
        <v>0</v>
      </c>
      <c r="AY217" s="43">
        <v>0</v>
      </c>
      <c r="AZ217" s="43">
        <v>0</v>
      </c>
      <c r="BA217" s="43">
        <v>0</v>
      </c>
      <c r="BB217" s="43">
        <v>0</v>
      </c>
      <c r="BC217" s="43">
        <v>0</v>
      </c>
      <c r="BD217" s="43">
        <v>0</v>
      </c>
      <c r="BE217" s="43">
        <v>0</v>
      </c>
      <c r="BF217" s="43">
        <v>0</v>
      </c>
      <c r="BG217" s="43">
        <v>0</v>
      </c>
      <c r="BH217" s="43">
        <v>0</v>
      </c>
      <c r="BI217" s="43">
        <v>0</v>
      </c>
      <c r="BJ217" s="43" t="s">
        <v>2090</v>
      </c>
      <c r="BK217" s="43" t="s">
        <v>2090</v>
      </c>
      <c r="BL217" s="43" t="s">
        <v>2090</v>
      </c>
      <c r="BM217" s="43" t="s">
        <v>2090</v>
      </c>
      <c r="BN217" s="43" t="s">
        <v>2090</v>
      </c>
      <c r="BO217" s="43" t="s">
        <v>2090</v>
      </c>
      <c r="BP217" s="43" t="s">
        <v>2090</v>
      </c>
      <c r="BQ217" s="43" t="s">
        <v>2090</v>
      </c>
      <c r="BR217" s="43" t="s">
        <v>2090</v>
      </c>
      <c r="BS217" s="43" t="s">
        <v>2090</v>
      </c>
      <c r="BT217" s="43" t="s">
        <v>2090</v>
      </c>
      <c r="BU217" s="43" t="s">
        <v>2090</v>
      </c>
      <c r="BV217" s="43" t="s">
        <v>2090</v>
      </c>
      <c r="BW217" s="43" t="s">
        <v>2091</v>
      </c>
    </row>
    <row r="218" spans="1:75" ht="135.19999999999999" customHeight="1" x14ac:dyDescent="0.25">
      <c r="A218" s="38" t="s">
        <v>1118</v>
      </c>
      <c r="B218" s="38" t="s">
        <v>1794</v>
      </c>
      <c r="C218" s="39" t="s">
        <v>1119</v>
      </c>
      <c r="D218" s="40" t="s">
        <v>1120</v>
      </c>
      <c r="E218" s="41">
        <v>53846.621890000002</v>
      </c>
      <c r="F218" s="41">
        <v>2788580.8187199999</v>
      </c>
      <c r="G218" s="41">
        <v>337605.7</v>
      </c>
      <c r="H218" s="41">
        <v>271963.3</v>
      </c>
      <c r="I218" s="42">
        <v>1.206889432319219</v>
      </c>
      <c r="J218" s="41">
        <v>2167.3584500000002</v>
      </c>
      <c r="K218" s="41">
        <v>354479.79856000002</v>
      </c>
      <c r="L218" s="41">
        <v>127563</v>
      </c>
      <c r="M218" s="41">
        <v>355700.6</v>
      </c>
      <c r="N218" s="42">
        <v>0.33523712356483287</v>
      </c>
      <c r="O218" s="41">
        <v>65146.274299999997</v>
      </c>
      <c r="P218" s="41">
        <v>2739984.6977499998</v>
      </c>
      <c r="Q218" s="41">
        <v>322406.90000000002</v>
      </c>
      <c r="R218" s="41">
        <v>248467.6</v>
      </c>
      <c r="S218" s="42">
        <v>1.2444469639459337</v>
      </c>
      <c r="T218" s="41">
        <v>4796.6356800000003</v>
      </c>
      <c r="U218" s="41">
        <v>664395.67815000005</v>
      </c>
      <c r="V218" s="41">
        <v>92778.1</v>
      </c>
      <c r="W218" s="41">
        <v>204877.4</v>
      </c>
      <c r="X218" s="42">
        <v>0.42720682921520853</v>
      </c>
      <c r="Y218" s="43">
        <v>2</v>
      </c>
      <c r="Z218" s="43" t="s">
        <v>2090</v>
      </c>
      <c r="AA218" s="43" t="s">
        <v>2090</v>
      </c>
      <c r="AB218" s="43" t="s">
        <v>2090</v>
      </c>
      <c r="AC218" s="43" t="s">
        <v>2090</v>
      </c>
      <c r="AD218" s="43">
        <v>0</v>
      </c>
      <c r="AE218" s="43">
        <v>0</v>
      </c>
      <c r="AF218" s="43">
        <v>0</v>
      </c>
      <c r="AG218" s="43">
        <v>0</v>
      </c>
      <c r="AH218" s="43">
        <v>0</v>
      </c>
      <c r="AI218" s="43">
        <v>1</v>
      </c>
      <c r="AJ218" s="43">
        <v>0</v>
      </c>
      <c r="AK218" s="43">
        <v>0</v>
      </c>
      <c r="AL218" s="43">
        <v>0</v>
      </c>
      <c r="AM218" s="43">
        <v>0</v>
      </c>
      <c r="AN218" s="43">
        <v>0</v>
      </c>
      <c r="AO218" s="43">
        <v>0</v>
      </c>
      <c r="AP218" s="43">
        <v>0</v>
      </c>
      <c r="AQ218" s="43">
        <v>0</v>
      </c>
      <c r="AR218" s="43">
        <v>1</v>
      </c>
      <c r="AS218" s="43">
        <v>0</v>
      </c>
      <c r="AT218" s="43">
        <v>0</v>
      </c>
      <c r="AU218" s="43">
        <v>0</v>
      </c>
      <c r="AV218" s="43">
        <v>0</v>
      </c>
      <c r="AW218" s="43">
        <v>0</v>
      </c>
      <c r="AX218" s="43">
        <v>0</v>
      </c>
      <c r="AY218" s="43">
        <v>0</v>
      </c>
      <c r="AZ218" s="43">
        <v>0</v>
      </c>
      <c r="BA218" s="43">
        <v>0</v>
      </c>
      <c r="BB218" s="43">
        <v>0</v>
      </c>
      <c r="BC218" s="43">
        <v>0</v>
      </c>
      <c r="BD218" s="43">
        <v>0</v>
      </c>
      <c r="BE218" s="43">
        <v>0</v>
      </c>
      <c r="BF218" s="43">
        <v>0</v>
      </c>
      <c r="BG218" s="43">
        <v>0</v>
      </c>
      <c r="BH218" s="43">
        <v>0</v>
      </c>
      <c r="BI218" s="43">
        <v>0</v>
      </c>
      <c r="BJ218" s="43" t="s">
        <v>2090</v>
      </c>
      <c r="BK218" s="43" t="s">
        <v>2090</v>
      </c>
      <c r="BL218" s="43" t="s">
        <v>2090</v>
      </c>
      <c r="BM218" s="43" t="s">
        <v>2090</v>
      </c>
      <c r="BN218" s="43" t="s">
        <v>2090</v>
      </c>
      <c r="BO218" s="43" t="s">
        <v>2090</v>
      </c>
      <c r="BP218" s="43" t="s">
        <v>2090</v>
      </c>
      <c r="BQ218" s="43" t="s">
        <v>2090</v>
      </c>
      <c r="BR218" s="43" t="s">
        <v>2090</v>
      </c>
      <c r="BS218" s="43" t="s">
        <v>2090</v>
      </c>
      <c r="BT218" s="43" t="s">
        <v>2090</v>
      </c>
      <c r="BU218" s="43" t="s">
        <v>2090</v>
      </c>
      <c r="BV218" s="43" t="s">
        <v>2091</v>
      </c>
      <c r="BW218" s="43" t="s">
        <v>2090</v>
      </c>
    </row>
    <row r="219" spans="1:75" ht="111.2" customHeight="1" x14ac:dyDescent="0.25">
      <c r="A219" s="38" t="s">
        <v>1121</v>
      </c>
      <c r="B219" s="38" t="s">
        <v>1795</v>
      </c>
      <c r="C219" s="39" t="s">
        <v>1122</v>
      </c>
      <c r="D219" s="40" t="s">
        <v>1123</v>
      </c>
      <c r="E219" s="41">
        <v>59092.750310000003</v>
      </c>
      <c r="F219" s="41">
        <v>2814298.8710400001</v>
      </c>
      <c r="G219" s="41">
        <v>193276.3</v>
      </c>
      <c r="H219" s="41">
        <v>149378.20000000001</v>
      </c>
      <c r="I219" s="42">
        <v>1.2292239025154899</v>
      </c>
      <c r="J219" s="41">
        <v>29767.860629999999</v>
      </c>
      <c r="K219" s="41">
        <v>1892140.23156</v>
      </c>
      <c r="L219" s="41">
        <v>336931.3</v>
      </c>
      <c r="M219" s="41">
        <v>369836.7</v>
      </c>
      <c r="N219" s="42">
        <v>0.85797965626096107</v>
      </c>
      <c r="O219" s="41">
        <v>74839.942710000003</v>
      </c>
      <c r="P219" s="41">
        <v>3031196.9814399998</v>
      </c>
      <c r="Q219" s="41">
        <v>168620.1</v>
      </c>
      <c r="R219" s="41">
        <v>115702.7</v>
      </c>
      <c r="S219" s="42">
        <v>1.390606686981908</v>
      </c>
      <c r="T219" s="41">
        <v>57312.569190000002</v>
      </c>
      <c r="U219" s="41">
        <v>2702442.2962600002</v>
      </c>
      <c r="V219" s="41">
        <v>205686.9</v>
      </c>
      <c r="W219" s="41">
        <v>160725.1</v>
      </c>
      <c r="X219" s="42">
        <v>1.1434378000620882</v>
      </c>
      <c r="Y219" s="43">
        <v>2</v>
      </c>
      <c r="Z219" s="43" t="s">
        <v>2090</v>
      </c>
      <c r="AA219" s="43" t="s">
        <v>2090</v>
      </c>
      <c r="AB219" s="43" t="s">
        <v>2090</v>
      </c>
      <c r="AC219" s="43" t="s">
        <v>2090</v>
      </c>
      <c r="AD219" s="43">
        <v>0</v>
      </c>
      <c r="AE219" s="43">
        <v>0</v>
      </c>
      <c r="AF219" s="43">
        <v>0</v>
      </c>
      <c r="AG219" s="43">
        <v>0</v>
      </c>
      <c r="AH219" s="43">
        <v>0</v>
      </c>
      <c r="AI219" s="43">
        <v>1</v>
      </c>
      <c r="AJ219" s="43">
        <v>0</v>
      </c>
      <c r="AK219" s="43">
        <v>0</v>
      </c>
      <c r="AL219" s="43">
        <v>0</v>
      </c>
      <c r="AM219" s="43">
        <v>0</v>
      </c>
      <c r="AN219" s="43">
        <v>0</v>
      </c>
      <c r="AO219" s="43">
        <v>0</v>
      </c>
      <c r="AP219" s="43">
        <v>0</v>
      </c>
      <c r="AQ219" s="43">
        <v>0</v>
      </c>
      <c r="AR219" s="43">
        <v>0</v>
      </c>
      <c r="AS219" s="43">
        <v>0</v>
      </c>
      <c r="AT219" s="43">
        <v>1</v>
      </c>
      <c r="AU219" s="43">
        <v>0</v>
      </c>
      <c r="AV219" s="43">
        <v>0</v>
      </c>
      <c r="AW219" s="43">
        <v>0</v>
      </c>
      <c r="AX219" s="43">
        <v>0</v>
      </c>
      <c r="AY219" s="43">
        <v>0</v>
      </c>
      <c r="AZ219" s="43">
        <v>0</v>
      </c>
      <c r="BA219" s="43">
        <v>0</v>
      </c>
      <c r="BB219" s="43">
        <v>0</v>
      </c>
      <c r="BC219" s="43">
        <v>0</v>
      </c>
      <c r="BD219" s="43">
        <v>0</v>
      </c>
      <c r="BE219" s="43">
        <v>0</v>
      </c>
      <c r="BF219" s="43">
        <v>0</v>
      </c>
      <c r="BG219" s="43">
        <v>0</v>
      </c>
      <c r="BH219" s="43">
        <v>0</v>
      </c>
      <c r="BI219" s="43">
        <v>0</v>
      </c>
      <c r="BJ219" s="43" t="s">
        <v>2090</v>
      </c>
      <c r="BK219" s="43" t="s">
        <v>2090</v>
      </c>
      <c r="BL219" s="43" t="s">
        <v>2090</v>
      </c>
      <c r="BM219" s="43" t="s">
        <v>2090</v>
      </c>
      <c r="BN219" s="43" t="s">
        <v>2090</v>
      </c>
      <c r="BO219" s="43" t="s">
        <v>2090</v>
      </c>
      <c r="BP219" s="43" t="s">
        <v>2090</v>
      </c>
      <c r="BQ219" s="43" t="s">
        <v>2090</v>
      </c>
      <c r="BR219" s="43" t="s">
        <v>2090</v>
      </c>
      <c r="BS219" s="43" t="s">
        <v>2090</v>
      </c>
      <c r="BT219" s="43" t="s">
        <v>2090</v>
      </c>
      <c r="BU219" s="43" t="s">
        <v>2090</v>
      </c>
      <c r="BV219" s="43" t="s">
        <v>2091</v>
      </c>
      <c r="BW219" s="43" t="s">
        <v>2090</v>
      </c>
    </row>
    <row r="220" spans="1:75" ht="175.7" customHeight="1" x14ac:dyDescent="0.25">
      <c r="A220" s="38" t="s">
        <v>1124</v>
      </c>
      <c r="B220" s="38" t="s">
        <v>1796</v>
      </c>
      <c r="C220" s="39" t="s">
        <v>1125</v>
      </c>
      <c r="D220" s="40" t="s">
        <v>1126</v>
      </c>
      <c r="E220" s="41">
        <v>66368.959319999994</v>
      </c>
      <c r="F220" s="41">
        <v>2946573.5760599999</v>
      </c>
      <c r="G220" s="41">
        <v>241448.9</v>
      </c>
      <c r="H220" s="41">
        <v>303357</v>
      </c>
      <c r="I220" s="42">
        <v>0.76430925691940921</v>
      </c>
      <c r="J220" s="41">
        <v>3994.7545300000002</v>
      </c>
      <c r="K220" s="41">
        <v>603589.53124000004</v>
      </c>
      <c r="L220" s="41">
        <v>373767.7</v>
      </c>
      <c r="M220" s="41">
        <v>510722.7</v>
      </c>
      <c r="N220" s="42">
        <v>0.6828016618739462</v>
      </c>
      <c r="O220" s="41">
        <v>8184.29234</v>
      </c>
      <c r="P220" s="41">
        <v>1109329.8660599999</v>
      </c>
      <c r="Q220" s="41">
        <v>18718.900000000001</v>
      </c>
      <c r="R220" s="41">
        <v>29317.1</v>
      </c>
      <c r="S220" s="42">
        <v>0.61186506397828622</v>
      </c>
      <c r="T220" s="41">
        <v>18738.733649999998</v>
      </c>
      <c r="U220" s="41">
        <v>1616811.6898399999</v>
      </c>
      <c r="V220" s="41">
        <v>72934.7</v>
      </c>
      <c r="W220" s="41">
        <v>103292.6</v>
      </c>
      <c r="X220" s="42">
        <v>0.63973006106852737</v>
      </c>
      <c r="Y220" s="43">
        <v>2</v>
      </c>
      <c r="Z220" s="43" t="s">
        <v>2090</v>
      </c>
      <c r="AA220" s="43" t="s">
        <v>2090</v>
      </c>
      <c r="AB220" s="43" t="s">
        <v>2090</v>
      </c>
      <c r="AC220" s="43" t="s">
        <v>2090</v>
      </c>
      <c r="AD220" s="43">
        <v>0</v>
      </c>
      <c r="AE220" s="43">
        <v>1</v>
      </c>
      <c r="AF220" s="43">
        <v>0</v>
      </c>
      <c r="AG220" s="43">
        <v>0</v>
      </c>
      <c r="AH220" s="43">
        <v>0</v>
      </c>
      <c r="AI220" s="43">
        <v>0</v>
      </c>
      <c r="AJ220" s="43">
        <v>0</v>
      </c>
      <c r="AK220" s="43">
        <v>0</v>
      </c>
      <c r="AL220" s="43">
        <v>0</v>
      </c>
      <c r="AM220" s="43">
        <v>0</v>
      </c>
      <c r="AN220" s="43">
        <v>0</v>
      </c>
      <c r="AO220" s="43">
        <v>0</v>
      </c>
      <c r="AP220" s="43">
        <v>0</v>
      </c>
      <c r="AQ220" s="43">
        <v>0</v>
      </c>
      <c r="AR220" s="43">
        <v>0</v>
      </c>
      <c r="AS220" s="43">
        <v>0</v>
      </c>
      <c r="AT220" s="43">
        <v>0</v>
      </c>
      <c r="AU220" s="43">
        <v>0</v>
      </c>
      <c r="AV220" s="43">
        <v>0</v>
      </c>
      <c r="AW220" s="43">
        <v>0</v>
      </c>
      <c r="AX220" s="43">
        <v>0</v>
      </c>
      <c r="AY220" s="43">
        <v>1</v>
      </c>
      <c r="AZ220" s="43">
        <v>0</v>
      </c>
      <c r="BA220" s="43">
        <v>0</v>
      </c>
      <c r="BB220" s="43">
        <v>0</v>
      </c>
      <c r="BC220" s="43">
        <v>0</v>
      </c>
      <c r="BD220" s="43">
        <v>0</v>
      </c>
      <c r="BE220" s="43">
        <v>0</v>
      </c>
      <c r="BF220" s="43">
        <v>0</v>
      </c>
      <c r="BG220" s="43">
        <v>0</v>
      </c>
      <c r="BH220" s="43">
        <v>0</v>
      </c>
      <c r="BI220" s="43">
        <v>0</v>
      </c>
      <c r="BJ220" s="43" t="s">
        <v>2090</v>
      </c>
      <c r="BK220" s="43" t="s">
        <v>2090</v>
      </c>
      <c r="BL220" s="43" t="s">
        <v>2090</v>
      </c>
      <c r="BM220" s="43" t="s">
        <v>2090</v>
      </c>
      <c r="BN220" s="43" t="s">
        <v>2090</v>
      </c>
      <c r="BO220" s="43" t="s">
        <v>2090</v>
      </c>
      <c r="BP220" s="43" t="s">
        <v>2090</v>
      </c>
      <c r="BQ220" s="43" t="s">
        <v>2090</v>
      </c>
      <c r="BR220" s="43" t="s">
        <v>2090</v>
      </c>
      <c r="BS220" s="43" t="s">
        <v>2090</v>
      </c>
      <c r="BT220" s="43" t="s">
        <v>2090</v>
      </c>
      <c r="BU220" s="43" t="s">
        <v>2090</v>
      </c>
      <c r="BV220" s="43" t="s">
        <v>2090</v>
      </c>
      <c r="BW220" s="43" t="s">
        <v>2090</v>
      </c>
    </row>
    <row r="221" spans="1:75" ht="168.95" customHeight="1" x14ac:dyDescent="0.25">
      <c r="A221" s="38" t="s">
        <v>1127</v>
      </c>
      <c r="B221" s="38" t="s">
        <v>1797</v>
      </c>
      <c r="C221" s="39" t="s">
        <v>1128</v>
      </c>
      <c r="D221" s="40" t="s">
        <v>1129</v>
      </c>
      <c r="E221" s="41">
        <v>48320.454030000001</v>
      </c>
      <c r="F221" s="41">
        <v>2575084.9446399999</v>
      </c>
      <c r="G221" s="41">
        <v>210266.2</v>
      </c>
      <c r="H221" s="41">
        <v>183815.2</v>
      </c>
      <c r="I221" s="42">
        <v>1.1041025778804689</v>
      </c>
      <c r="J221" s="41">
        <v>0</v>
      </c>
      <c r="K221" s="41">
        <v>17311.629010000001</v>
      </c>
      <c r="L221" s="41">
        <v>262861.59999999998</v>
      </c>
      <c r="M221" s="41">
        <v>446315.5</v>
      </c>
      <c r="N221" s="42">
        <v>0.55180099407328309</v>
      </c>
      <c r="O221" s="41">
        <v>2902.8936199999998</v>
      </c>
      <c r="P221" s="41">
        <v>245466.03789000001</v>
      </c>
      <c r="Q221" s="41">
        <v>100842.6</v>
      </c>
      <c r="R221" s="41">
        <v>198935.9</v>
      </c>
      <c r="S221" s="42">
        <v>0.47978007264793027</v>
      </c>
      <c r="T221" s="41">
        <v>4689.2880500000001</v>
      </c>
      <c r="U221" s="41">
        <v>676077.76194</v>
      </c>
      <c r="V221" s="41">
        <v>59846.1</v>
      </c>
      <c r="W221" s="41">
        <v>151958.39999999999</v>
      </c>
      <c r="X221" s="42">
        <v>0.36645721693322653</v>
      </c>
      <c r="Y221" s="43">
        <v>2</v>
      </c>
      <c r="Z221" s="43" t="s">
        <v>2090</v>
      </c>
      <c r="AA221" s="43" t="s">
        <v>2090</v>
      </c>
      <c r="AB221" s="43" t="s">
        <v>2090</v>
      </c>
      <c r="AC221" s="43" t="s">
        <v>2090</v>
      </c>
      <c r="AD221" s="43">
        <v>0</v>
      </c>
      <c r="AE221" s="43">
        <v>0</v>
      </c>
      <c r="AF221" s="43">
        <v>0</v>
      </c>
      <c r="AG221" s="43">
        <v>0</v>
      </c>
      <c r="AH221" s="43">
        <v>0</v>
      </c>
      <c r="AI221" s="43">
        <v>1</v>
      </c>
      <c r="AJ221" s="43">
        <v>0</v>
      </c>
      <c r="AK221" s="43">
        <v>0</v>
      </c>
      <c r="AL221" s="43">
        <v>0</v>
      </c>
      <c r="AM221" s="43">
        <v>0</v>
      </c>
      <c r="AN221" s="43">
        <v>0</v>
      </c>
      <c r="AO221" s="43">
        <v>0</v>
      </c>
      <c r="AP221" s="43">
        <v>0</v>
      </c>
      <c r="AQ221" s="43">
        <v>0</v>
      </c>
      <c r="AR221" s="43">
        <v>0</v>
      </c>
      <c r="AS221" s="43">
        <v>0</v>
      </c>
      <c r="AT221" s="43">
        <v>0</v>
      </c>
      <c r="AU221" s="43">
        <v>0</v>
      </c>
      <c r="AV221" s="43">
        <v>0</v>
      </c>
      <c r="AW221" s="43">
        <v>0</v>
      </c>
      <c r="AX221" s="43">
        <v>0</v>
      </c>
      <c r="AY221" s="43">
        <v>1</v>
      </c>
      <c r="AZ221" s="43">
        <v>0</v>
      </c>
      <c r="BA221" s="43">
        <v>0</v>
      </c>
      <c r="BB221" s="43">
        <v>0</v>
      </c>
      <c r="BC221" s="43">
        <v>0</v>
      </c>
      <c r="BD221" s="43">
        <v>0</v>
      </c>
      <c r="BE221" s="43">
        <v>0</v>
      </c>
      <c r="BF221" s="43">
        <v>0</v>
      </c>
      <c r="BG221" s="43">
        <v>0</v>
      </c>
      <c r="BH221" s="43">
        <v>0</v>
      </c>
      <c r="BI221" s="43">
        <v>0</v>
      </c>
      <c r="BJ221" s="43" t="s">
        <v>2090</v>
      </c>
      <c r="BK221" s="43" t="s">
        <v>2090</v>
      </c>
      <c r="BL221" s="43" t="s">
        <v>2090</v>
      </c>
      <c r="BM221" s="43" t="s">
        <v>2090</v>
      </c>
      <c r="BN221" s="43" t="s">
        <v>2090</v>
      </c>
      <c r="BO221" s="43" t="s">
        <v>2090</v>
      </c>
      <c r="BP221" s="43" t="s">
        <v>2090</v>
      </c>
      <c r="BQ221" s="43" t="s">
        <v>2090</v>
      </c>
      <c r="BR221" s="43" t="s">
        <v>2090</v>
      </c>
      <c r="BS221" s="43" t="s">
        <v>2090</v>
      </c>
      <c r="BT221" s="43" t="s">
        <v>2090</v>
      </c>
      <c r="BU221" s="43" t="s">
        <v>2090</v>
      </c>
      <c r="BV221" s="43" t="s">
        <v>2091</v>
      </c>
      <c r="BW221" s="43" t="s">
        <v>2090</v>
      </c>
    </row>
    <row r="222" spans="1:75" ht="148.69999999999999" customHeight="1" x14ac:dyDescent="0.25">
      <c r="A222" s="38" t="s">
        <v>1130</v>
      </c>
      <c r="B222" s="38" t="s">
        <v>1798</v>
      </c>
      <c r="C222" s="39" t="s">
        <v>1131</v>
      </c>
      <c r="D222" s="40" t="s">
        <v>1132</v>
      </c>
      <c r="E222" s="41">
        <v>50967.353419999999</v>
      </c>
      <c r="F222" s="41">
        <v>2591994.6197199998</v>
      </c>
      <c r="G222" s="41">
        <v>298148.2</v>
      </c>
      <c r="H222" s="41">
        <v>258482.7</v>
      </c>
      <c r="I222" s="42">
        <v>1.1325181916928608</v>
      </c>
      <c r="J222" s="41">
        <v>0</v>
      </c>
      <c r="K222" s="41">
        <v>113038.35484</v>
      </c>
      <c r="L222" s="41">
        <v>62077.5</v>
      </c>
      <c r="M222" s="41">
        <v>185013.7</v>
      </c>
      <c r="N222" s="42">
        <v>0.31820685170562746</v>
      </c>
      <c r="O222" s="41">
        <v>60982.73835</v>
      </c>
      <c r="P222" s="41">
        <v>2846756.46276</v>
      </c>
      <c r="Q222" s="41">
        <v>535872.30000000005</v>
      </c>
      <c r="R222" s="41">
        <v>437326.1</v>
      </c>
      <c r="S222" s="42">
        <v>1.2050149276191857</v>
      </c>
      <c r="T222" s="41">
        <v>2432.2378899999999</v>
      </c>
      <c r="U222" s="41">
        <v>418833.64867999998</v>
      </c>
      <c r="V222" s="41">
        <v>97132</v>
      </c>
      <c r="W222" s="41">
        <v>288841.59999999998</v>
      </c>
      <c r="X222" s="42">
        <v>0.3148495843165115</v>
      </c>
      <c r="Y222" s="43">
        <v>2</v>
      </c>
      <c r="Z222" s="43" t="s">
        <v>2090</v>
      </c>
      <c r="AA222" s="43" t="s">
        <v>2090</v>
      </c>
      <c r="AB222" s="43" t="s">
        <v>2090</v>
      </c>
      <c r="AC222" s="43" t="s">
        <v>2090</v>
      </c>
      <c r="AD222" s="43">
        <v>0</v>
      </c>
      <c r="AE222" s="43">
        <v>0</v>
      </c>
      <c r="AF222" s="43">
        <v>0</v>
      </c>
      <c r="AG222" s="43">
        <v>0</v>
      </c>
      <c r="AH222" s="43">
        <v>0</v>
      </c>
      <c r="AI222" s="43">
        <v>1</v>
      </c>
      <c r="AJ222" s="43">
        <v>0</v>
      </c>
      <c r="AK222" s="43">
        <v>0</v>
      </c>
      <c r="AL222" s="43">
        <v>0</v>
      </c>
      <c r="AM222" s="43">
        <v>0</v>
      </c>
      <c r="AN222" s="43">
        <v>0</v>
      </c>
      <c r="AO222" s="43">
        <v>0</v>
      </c>
      <c r="AP222" s="43">
        <v>0</v>
      </c>
      <c r="AQ222" s="43">
        <v>0</v>
      </c>
      <c r="AR222" s="43">
        <v>0</v>
      </c>
      <c r="AS222" s="43">
        <v>0</v>
      </c>
      <c r="AT222" s="43">
        <v>0</v>
      </c>
      <c r="AU222" s="43">
        <v>0</v>
      </c>
      <c r="AV222" s="43">
        <v>0</v>
      </c>
      <c r="AW222" s="43">
        <v>0</v>
      </c>
      <c r="AX222" s="43">
        <v>0</v>
      </c>
      <c r="AY222" s="43">
        <v>1</v>
      </c>
      <c r="AZ222" s="43">
        <v>0</v>
      </c>
      <c r="BA222" s="43">
        <v>0</v>
      </c>
      <c r="BB222" s="43">
        <v>0</v>
      </c>
      <c r="BC222" s="43">
        <v>0</v>
      </c>
      <c r="BD222" s="43">
        <v>0</v>
      </c>
      <c r="BE222" s="43">
        <v>0</v>
      </c>
      <c r="BF222" s="43">
        <v>0</v>
      </c>
      <c r="BG222" s="43">
        <v>0</v>
      </c>
      <c r="BH222" s="43">
        <v>0</v>
      </c>
      <c r="BI222" s="43">
        <v>0</v>
      </c>
      <c r="BJ222" s="43" t="s">
        <v>2090</v>
      </c>
      <c r="BK222" s="43" t="s">
        <v>2090</v>
      </c>
      <c r="BL222" s="43" t="s">
        <v>2090</v>
      </c>
      <c r="BM222" s="43" t="s">
        <v>2090</v>
      </c>
      <c r="BN222" s="43" t="s">
        <v>2090</v>
      </c>
      <c r="BO222" s="43" t="s">
        <v>2090</v>
      </c>
      <c r="BP222" s="43" t="s">
        <v>2090</v>
      </c>
      <c r="BQ222" s="43" t="s">
        <v>2090</v>
      </c>
      <c r="BR222" s="43" t="s">
        <v>2090</v>
      </c>
      <c r="BS222" s="43" t="s">
        <v>2090</v>
      </c>
      <c r="BT222" s="43" t="s">
        <v>2090</v>
      </c>
      <c r="BU222" s="43" t="s">
        <v>2090</v>
      </c>
      <c r="BV222" s="43" t="s">
        <v>2090</v>
      </c>
      <c r="BW222" s="43" t="s">
        <v>2091</v>
      </c>
    </row>
    <row r="223" spans="1:75" ht="117.95" customHeight="1" x14ac:dyDescent="0.25">
      <c r="A223" s="38" t="s">
        <v>1133</v>
      </c>
      <c r="B223" s="38" t="s">
        <v>1799</v>
      </c>
      <c r="C223" s="39" t="s">
        <v>1134</v>
      </c>
      <c r="D223" s="40" t="s">
        <v>1135</v>
      </c>
      <c r="E223" s="41">
        <v>1337.81907</v>
      </c>
      <c r="F223" s="41">
        <v>242619.23595999999</v>
      </c>
      <c r="G223" s="41">
        <v>59888.800000000003</v>
      </c>
      <c r="H223" s="41">
        <v>214717.1</v>
      </c>
      <c r="I223" s="42">
        <v>0.26990550122105167</v>
      </c>
      <c r="J223" s="41">
        <v>0</v>
      </c>
      <c r="K223" s="41">
        <v>9717.6260299999994</v>
      </c>
      <c r="L223" s="41">
        <v>156595.1</v>
      </c>
      <c r="M223" s="41">
        <v>339282.1</v>
      </c>
      <c r="N223" s="42">
        <v>0.44105356510695137</v>
      </c>
      <c r="O223" s="41">
        <v>87823.303759999995</v>
      </c>
      <c r="P223" s="41">
        <v>3311548.8234999999</v>
      </c>
      <c r="Q223" s="41">
        <v>519379.9</v>
      </c>
      <c r="R223" s="41">
        <v>346932.8</v>
      </c>
      <c r="S223" s="42">
        <v>1.4760817406003763</v>
      </c>
      <c r="T223" s="41">
        <v>2366.55539</v>
      </c>
      <c r="U223" s="41">
        <v>430626.38604999997</v>
      </c>
      <c r="V223" s="41">
        <v>70758.600000000006</v>
      </c>
      <c r="W223" s="41">
        <v>150509.29999999999</v>
      </c>
      <c r="X223" s="42">
        <v>0.44998222949573091</v>
      </c>
      <c r="Y223" s="43">
        <v>2</v>
      </c>
      <c r="Z223" s="43" t="s">
        <v>2090</v>
      </c>
      <c r="AA223" s="43" t="s">
        <v>2090</v>
      </c>
      <c r="AB223" s="43" t="s">
        <v>2090</v>
      </c>
      <c r="AC223" s="43" t="s">
        <v>2090</v>
      </c>
      <c r="AD223" s="43">
        <v>0</v>
      </c>
      <c r="AE223" s="43">
        <v>0</v>
      </c>
      <c r="AF223" s="43">
        <v>0</v>
      </c>
      <c r="AG223" s="43">
        <v>0</v>
      </c>
      <c r="AH223" s="43">
        <v>0</v>
      </c>
      <c r="AI223" s="43">
        <v>0</v>
      </c>
      <c r="AJ223" s="43">
        <v>0</v>
      </c>
      <c r="AK223" s="43">
        <v>0</v>
      </c>
      <c r="AL223" s="43">
        <v>0</v>
      </c>
      <c r="AM223" s="43">
        <v>0</v>
      </c>
      <c r="AN223" s="43">
        <v>0</v>
      </c>
      <c r="AO223" s="43">
        <v>0</v>
      </c>
      <c r="AP223" s="43">
        <v>0</v>
      </c>
      <c r="AQ223" s="43">
        <v>0</v>
      </c>
      <c r="AR223" s="43">
        <v>1</v>
      </c>
      <c r="AS223" s="43">
        <v>0</v>
      </c>
      <c r="AT223" s="43">
        <v>0</v>
      </c>
      <c r="AU223" s="43">
        <v>0</v>
      </c>
      <c r="AV223" s="43">
        <v>0</v>
      </c>
      <c r="AW223" s="43">
        <v>0</v>
      </c>
      <c r="AX223" s="43">
        <v>0</v>
      </c>
      <c r="AY223" s="43">
        <v>1</v>
      </c>
      <c r="AZ223" s="43">
        <v>0</v>
      </c>
      <c r="BA223" s="43">
        <v>0</v>
      </c>
      <c r="BB223" s="43">
        <v>0</v>
      </c>
      <c r="BC223" s="43">
        <v>0</v>
      </c>
      <c r="BD223" s="43">
        <v>0</v>
      </c>
      <c r="BE223" s="43">
        <v>0</v>
      </c>
      <c r="BF223" s="43">
        <v>0</v>
      </c>
      <c r="BG223" s="43">
        <v>0</v>
      </c>
      <c r="BH223" s="43">
        <v>0</v>
      </c>
      <c r="BI223" s="43">
        <v>0</v>
      </c>
      <c r="BJ223" s="43" t="s">
        <v>2090</v>
      </c>
      <c r="BK223" s="43" t="s">
        <v>2090</v>
      </c>
      <c r="BL223" s="43" t="s">
        <v>2090</v>
      </c>
      <c r="BM223" s="43" t="s">
        <v>2090</v>
      </c>
      <c r="BN223" s="43" t="s">
        <v>2090</v>
      </c>
      <c r="BO223" s="43" t="s">
        <v>2090</v>
      </c>
      <c r="BP223" s="43" t="s">
        <v>2090</v>
      </c>
      <c r="BQ223" s="43" t="s">
        <v>2090</v>
      </c>
      <c r="BR223" s="43" t="s">
        <v>2090</v>
      </c>
      <c r="BS223" s="43" t="s">
        <v>2090</v>
      </c>
      <c r="BT223" s="43" t="s">
        <v>2090</v>
      </c>
      <c r="BU223" s="43" t="s">
        <v>2090</v>
      </c>
      <c r="BV223" s="43" t="s">
        <v>2090</v>
      </c>
      <c r="BW223" s="43" t="s">
        <v>2090</v>
      </c>
    </row>
    <row r="224" spans="1:75" ht="123.2" customHeight="1" x14ac:dyDescent="0.25">
      <c r="A224" s="38" t="s">
        <v>1136</v>
      </c>
      <c r="B224" s="38" t="s">
        <v>1800</v>
      </c>
      <c r="C224" s="39" t="s">
        <v>1137</v>
      </c>
      <c r="D224" s="40" t="s">
        <v>1138</v>
      </c>
      <c r="E224" s="41">
        <v>55694.83754</v>
      </c>
      <c r="F224" s="41">
        <v>2789718.6590999998</v>
      </c>
      <c r="G224" s="41">
        <v>370595.9</v>
      </c>
      <c r="H224" s="41">
        <v>311941.09999999998</v>
      </c>
      <c r="I224" s="42">
        <v>1.1669704524399522</v>
      </c>
      <c r="J224" s="41">
        <v>33679.949159999996</v>
      </c>
      <c r="K224" s="41">
        <v>2008055.6986799999</v>
      </c>
      <c r="L224" s="41">
        <v>349133.1</v>
      </c>
      <c r="M224" s="41">
        <v>357209.5</v>
      </c>
      <c r="N224" s="42">
        <v>0.92105060644081982</v>
      </c>
      <c r="O224" s="41">
        <v>24465.2696</v>
      </c>
      <c r="P224" s="41">
        <v>2169493.0037799999</v>
      </c>
      <c r="Q224" s="41">
        <v>297342.2</v>
      </c>
      <c r="R224" s="41">
        <v>323586.40000000002</v>
      </c>
      <c r="S224" s="42">
        <v>0.89144168912917254</v>
      </c>
      <c r="T224" s="41">
        <v>19428.048460000002</v>
      </c>
      <c r="U224" s="41">
        <v>1651699.0722000001</v>
      </c>
      <c r="V224" s="41">
        <v>208826.5</v>
      </c>
      <c r="W224" s="41">
        <v>317374.7</v>
      </c>
      <c r="X224" s="42">
        <v>0.63262000798180462</v>
      </c>
      <c r="Y224" s="43">
        <v>2</v>
      </c>
      <c r="Z224" s="43" t="s">
        <v>2090</v>
      </c>
      <c r="AA224" s="43" t="s">
        <v>2090</v>
      </c>
      <c r="AB224" s="43" t="s">
        <v>2090</v>
      </c>
      <c r="AC224" s="43" t="s">
        <v>2090</v>
      </c>
      <c r="AD224" s="43">
        <v>0</v>
      </c>
      <c r="AE224" s="43">
        <v>1</v>
      </c>
      <c r="AF224" s="43">
        <v>0</v>
      </c>
      <c r="AG224" s="43">
        <v>0</v>
      </c>
      <c r="AH224" s="43">
        <v>0</v>
      </c>
      <c r="AI224" s="43">
        <v>0</v>
      </c>
      <c r="AJ224" s="43">
        <v>0</v>
      </c>
      <c r="AK224" s="43">
        <v>0</v>
      </c>
      <c r="AL224" s="43">
        <v>0</v>
      </c>
      <c r="AM224" s="43">
        <v>0</v>
      </c>
      <c r="AN224" s="43">
        <v>0</v>
      </c>
      <c r="AO224" s="43">
        <v>0</v>
      </c>
      <c r="AP224" s="43">
        <v>0</v>
      </c>
      <c r="AQ224" s="43">
        <v>0</v>
      </c>
      <c r="AR224" s="43">
        <v>0</v>
      </c>
      <c r="AS224" s="43">
        <v>0</v>
      </c>
      <c r="AT224" s="43">
        <v>0</v>
      </c>
      <c r="AU224" s="43">
        <v>0</v>
      </c>
      <c r="AV224" s="43">
        <v>0</v>
      </c>
      <c r="AW224" s="43">
        <v>0</v>
      </c>
      <c r="AX224" s="43">
        <v>0</v>
      </c>
      <c r="AY224" s="43">
        <v>1</v>
      </c>
      <c r="AZ224" s="43">
        <v>0</v>
      </c>
      <c r="BA224" s="43">
        <v>0</v>
      </c>
      <c r="BB224" s="43">
        <v>0</v>
      </c>
      <c r="BC224" s="43">
        <v>0</v>
      </c>
      <c r="BD224" s="43">
        <v>0</v>
      </c>
      <c r="BE224" s="43">
        <v>0</v>
      </c>
      <c r="BF224" s="43">
        <v>0</v>
      </c>
      <c r="BG224" s="43">
        <v>0</v>
      </c>
      <c r="BH224" s="43">
        <v>0</v>
      </c>
      <c r="BI224" s="43">
        <v>0</v>
      </c>
      <c r="BJ224" s="43" t="s">
        <v>2090</v>
      </c>
      <c r="BK224" s="43" t="s">
        <v>2090</v>
      </c>
      <c r="BL224" s="43" t="s">
        <v>2090</v>
      </c>
      <c r="BM224" s="43" t="s">
        <v>2090</v>
      </c>
      <c r="BN224" s="43" t="s">
        <v>2090</v>
      </c>
      <c r="BO224" s="43" t="s">
        <v>2090</v>
      </c>
      <c r="BP224" s="43" t="s">
        <v>2090</v>
      </c>
      <c r="BQ224" s="43" t="s">
        <v>2090</v>
      </c>
      <c r="BR224" s="43" t="s">
        <v>2090</v>
      </c>
      <c r="BS224" s="43" t="s">
        <v>2090</v>
      </c>
      <c r="BT224" s="43" t="s">
        <v>2090</v>
      </c>
      <c r="BU224" s="43" t="s">
        <v>2090</v>
      </c>
      <c r="BV224" s="43" t="s">
        <v>2090</v>
      </c>
      <c r="BW224" s="43" t="s">
        <v>2090</v>
      </c>
    </row>
    <row r="225" spans="1:75" ht="204.2" customHeight="1" x14ac:dyDescent="0.25">
      <c r="A225" s="38" t="s">
        <v>1139</v>
      </c>
      <c r="B225" s="38" t="s">
        <v>1801</v>
      </c>
      <c r="C225" s="39" t="s">
        <v>1140</v>
      </c>
      <c r="D225" s="40" t="s">
        <v>1141</v>
      </c>
      <c r="E225" s="41">
        <v>55436.03183</v>
      </c>
      <c r="F225" s="41">
        <v>2729780.5597199998</v>
      </c>
      <c r="G225" s="41">
        <v>319203.59999999998</v>
      </c>
      <c r="H225" s="41">
        <v>272160.90000000002</v>
      </c>
      <c r="I225" s="42">
        <v>1.1523445991183299</v>
      </c>
      <c r="J225" s="41">
        <v>0</v>
      </c>
      <c r="K225" s="41">
        <v>163258.34328</v>
      </c>
      <c r="L225" s="41">
        <v>16021.8</v>
      </c>
      <c r="M225" s="41">
        <v>141117.1</v>
      </c>
      <c r="N225" s="42">
        <v>0.11211574843013083</v>
      </c>
      <c r="O225" s="41">
        <v>12177.66764</v>
      </c>
      <c r="P225" s="41">
        <v>1196515.02082</v>
      </c>
      <c r="Q225" s="41">
        <v>123045.4</v>
      </c>
      <c r="R225" s="41">
        <v>254628.7</v>
      </c>
      <c r="S225" s="42">
        <v>0.4651858430398525</v>
      </c>
      <c r="T225" s="41">
        <v>4851.2555700000003</v>
      </c>
      <c r="U225" s="41">
        <v>693043.84985999996</v>
      </c>
      <c r="V225" s="41">
        <v>31762.5</v>
      </c>
      <c r="W225" s="41">
        <v>133817.70000000001</v>
      </c>
      <c r="X225" s="42">
        <v>0.2321879044982568</v>
      </c>
      <c r="Y225" s="43">
        <v>2</v>
      </c>
      <c r="Z225" s="43" t="s">
        <v>2090</v>
      </c>
      <c r="AA225" s="43" t="s">
        <v>2090</v>
      </c>
      <c r="AB225" s="43" t="s">
        <v>2090</v>
      </c>
      <c r="AC225" s="43" t="s">
        <v>2090</v>
      </c>
      <c r="AD225" s="43">
        <v>0</v>
      </c>
      <c r="AE225" s="43">
        <v>0</v>
      </c>
      <c r="AF225" s="43">
        <v>0</v>
      </c>
      <c r="AG225" s="43">
        <v>0</v>
      </c>
      <c r="AH225" s="43">
        <v>0</v>
      </c>
      <c r="AI225" s="43">
        <v>0</v>
      </c>
      <c r="AJ225" s="43">
        <v>0</v>
      </c>
      <c r="AK225" s="43">
        <v>0</v>
      </c>
      <c r="AL225" s="43">
        <v>0</v>
      </c>
      <c r="AM225" s="43">
        <v>0</v>
      </c>
      <c r="AN225" s="43">
        <v>0</v>
      </c>
      <c r="AO225" s="43">
        <v>0</v>
      </c>
      <c r="AP225" s="43">
        <v>0</v>
      </c>
      <c r="AQ225" s="43">
        <v>0</v>
      </c>
      <c r="AR225" s="43">
        <v>0</v>
      </c>
      <c r="AS225" s="43">
        <v>0</v>
      </c>
      <c r="AT225" s="43">
        <v>0</v>
      </c>
      <c r="AU225" s="43">
        <v>0</v>
      </c>
      <c r="AV225" s="43">
        <v>0</v>
      </c>
      <c r="AW225" s="43">
        <v>0</v>
      </c>
      <c r="AX225" s="43">
        <v>0</v>
      </c>
      <c r="AY225" s="43">
        <v>1</v>
      </c>
      <c r="AZ225" s="43">
        <v>0</v>
      </c>
      <c r="BA225" s="43">
        <v>0</v>
      </c>
      <c r="BB225" s="43">
        <v>0</v>
      </c>
      <c r="BC225" s="43">
        <v>0</v>
      </c>
      <c r="BD225" s="43">
        <v>1</v>
      </c>
      <c r="BE225" s="43">
        <v>0</v>
      </c>
      <c r="BF225" s="43">
        <v>0</v>
      </c>
      <c r="BG225" s="43">
        <v>0</v>
      </c>
      <c r="BH225" s="43">
        <v>0</v>
      </c>
      <c r="BI225" s="43">
        <v>0</v>
      </c>
      <c r="BJ225" s="43" t="s">
        <v>2090</v>
      </c>
      <c r="BK225" s="43" t="s">
        <v>2090</v>
      </c>
      <c r="BL225" s="43" t="s">
        <v>2090</v>
      </c>
      <c r="BM225" s="43" t="s">
        <v>2090</v>
      </c>
      <c r="BN225" s="43" t="s">
        <v>2090</v>
      </c>
      <c r="BO225" s="43" t="s">
        <v>2090</v>
      </c>
      <c r="BP225" s="43" t="s">
        <v>2090</v>
      </c>
      <c r="BQ225" s="43" t="s">
        <v>2090</v>
      </c>
      <c r="BR225" s="43" t="s">
        <v>2090</v>
      </c>
      <c r="BS225" s="43" t="s">
        <v>2090</v>
      </c>
      <c r="BT225" s="43" t="s">
        <v>2090</v>
      </c>
      <c r="BU225" s="43" t="s">
        <v>2090</v>
      </c>
      <c r="BV225" s="43" t="s">
        <v>2090</v>
      </c>
      <c r="BW225" s="43" t="s">
        <v>2090</v>
      </c>
    </row>
    <row r="226" spans="1:75" ht="121.7" customHeight="1" x14ac:dyDescent="0.25">
      <c r="A226" s="38" t="s">
        <v>1142</v>
      </c>
      <c r="B226" s="38" t="s">
        <v>1802</v>
      </c>
      <c r="C226" s="39" t="s">
        <v>1143</v>
      </c>
      <c r="D226" s="40" t="s">
        <v>1144</v>
      </c>
      <c r="E226" s="41">
        <v>54912.602019999998</v>
      </c>
      <c r="F226" s="41">
        <v>2662811.80388</v>
      </c>
      <c r="G226" s="41">
        <v>220131.9</v>
      </c>
      <c r="H226" s="41">
        <v>181815.6</v>
      </c>
      <c r="I226" s="42">
        <v>1.161643253031883</v>
      </c>
      <c r="J226" s="41">
        <v>1066.07527</v>
      </c>
      <c r="K226" s="41">
        <v>163486.14971999999</v>
      </c>
      <c r="L226" s="41">
        <v>23479.599999999999</v>
      </c>
      <c r="M226" s="41">
        <v>199776.7</v>
      </c>
      <c r="N226" s="42">
        <v>0.11188977313220097</v>
      </c>
      <c r="O226" s="41">
        <v>27446.399819999999</v>
      </c>
      <c r="P226" s="41">
        <v>2292574.3147999998</v>
      </c>
      <c r="Q226" s="41">
        <v>16527.5</v>
      </c>
      <c r="R226" s="41">
        <v>16216</v>
      </c>
      <c r="S226" s="42">
        <v>0.99285203716940673</v>
      </c>
      <c r="T226" s="41">
        <v>12825.48431</v>
      </c>
      <c r="U226" s="41">
        <v>859917.45345999999</v>
      </c>
      <c r="V226" s="41">
        <v>14115.3</v>
      </c>
      <c r="W226" s="41">
        <v>41623.4</v>
      </c>
      <c r="X226" s="42">
        <v>0.32118867698212783</v>
      </c>
      <c r="Y226" s="43">
        <v>2</v>
      </c>
      <c r="Z226" s="43" t="s">
        <v>2090</v>
      </c>
      <c r="AA226" s="43" t="s">
        <v>2090</v>
      </c>
      <c r="AB226" s="43" t="s">
        <v>2090</v>
      </c>
      <c r="AC226" s="43" t="s">
        <v>2090</v>
      </c>
      <c r="AD226" s="43">
        <v>0</v>
      </c>
      <c r="AE226" s="43">
        <v>0</v>
      </c>
      <c r="AF226" s="43">
        <v>0</v>
      </c>
      <c r="AG226" s="43">
        <v>0</v>
      </c>
      <c r="AH226" s="43">
        <v>0</v>
      </c>
      <c r="AI226" s="43">
        <v>0</v>
      </c>
      <c r="AJ226" s="43">
        <v>0</v>
      </c>
      <c r="AK226" s="43">
        <v>0</v>
      </c>
      <c r="AL226" s="43">
        <v>0</v>
      </c>
      <c r="AM226" s="43">
        <v>0</v>
      </c>
      <c r="AN226" s="43">
        <v>0</v>
      </c>
      <c r="AO226" s="43">
        <v>0</v>
      </c>
      <c r="AP226" s="43">
        <v>0</v>
      </c>
      <c r="AQ226" s="43">
        <v>0</v>
      </c>
      <c r="AR226" s="43">
        <v>0</v>
      </c>
      <c r="AS226" s="43">
        <v>0</v>
      </c>
      <c r="AT226" s="43">
        <v>0</v>
      </c>
      <c r="AU226" s="43">
        <v>0</v>
      </c>
      <c r="AV226" s="43">
        <v>0</v>
      </c>
      <c r="AW226" s="43">
        <v>0</v>
      </c>
      <c r="AX226" s="43">
        <v>0</v>
      </c>
      <c r="AY226" s="43">
        <v>1</v>
      </c>
      <c r="AZ226" s="43">
        <v>0</v>
      </c>
      <c r="BA226" s="43">
        <v>0</v>
      </c>
      <c r="BB226" s="43">
        <v>0</v>
      </c>
      <c r="BC226" s="43">
        <v>0</v>
      </c>
      <c r="BD226" s="43">
        <v>1</v>
      </c>
      <c r="BE226" s="43">
        <v>0</v>
      </c>
      <c r="BF226" s="43">
        <v>0</v>
      </c>
      <c r="BG226" s="43">
        <v>0</v>
      </c>
      <c r="BH226" s="43">
        <v>0</v>
      </c>
      <c r="BI226" s="43">
        <v>0</v>
      </c>
      <c r="BJ226" s="43" t="s">
        <v>2090</v>
      </c>
      <c r="BK226" s="43" t="s">
        <v>2090</v>
      </c>
      <c r="BL226" s="43" t="s">
        <v>2090</v>
      </c>
      <c r="BM226" s="43" t="s">
        <v>2090</v>
      </c>
      <c r="BN226" s="43" t="s">
        <v>2090</v>
      </c>
      <c r="BO226" s="43" t="s">
        <v>2090</v>
      </c>
      <c r="BP226" s="43" t="s">
        <v>2090</v>
      </c>
      <c r="BQ226" s="43" t="s">
        <v>2090</v>
      </c>
      <c r="BR226" s="43" t="s">
        <v>2090</v>
      </c>
      <c r="BS226" s="43" t="s">
        <v>2090</v>
      </c>
      <c r="BT226" s="43" t="s">
        <v>2090</v>
      </c>
      <c r="BU226" s="43" t="s">
        <v>2090</v>
      </c>
      <c r="BV226" s="43" t="s">
        <v>2090</v>
      </c>
      <c r="BW226" s="43" t="s">
        <v>2090</v>
      </c>
    </row>
    <row r="227" spans="1:75" ht="164.45" customHeight="1" x14ac:dyDescent="0.25">
      <c r="A227" s="38" t="s">
        <v>1145</v>
      </c>
      <c r="B227" s="38" t="s">
        <v>1803</v>
      </c>
      <c r="C227" s="39" t="s">
        <v>1146</v>
      </c>
      <c r="D227" s="40" t="s">
        <v>1147</v>
      </c>
      <c r="E227" s="41">
        <v>65160.309439999997</v>
      </c>
      <c r="F227" s="41">
        <v>2920986.4019200001</v>
      </c>
      <c r="G227" s="41">
        <v>127013</v>
      </c>
      <c r="H227" s="41">
        <v>82521.8</v>
      </c>
      <c r="I227" s="42">
        <v>1.4346263841020752</v>
      </c>
      <c r="J227" s="41">
        <v>0</v>
      </c>
      <c r="K227" s="41">
        <v>0</v>
      </c>
      <c r="L227" s="41">
        <v>67608.399999999994</v>
      </c>
      <c r="M227" s="41">
        <v>402778</v>
      </c>
      <c r="N227" s="42">
        <v>0.15821663908346412</v>
      </c>
      <c r="O227" s="41">
        <v>0</v>
      </c>
      <c r="P227" s="41">
        <v>58344.581140000002</v>
      </c>
      <c r="Q227" s="41">
        <v>17581.2</v>
      </c>
      <c r="R227" s="41">
        <v>82650.8</v>
      </c>
      <c r="S227" s="42">
        <v>0.2199318040917545</v>
      </c>
      <c r="T227" s="41">
        <v>3981.4109100000001</v>
      </c>
      <c r="U227" s="41">
        <v>611811.77333</v>
      </c>
      <c r="V227" s="41">
        <v>106945</v>
      </c>
      <c r="W227" s="41">
        <v>368431.5</v>
      </c>
      <c r="X227" s="42">
        <v>0.27791054508542484</v>
      </c>
      <c r="Y227" s="43">
        <v>2</v>
      </c>
      <c r="Z227" s="43" t="s">
        <v>2090</v>
      </c>
      <c r="AA227" s="43" t="s">
        <v>2090</v>
      </c>
      <c r="AB227" s="43" t="s">
        <v>2090</v>
      </c>
      <c r="AC227" s="43" t="s">
        <v>2090</v>
      </c>
      <c r="AD227" s="43">
        <v>0</v>
      </c>
      <c r="AE227" s="43">
        <v>0</v>
      </c>
      <c r="AF227" s="43">
        <v>0</v>
      </c>
      <c r="AG227" s="43">
        <v>0</v>
      </c>
      <c r="AH227" s="43">
        <v>0</v>
      </c>
      <c r="AI227" s="43">
        <v>0</v>
      </c>
      <c r="AJ227" s="43">
        <v>0</v>
      </c>
      <c r="AK227" s="43">
        <v>1</v>
      </c>
      <c r="AL227" s="43">
        <v>0</v>
      </c>
      <c r="AM227" s="43">
        <v>0</v>
      </c>
      <c r="AN227" s="43">
        <v>0</v>
      </c>
      <c r="AO227" s="43">
        <v>0</v>
      </c>
      <c r="AP227" s="43">
        <v>0</v>
      </c>
      <c r="AQ227" s="43">
        <v>0</v>
      </c>
      <c r="AR227" s="43">
        <v>0</v>
      </c>
      <c r="AS227" s="43">
        <v>0</v>
      </c>
      <c r="AT227" s="43">
        <v>0</v>
      </c>
      <c r="AU227" s="43">
        <v>0</v>
      </c>
      <c r="AV227" s="43">
        <v>0</v>
      </c>
      <c r="AW227" s="43">
        <v>1</v>
      </c>
      <c r="AX227" s="43">
        <v>0</v>
      </c>
      <c r="AY227" s="43">
        <v>0</v>
      </c>
      <c r="AZ227" s="43">
        <v>0</v>
      </c>
      <c r="BA227" s="43">
        <v>0</v>
      </c>
      <c r="BB227" s="43">
        <v>0</v>
      </c>
      <c r="BC227" s="43">
        <v>0</v>
      </c>
      <c r="BD227" s="43">
        <v>0</v>
      </c>
      <c r="BE227" s="43">
        <v>0</v>
      </c>
      <c r="BF227" s="43">
        <v>0</v>
      </c>
      <c r="BG227" s="43">
        <v>0</v>
      </c>
      <c r="BH227" s="43">
        <v>0</v>
      </c>
      <c r="BI227" s="43">
        <v>0</v>
      </c>
      <c r="BJ227" s="43" t="s">
        <v>2090</v>
      </c>
      <c r="BK227" s="43" t="s">
        <v>2091</v>
      </c>
      <c r="BL227" s="43" t="s">
        <v>2090</v>
      </c>
      <c r="BM227" s="43" t="s">
        <v>2090</v>
      </c>
      <c r="BN227" s="43" t="s">
        <v>2090</v>
      </c>
      <c r="BO227" s="43" t="s">
        <v>2090</v>
      </c>
      <c r="BP227" s="43" t="s">
        <v>2090</v>
      </c>
      <c r="BQ227" s="43" t="s">
        <v>2090</v>
      </c>
      <c r="BR227" s="43" t="s">
        <v>2090</v>
      </c>
      <c r="BS227" s="43" t="s">
        <v>2090</v>
      </c>
      <c r="BT227" s="43" t="s">
        <v>2090</v>
      </c>
      <c r="BU227" s="43" t="s">
        <v>2090</v>
      </c>
      <c r="BV227" s="43" t="s">
        <v>2090</v>
      </c>
      <c r="BW227" s="43" t="s">
        <v>2090</v>
      </c>
    </row>
    <row r="228" spans="1:75" ht="193.7" customHeight="1" x14ac:dyDescent="0.25">
      <c r="A228" s="38" t="s">
        <v>1148</v>
      </c>
      <c r="B228" s="38" t="s">
        <v>1804</v>
      </c>
      <c r="C228" s="39" t="s">
        <v>1149</v>
      </c>
      <c r="D228" s="40" t="s">
        <v>1150</v>
      </c>
      <c r="E228" s="41">
        <v>54843.708050000001</v>
      </c>
      <c r="F228" s="41">
        <v>2723994.6185499998</v>
      </c>
      <c r="G228" s="41">
        <v>343406.4</v>
      </c>
      <c r="H228" s="41">
        <v>304576.3</v>
      </c>
      <c r="I228" s="42">
        <v>1.1019836188359224</v>
      </c>
      <c r="J228" s="41">
        <v>58881.861169999996</v>
      </c>
      <c r="K228" s="41">
        <v>2579005.3143600002</v>
      </c>
      <c r="L228" s="41">
        <v>271151.2</v>
      </c>
      <c r="M228" s="41">
        <v>220950.7</v>
      </c>
      <c r="N228" s="42">
        <v>1.1702173244264744</v>
      </c>
      <c r="O228" s="41">
        <v>48336.825389999998</v>
      </c>
      <c r="P228" s="41">
        <v>2642667.2668499998</v>
      </c>
      <c r="Q228" s="41">
        <v>353366.2</v>
      </c>
      <c r="R228" s="41">
        <v>302997.3</v>
      </c>
      <c r="S228" s="42">
        <v>1.1050122326077412</v>
      </c>
      <c r="T228" s="41">
        <v>62364.416579999997</v>
      </c>
      <c r="U228" s="41">
        <v>2779134.3774100002</v>
      </c>
      <c r="V228" s="41">
        <v>59777.5</v>
      </c>
      <c r="W228" s="41">
        <v>37764.699999999997</v>
      </c>
      <c r="X228" s="42">
        <v>1.3115796711167134</v>
      </c>
      <c r="Y228" s="43">
        <v>2</v>
      </c>
      <c r="Z228" s="43" t="s">
        <v>2090</v>
      </c>
      <c r="AA228" s="43" t="s">
        <v>2090</v>
      </c>
      <c r="AB228" s="43" t="s">
        <v>2090</v>
      </c>
      <c r="AC228" s="43" t="s">
        <v>2090</v>
      </c>
      <c r="AD228" s="43">
        <v>0</v>
      </c>
      <c r="AE228" s="43">
        <v>1</v>
      </c>
      <c r="AF228" s="43">
        <v>0</v>
      </c>
      <c r="AG228" s="43">
        <v>0</v>
      </c>
      <c r="AH228" s="43">
        <v>0</v>
      </c>
      <c r="AI228" s="43">
        <v>0</v>
      </c>
      <c r="AJ228" s="43">
        <v>0</v>
      </c>
      <c r="AK228" s="43">
        <v>0</v>
      </c>
      <c r="AL228" s="43">
        <v>1</v>
      </c>
      <c r="AM228" s="43">
        <v>0</v>
      </c>
      <c r="AN228" s="43">
        <v>0</v>
      </c>
      <c r="AO228" s="43">
        <v>0</v>
      </c>
      <c r="AP228" s="43">
        <v>0</v>
      </c>
      <c r="AQ228" s="43">
        <v>0</v>
      </c>
      <c r="AR228" s="43">
        <v>0</v>
      </c>
      <c r="AS228" s="43">
        <v>0</v>
      </c>
      <c r="AT228" s="43">
        <v>0</v>
      </c>
      <c r="AU228" s="43">
        <v>0</v>
      </c>
      <c r="AV228" s="43">
        <v>0</v>
      </c>
      <c r="AW228" s="43">
        <v>0</v>
      </c>
      <c r="AX228" s="43">
        <v>0</v>
      </c>
      <c r="AY228" s="43">
        <v>0</v>
      </c>
      <c r="AZ228" s="43">
        <v>0</v>
      </c>
      <c r="BA228" s="43">
        <v>0</v>
      </c>
      <c r="BB228" s="43">
        <v>0</v>
      </c>
      <c r="BC228" s="43">
        <v>0</v>
      </c>
      <c r="BD228" s="43">
        <v>0</v>
      </c>
      <c r="BE228" s="43">
        <v>0</v>
      </c>
      <c r="BF228" s="43">
        <v>0</v>
      </c>
      <c r="BG228" s="43">
        <v>0</v>
      </c>
      <c r="BH228" s="43">
        <v>0</v>
      </c>
      <c r="BI228" s="43">
        <v>0</v>
      </c>
      <c r="BJ228" s="43" t="s">
        <v>2090</v>
      </c>
      <c r="BK228" s="43" t="s">
        <v>2090</v>
      </c>
      <c r="BL228" s="43" t="s">
        <v>2090</v>
      </c>
      <c r="BM228" s="43" t="s">
        <v>2090</v>
      </c>
      <c r="BN228" s="43" t="s">
        <v>2090</v>
      </c>
      <c r="BO228" s="43" t="s">
        <v>2090</v>
      </c>
      <c r="BP228" s="43" t="s">
        <v>2090</v>
      </c>
      <c r="BQ228" s="43" t="s">
        <v>2090</v>
      </c>
      <c r="BR228" s="43" t="s">
        <v>2090</v>
      </c>
      <c r="BS228" s="43" t="s">
        <v>2090</v>
      </c>
      <c r="BT228" s="43" t="s">
        <v>2090</v>
      </c>
      <c r="BU228" s="43" t="s">
        <v>2090</v>
      </c>
      <c r="BV228" s="43" t="s">
        <v>2090</v>
      </c>
      <c r="BW228" s="43" t="s">
        <v>2090</v>
      </c>
    </row>
    <row r="229" spans="1:75" ht="201.2" customHeight="1" x14ac:dyDescent="0.25">
      <c r="A229" s="38" t="s">
        <v>1151</v>
      </c>
      <c r="B229" s="38" t="s">
        <v>1805</v>
      </c>
      <c r="C229" s="39" t="s">
        <v>1152</v>
      </c>
      <c r="D229" s="40" t="s">
        <v>1153</v>
      </c>
      <c r="E229" s="41">
        <v>57876.623330000002</v>
      </c>
      <c r="F229" s="41">
        <v>2749979.3379600001</v>
      </c>
      <c r="G229" s="41">
        <v>469663.8</v>
      </c>
      <c r="H229" s="41">
        <v>380935.8</v>
      </c>
      <c r="I229" s="42">
        <v>1.1990765991450931</v>
      </c>
      <c r="J229" s="41">
        <v>48806.39172</v>
      </c>
      <c r="K229" s="41">
        <v>2355015.0172999999</v>
      </c>
      <c r="L229" s="41">
        <v>95500.5</v>
      </c>
      <c r="M229" s="41">
        <v>77670.399999999994</v>
      </c>
      <c r="N229" s="42">
        <v>1.1276621527462207</v>
      </c>
      <c r="O229" s="41">
        <v>27408.151279999998</v>
      </c>
      <c r="P229" s="41">
        <v>1936906.26431</v>
      </c>
      <c r="Q229" s="41">
        <v>266064.2</v>
      </c>
      <c r="R229" s="41">
        <v>299344.3</v>
      </c>
      <c r="S229" s="42">
        <v>0.84403046680249028</v>
      </c>
      <c r="T229" s="41">
        <v>62112.323329999999</v>
      </c>
      <c r="U229" s="41">
        <v>2823423.5264300001</v>
      </c>
      <c r="V229" s="41">
        <v>212750.2</v>
      </c>
      <c r="W229" s="41">
        <v>147939.5</v>
      </c>
      <c r="X229" s="42">
        <v>1.1546630502816608</v>
      </c>
      <c r="Y229" s="43">
        <v>2</v>
      </c>
      <c r="Z229" s="43" t="s">
        <v>2090</v>
      </c>
      <c r="AA229" s="43" t="s">
        <v>2090</v>
      </c>
      <c r="AB229" s="43" t="s">
        <v>2090</v>
      </c>
      <c r="AC229" s="43" t="s">
        <v>2090</v>
      </c>
      <c r="AD229" s="43">
        <v>0</v>
      </c>
      <c r="AE229" s="43">
        <v>1</v>
      </c>
      <c r="AF229" s="43">
        <v>0</v>
      </c>
      <c r="AG229" s="43">
        <v>0</v>
      </c>
      <c r="AH229" s="43">
        <v>0</v>
      </c>
      <c r="AI229" s="43">
        <v>0</v>
      </c>
      <c r="AJ229" s="43">
        <v>0</v>
      </c>
      <c r="AK229" s="43">
        <v>0</v>
      </c>
      <c r="AL229" s="43">
        <v>1</v>
      </c>
      <c r="AM229" s="43">
        <v>0</v>
      </c>
      <c r="AN229" s="43">
        <v>0</v>
      </c>
      <c r="AO229" s="43">
        <v>0</v>
      </c>
      <c r="AP229" s="43">
        <v>0</v>
      </c>
      <c r="AQ229" s="43">
        <v>0</v>
      </c>
      <c r="AR229" s="43">
        <v>0</v>
      </c>
      <c r="AS229" s="43">
        <v>0</v>
      </c>
      <c r="AT229" s="43">
        <v>0</v>
      </c>
      <c r="AU229" s="43">
        <v>0</v>
      </c>
      <c r="AV229" s="43">
        <v>0</v>
      </c>
      <c r="AW229" s="43">
        <v>0</v>
      </c>
      <c r="AX229" s="43">
        <v>0</v>
      </c>
      <c r="AY229" s="43">
        <v>0</v>
      </c>
      <c r="AZ229" s="43">
        <v>0</v>
      </c>
      <c r="BA229" s="43">
        <v>0</v>
      </c>
      <c r="BB229" s="43">
        <v>0</v>
      </c>
      <c r="BC229" s="43">
        <v>0</v>
      </c>
      <c r="BD229" s="43">
        <v>0</v>
      </c>
      <c r="BE229" s="43">
        <v>0</v>
      </c>
      <c r="BF229" s="43">
        <v>0</v>
      </c>
      <c r="BG229" s="43">
        <v>0</v>
      </c>
      <c r="BH229" s="43">
        <v>0</v>
      </c>
      <c r="BI229" s="43">
        <v>0</v>
      </c>
      <c r="BJ229" s="43" t="s">
        <v>2090</v>
      </c>
      <c r="BK229" s="43" t="s">
        <v>2090</v>
      </c>
      <c r="BL229" s="43" t="s">
        <v>2090</v>
      </c>
      <c r="BM229" s="43" t="s">
        <v>2090</v>
      </c>
      <c r="BN229" s="43" t="s">
        <v>2090</v>
      </c>
      <c r="BO229" s="43" t="s">
        <v>2090</v>
      </c>
      <c r="BP229" s="43" t="s">
        <v>2090</v>
      </c>
      <c r="BQ229" s="43" t="s">
        <v>2090</v>
      </c>
      <c r="BR229" s="43" t="s">
        <v>2090</v>
      </c>
      <c r="BS229" s="43" t="s">
        <v>2090</v>
      </c>
      <c r="BT229" s="43" t="s">
        <v>2090</v>
      </c>
      <c r="BU229" s="43" t="s">
        <v>2090</v>
      </c>
      <c r="BV229" s="43" t="s">
        <v>2090</v>
      </c>
      <c r="BW229" s="43" t="s">
        <v>2090</v>
      </c>
    </row>
    <row r="230" spans="1:75" ht="163.69999999999999" customHeight="1" x14ac:dyDescent="0.25">
      <c r="A230" s="38" t="s">
        <v>1154</v>
      </c>
      <c r="B230" s="38" t="s">
        <v>1806</v>
      </c>
      <c r="C230" s="39" t="s">
        <v>1155</v>
      </c>
      <c r="D230" s="40" t="s">
        <v>1156</v>
      </c>
      <c r="E230" s="41">
        <v>57182.552790000002</v>
      </c>
      <c r="F230" s="41">
        <v>2734115.3390500001</v>
      </c>
      <c r="G230" s="41">
        <v>461351</v>
      </c>
      <c r="H230" s="41">
        <v>387655.8</v>
      </c>
      <c r="I230" s="42">
        <v>1.1667063303188958</v>
      </c>
      <c r="J230" s="41">
        <v>2804.5918299999998</v>
      </c>
      <c r="K230" s="41">
        <v>424886.01452000003</v>
      </c>
      <c r="L230" s="41">
        <v>216629.8</v>
      </c>
      <c r="M230" s="41">
        <v>563040.1</v>
      </c>
      <c r="N230" s="42">
        <v>0.34799198583581781</v>
      </c>
      <c r="O230" s="41">
        <v>24264.253379999998</v>
      </c>
      <c r="P230" s="41">
        <v>1918142.5005999999</v>
      </c>
      <c r="Q230" s="41">
        <v>210785.7</v>
      </c>
      <c r="R230" s="41">
        <v>244274</v>
      </c>
      <c r="S230" s="42">
        <v>0.82718966211880807</v>
      </c>
      <c r="T230" s="41">
        <v>18870.139019999999</v>
      </c>
      <c r="U230" s="41">
        <v>1655814.33876</v>
      </c>
      <c r="V230" s="41">
        <v>99898.9</v>
      </c>
      <c r="W230" s="41">
        <v>221205.6</v>
      </c>
      <c r="X230" s="42">
        <v>0.42633765509549704</v>
      </c>
      <c r="Y230" s="43">
        <v>2</v>
      </c>
      <c r="Z230" s="43" t="s">
        <v>2090</v>
      </c>
      <c r="AA230" s="43" t="s">
        <v>2090</v>
      </c>
      <c r="AB230" s="43" t="s">
        <v>2090</v>
      </c>
      <c r="AC230" s="43" t="s">
        <v>2090</v>
      </c>
      <c r="AD230" s="43">
        <v>0</v>
      </c>
      <c r="AE230" s="43">
        <v>0</v>
      </c>
      <c r="AF230" s="43">
        <v>0</v>
      </c>
      <c r="AG230" s="43">
        <v>0</v>
      </c>
      <c r="AH230" s="43">
        <v>0</v>
      </c>
      <c r="AI230" s="43">
        <v>0</v>
      </c>
      <c r="AJ230" s="43">
        <v>0</v>
      </c>
      <c r="AK230" s="43">
        <v>0</v>
      </c>
      <c r="AL230" s="43">
        <v>1</v>
      </c>
      <c r="AM230" s="43">
        <v>0</v>
      </c>
      <c r="AN230" s="43">
        <v>0</v>
      </c>
      <c r="AO230" s="43">
        <v>0</v>
      </c>
      <c r="AP230" s="43">
        <v>0</v>
      </c>
      <c r="AQ230" s="43">
        <v>0</v>
      </c>
      <c r="AR230" s="43">
        <v>0</v>
      </c>
      <c r="AS230" s="43">
        <v>0</v>
      </c>
      <c r="AT230" s="43">
        <v>0</v>
      </c>
      <c r="AU230" s="43">
        <v>0</v>
      </c>
      <c r="AV230" s="43">
        <v>0</v>
      </c>
      <c r="AW230" s="43">
        <v>1</v>
      </c>
      <c r="AX230" s="43">
        <v>0</v>
      </c>
      <c r="AY230" s="43">
        <v>0</v>
      </c>
      <c r="AZ230" s="43">
        <v>0</v>
      </c>
      <c r="BA230" s="43">
        <v>0</v>
      </c>
      <c r="BB230" s="43">
        <v>0</v>
      </c>
      <c r="BC230" s="43">
        <v>0</v>
      </c>
      <c r="BD230" s="43">
        <v>0</v>
      </c>
      <c r="BE230" s="43">
        <v>0</v>
      </c>
      <c r="BF230" s="43">
        <v>0</v>
      </c>
      <c r="BG230" s="43">
        <v>0</v>
      </c>
      <c r="BH230" s="43">
        <v>0</v>
      </c>
      <c r="BI230" s="43">
        <v>0</v>
      </c>
      <c r="BJ230" s="43" t="s">
        <v>2090</v>
      </c>
      <c r="BK230" s="43" t="s">
        <v>2090</v>
      </c>
      <c r="BL230" s="43" t="s">
        <v>2090</v>
      </c>
      <c r="BM230" s="43" t="s">
        <v>2090</v>
      </c>
      <c r="BN230" s="43" t="s">
        <v>2090</v>
      </c>
      <c r="BO230" s="43" t="s">
        <v>2090</v>
      </c>
      <c r="BP230" s="43" t="s">
        <v>2090</v>
      </c>
      <c r="BQ230" s="43" t="s">
        <v>2090</v>
      </c>
      <c r="BR230" s="43" t="s">
        <v>2090</v>
      </c>
      <c r="BS230" s="43" t="s">
        <v>2090</v>
      </c>
      <c r="BT230" s="43" t="s">
        <v>2090</v>
      </c>
      <c r="BU230" s="43" t="s">
        <v>2090</v>
      </c>
      <c r="BV230" s="43" t="s">
        <v>2090</v>
      </c>
      <c r="BW230" s="43" t="s">
        <v>2090</v>
      </c>
    </row>
    <row r="231" spans="1:75" ht="150.94999999999999" customHeight="1" x14ac:dyDescent="0.25">
      <c r="A231" s="38" t="s">
        <v>1157</v>
      </c>
      <c r="B231" s="38" t="s">
        <v>1807</v>
      </c>
      <c r="C231" s="39" t="s">
        <v>1158</v>
      </c>
      <c r="D231" s="40" t="s">
        <v>1159</v>
      </c>
      <c r="E231" s="41">
        <v>53745.791129999998</v>
      </c>
      <c r="F231" s="41">
        <v>2695063.0904600001</v>
      </c>
      <c r="G231" s="41">
        <v>472178.7</v>
      </c>
      <c r="H231" s="41">
        <v>398662.6</v>
      </c>
      <c r="I231" s="42">
        <v>1.1547435909106081</v>
      </c>
      <c r="J231" s="41">
        <v>14249.85692</v>
      </c>
      <c r="K231" s="41">
        <v>1349019.4791000001</v>
      </c>
      <c r="L231" s="41">
        <v>275235.09999999998</v>
      </c>
      <c r="M231" s="41">
        <v>430355.20000000001</v>
      </c>
      <c r="N231" s="42">
        <v>0.58689332293558261</v>
      </c>
      <c r="O231" s="41">
        <v>3936.2288600000002</v>
      </c>
      <c r="P231" s="41">
        <v>435566.73372999998</v>
      </c>
      <c r="Q231" s="41">
        <v>135873.79999999999</v>
      </c>
      <c r="R231" s="41">
        <v>270754.40000000002</v>
      </c>
      <c r="S231" s="42">
        <v>0.47059472479383674</v>
      </c>
      <c r="T231" s="41">
        <v>25572.084060000001</v>
      </c>
      <c r="U231" s="41">
        <v>1913106.09027</v>
      </c>
      <c r="V231" s="41">
        <v>184763.5</v>
      </c>
      <c r="W231" s="41">
        <v>224484.7</v>
      </c>
      <c r="X231" s="42">
        <v>0.68193656604080144</v>
      </c>
      <c r="Y231" s="43">
        <v>2</v>
      </c>
      <c r="Z231" s="43" t="s">
        <v>2090</v>
      </c>
      <c r="AA231" s="43" t="s">
        <v>2090</v>
      </c>
      <c r="AB231" s="43" t="s">
        <v>2090</v>
      </c>
      <c r="AC231" s="43" t="s">
        <v>2090</v>
      </c>
      <c r="AD231" s="43">
        <v>0</v>
      </c>
      <c r="AE231" s="43">
        <v>0</v>
      </c>
      <c r="AF231" s="43">
        <v>0</v>
      </c>
      <c r="AG231" s="43">
        <v>0</v>
      </c>
      <c r="AH231" s="43">
        <v>0</v>
      </c>
      <c r="AI231" s="43">
        <v>1</v>
      </c>
      <c r="AJ231" s="43">
        <v>0</v>
      </c>
      <c r="AK231" s="43">
        <v>0</v>
      </c>
      <c r="AL231" s="43">
        <v>0</v>
      </c>
      <c r="AM231" s="43">
        <v>0</v>
      </c>
      <c r="AN231" s="43">
        <v>1</v>
      </c>
      <c r="AO231" s="43">
        <v>0</v>
      </c>
      <c r="AP231" s="43">
        <v>0</v>
      </c>
      <c r="AQ231" s="43">
        <v>0</v>
      </c>
      <c r="AR231" s="43">
        <v>0</v>
      </c>
      <c r="AS231" s="43">
        <v>0</v>
      </c>
      <c r="AT231" s="43">
        <v>0</v>
      </c>
      <c r="AU231" s="43">
        <v>0</v>
      </c>
      <c r="AV231" s="43">
        <v>0</v>
      </c>
      <c r="AW231" s="43">
        <v>0</v>
      </c>
      <c r="AX231" s="43">
        <v>0</v>
      </c>
      <c r="AY231" s="43">
        <v>0</v>
      </c>
      <c r="AZ231" s="43">
        <v>0</v>
      </c>
      <c r="BA231" s="43">
        <v>0</v>
      </c>
      <c r="BB231" s="43">
        <v>0</v>
      </c>
      <c r="BC231" s="43">
        <v>0</v>
      </c>
      <c r="BD231" s="43">
        <v>0</v>
      </c>
      <c r="BE231" s="43">
        <v>0</v>
      </c>
      <c r="BF231" s="43">
        <v>0</v>
      </c>
      <c r="BG231" s="43">
        <v>0</v>
      </c>
      <c r="BH231" s="43">
        <v>0</v>
      </c>
      <c r="BI231" s="43">
        <v>0</v>
      </c>
      <c r="BJ231" s="43" t="s">
        <v>2090</v>
      </c>
      <c r="BK231" s="43" t="s">
        <v>2090</v>
      </c>
      <c r="BL231" s="43" t="s">
        <v>2090</v>
      </c>
      <c r="BM231" s="43" t="s">
        <v>2090</v>
      </c>
      <c r="BN231" s="43" t="s">
        <v>2090</v>
      </c>
      <c r="BO231" s="43" t="s">
        <v>2090</v>
      </c>
      <c r="BP231" s="43" t="s">
        <v>2090</v>
      </c>
      <c r="BQ231" s="43" t="s">
        <v>2090</v>
      </c>
      <c r="BR231" s="43" t="s">
        <v>2090</v>
      </c>
      <c r="BS231" s="43" t="s">
        <v>2090</v>
      </c>
      <c r="BT231" s="43" t="s">
        <v>2090</v>
      </c>
      <c r="BU231" s="43" t="s">
        <v>2091</v>
      </c>
      <c r="BV231" s="43" t="s">
        <v>2090</v>
      </c>
      <c r="BW231" s="43" t="s">
        <v>2090</v>
      </c>
    </row>
    <row r="232" spans="1:75" ht="176.45" customHeight="1" x14ac:dyDescent="0.25">
      <c r="A232" s="38" t="s">
        <v>1160</v>
      </c>
      <c r="B232" s="38" t="s">
        <v>1808</v>
      </c>
      <c r="C232" s="39" t="s">
        <v>1161</v>
      </c>
      <c r="D232" s="40" t="s">
        <v>1162</v>
      </c>
      <c r="E232" s="41">
        <v>61740.895450000004</v>
      </c>
      <c r="F232" s="41">
        <v>2730769.4261599998</v>
      </c>
      <c r="G232" s="41">
        <v>40694.300000000003</v>
      </c>
      <c r="H232" s="41">
        <v>27266.799999999999</v>
      </c>
      <c r="I232" s="42">
        <v>1.4552440792653456</v>
      </c>
      <c r="J232" s="41">
        <v>1672.1197400000001</v>
      </c>
      <c r="K232" s="41">
        <v>286179.65177</v>
      </c>
      <c r="L232" s="41">
        <v>141444.20000000001</v>
      </c>
      <c r="M232" s="41">
        <v>363701.3</v>
      </c>
      <c r="N232" s="42">
        <v>0.36121015740452017</v>
      </c>
      <c r="O232" s="41">
        <v>13904.73702</v>
      </c>
      <c r="P232" s="41">
        <v>1489585.5473199999</v>
      </c>
      <c r="Q232" s="41">
        <v>18134.7</v>
      </c>
      <c r="R232" s="41">
        <v>23938.9</v>
      </c>
      <c r="S232" s="42">
        <v>0.73579781632766161</v>
      </c>
      <c r="T232" s="41">
        <v>11221.4647</v>
      </c>
      <c r="U232" s="41">
        <v>1188488.7855199999</v>
      </c>
      <c r="V232" s="41">
        <v>167158.9</v>
      </c>
      <c r="W232" s="41">
        <v>281697.5</v>
      </c>
      <c r="X232" s="42">
        <v>0.54174829542051994</v>
      </c>
      <c r="Y232" s="43">
        <v>3</v>
      </c>
      <c r="Z232" s="43" t="s">
        <v>2091</v>
      </c>
      <c r="AA232" s="43" t="s">
        <v>2090</v>
      </c>
      <c r="AB232" s="43" t="s">
        <v>2090</v>
      </c>
      <c r="AC232" s="43" t="s">
        <v>2090</v>
      </c>
      <c r="AD232" s="43">
        <v>0</v>
      </c>
      <c r="AE232" s="43">
        <v>0</v>
      </c>
      <c r="AF232" s="43">
        <v>0</v>
      </c>
      <c r="AG232" s="43">
        <v>0</v>
      </c>
      <c r="AH232" s="43">
        <v>0</v>
      </c>
      <c r="AI232" s="43">
        <v>0</v>
      </c>
      <c r="AJ232" s="43">
        <v>0</v>
      </c>
      <c r="AK232" s="43">
        <v>1</v>
      </c>
      <c r="AL232" s="43">
        <v>0</v>
      </c>
      <c r="AM232" s="43">
        <v>0</v>
      </c>
      <c r="AN232" s="43">
        <v>1</v>
      </c>
      <c r="AO232" s="43">
        <v>0</v>
      </c>
      <c r="AP232" s="43">
        <v>0</v>
      </c>
      <c r="AQ232" s="43">
        <v>0</v>
      </c>
      <c r="AR232" s="43">
        <v>0</v>
      </c>
      <c r="AS232" s="43">
        <v>0</v>
      </c>
      <c r="AT232" s="43">
        <v>0</v>
      </c>
      <c r="AU232" s="43">
        <v>0</v>
      </c>
      <c r="AV232" s="43">
        <v>0</v>
      </c>
      <c r="AW232" s="43">
        <v>0</v>
      </c>
      <c r="AX232" s="43">
        <v>0</v>
      </c>
      <c r="AY232" s="43">
        <v>0</v>
      </c>
      <c r="AZ232" s="43">
        <v>0</v>
      </c>
      <c r="BA232" s="43">
        <v>0</v>
      </c>
      <c r="BB232" s="43">
        <v>0</v>
      </c>
      <c r="BC232" s="43">
        <v>0</v>
      </c>
      <c r="BD232" s="43">
        <v>0</v>
      </c>
      <c r="BE232" s="43">
        <v>0</v>
      </c>
      <c r="BF232" s="43">
        <v>0</v>
      </c>
      <c r="BG232" s="43">
        <v>0</v>
      </c>
      <c r="BH232" s="43">
        <v>0</v>
      </c>
      <c r="BI232" s="43">
        <v>0</v>
      </c>
      <c r="BJ232" s="43" t="s">
        <v>2091</v>
      </c>
      <c r="BK232" s="43" t="s">
        <v>2090</v>
      </c>
      <c r="BL232" s="43" t="s">
        <v>2090</v>
      </c>
      <c r="BM232" s="43" t="s">
        <v>2090</v>
      </c>
      <c r="BN232" s="43" t="s">
        <v>2090</v>
      </c>
      <c r="BO232" s="43" t="s">
        <v>2090</v>
      </c>
      <c r="BP232" s="43" t="s">
        <v>2090</v>
      </c>
      <c r="BQ232" s="43" t="s">
        <v>2090</v>
      </c>
      <c r="BR232" s="43" t="s">
        <v>2090</v>
      </c>
      <c r="BS232" s="43" t="s">
        <v>2090</v>
      </c>
      <c r="BT232" s="43" t="s">
        <v>2090</v>
      </c>
      <c r="BU232" s="43" t="s">
        <v>2090</v>
      </c>
      <c r="BV232" s="43" t="s">
        <v>2090</v>
      </c>
      <c r="BW232" s="43" t="s">
        <v>2090</v>
      </c>
    </row>
    <row r="233" spans="1:75" ht="136.69999999999999" customHeight="1" x14ac:dyDescent="0.25">
      <c r="A233" s="38" t="s">
        <v>1163</v>
      </c>
      <c r="B233" s="38" t="s">
        <v>1809</v>
      </c>
      <c r="C233" s="39" t="s">
        <v>1164</v>
      </c>
      <c r="D233" s="40" t="s">
        <v>1165</v>
      </c>
      <c r="E233" s="41">
        <v>65805.590089999998</v>
      </c>
      <c r="F233" s="41">
        <v>2906990.12109</v>
      </c>
      <c r="G233" s="41">
        <v>450300.4</v>
      </c>
      <c r="H233" s="41">
        <v>333329.90000000002</v>
      </c>
      <c r="I233" s="42">
        <v>1.3289373380088429</v>
      </c>
      <c r="J233" s="41">
        <v>55195.816859999999</v>
      </c>
      <c r="K233" s="41">
        <v>2506426.9580799998</v>
      </c>
      <c r="L233" s="41">
        <v>512458.3</v>
      </c>
      <c r="M233" s="41">
        <v>406624.9</v>
      </c>
      <c r="N233" s="42">
        <v>1.0975345590774479</v>
      </c>
      <c r="O233" s="41">
        <v>88664.425440000006</v>
      </c>
      <c r="P233" s="41">
        <v>3168508.46643</v>
      </c>
      <c r="Q233" s="41">
        <v>316205</v>
      </c>
      <c r="R233" s="41">
        <v>207219.8</v>
      </c>
      <c r="S233" s="42">
        <v>1.4976262589841589</v>
      </c>
      <c r="T233" s="41">
        <v>63497.723830000003</v>
      </c>
      <c r="U233" s="41">
        <v>2787053.3640600001</v>
      </c>
      <c r="V233" s="41">
        <v>350422.5</v>
      </c>
      <c r="W233" s="41">
        <v>255123.6</v>
      </c>
      <c r="X233" s="42">
        <v>1.265058248502444</v>
      </c>
      <c r="Y233" s="43">
        <v>2</v>
      </c>
      <c r="Z233" s="43" t="s">
        <v>2090</v>
      </c>
      <c r="AA233" s="43" t="s">
        <v>2090</v>
      </c>
      <c r="AB233" s="43" t="s">
        <v>2090</v>
      </c>
      <c r="AC233" s="43" t="s">
        <v>2090</v>
      </c>
      <c r="AD233" s="43">
        <v>0</v>
      </c>
      <c r="AE233" s="43">
        <v>0</v>
      </c>
      <c r="AF233" s="43">
        <v>0</v>
      </c>
      <c r="AG233" s="43">
        <v>0</v>
      </c>
      <c r="AH233" s="43">
        <v>0</v>
      </c>
      <c r="AI233" s="43">
        <v>0</v>
      </c>
      <c r="AJ233" s="43">
        <v>0</v>
      </c>
      <c r="AK233" s="43">
        <v>1</v>
      </c>
      <c r="AL233" s="43">
        <v>0</v>
      </c>
      <c r="AM233" s="43">
        <v>0</v>
      </c>
      <c r="AN233" s="43">
        <v>1</v>
      </c>
      <c r="AO233" s="43">
        <v>0</v>
      </c>
      <c r="AP233" s="43">
        <v>0</v>
      </c>
      <c r="AQ233" s="43">
        <v>0</v>
      </c>
      <c r="AR233" s="43">
        <v>0</v>
      </c>
      <c r="AS233" s="43">
        <v>0</v>
      </c>
      <c r="AT233" s="43">
        <v>0</v>
      </c>
      <c r="AU233" s="43">
        <v>0</v>
      </c>
      <c r="AV233" s="43">
        <v>0</v>
      </c>
      <c r="AW233" s="43">
        <v>0</v>
      </c>
      <c r="AX233" s="43">
        <v>0</v>
      </c>
      <c r="AY233" s="43">
        <v>0</v>
      </c>
      <c r="AZ233" s="43">
        <v>0</v>
      </c>
      <c r="BA233" s="43">
        <v>0</v>
      </c>
      <c r="BB233" s="43">
        <v>0</v>
      </c>
      <c r="BC233" s="43">
        <v>0</v>
      </c>
      <c r="BD233" s="43">
        <v>0</v>
      </c>
      <c r="BE233" s="43">
        <v>0</v>
      </c>
      <c r="BF233" s="43">
        <v>0</v>
      </c>
      <c r="BG233" s="43">
        <v>0</v>
      </c>
      <c r="BH233" s="43">
        <v>0</v>
      </c>
      <c r="BI233" s="43">
        <v>0</v>
      </c>
      <c r="BJ233" s="43" t="s">
        <v>2090</v>
      </c>
      <c r="BK233" s="43" t="s">
        <v>2091</v>
      </c>
      <c r="BL233" s="43" t="s">
        <v>2090</v>
      </c>
      <c r="BM233" s="43" t="s">
        <v>2090</v>
      </c>
      <c r="BN233" s="43" t="s">
        <v>2090</v>
      </c>
      <c r="BO233" s="43" t="s">
        <v>2090</v>
      </c>
      <c r="BP233" s="43" t="s">
        <v>2090</v>
      </c>
      <c r="BQ233" s="43" t="s">
        <v>2090</v>
      </c>
      <c r="BR233" s="43" t="s">
        <v>2090</v>
      </c>
      <c r="BS233" s="43" t="s">
        <v>2090</v>
      </c>
      <c r="BT233" s="43" t="s">
        <v>2090</v>
      </c>
      <c r="BU233" s="43" t="s">
        <v>2090</v>
      </c>
      <c r="BV233" s="43" t="s">
        <v>2090</v>
      </c>
      <c r="BW233" s="43" t="s">
        <v>2090</v>
      </c>
    </row>
    <row r="234" spans="1:75" ht="137.44999999999999" customHeight="1" x14ac:dyDescent="0.25">
      <c r="A234" s="38" t="s">
        <v>1166</v>
      </c>
      <c r="B234" s="38" t="s">
        <v>1810</v>
      </c>
      <c r="C234" s="39" t="s">
        <v>1167</v>
      </c>
      <c r="D234" s="40" t="s">
        <v>1168</v>
      </c>
      <c r="E234" s="41">
        <v>90451.472880000001</v>
      </c>
      <c r="F234" s="41">
        <v>3341843.57596</v>
      </c>
      <c r="G234" s="41">
        <v>358951.7</v>
      </c>
      <c r="H234" s="41">
        <v>234703.7</v>
      </c>
      <c r="I234" s="42">
        <v>1.4874451590918771</v>
      </c>
      <c r="J234" s="41">
        <v>23713.471979999998</v>
      </c>
      <c r="K234" s="41">
        <v>1698493.8825600001</v>
      </c>
      <c r="L234" s="41">
        <v>546043</v>
      </c>
      <c r="M234" s="41">
        <v>641519.80000000005</v>
      </c>
      <c r="N234" s="42">
        <v>0.78773157328196708</v>
      </c>
      <c r="O234" s="41">
        <v>77280.569050000006</v>
      </c>
      <c r="P234" s="41">
        <v>3227284.4698700001</v>
      </c>
      <c r="Q234" s="41">
        <v>511080.2</v>
      </c>
      <c r="R234" s="41">
        <v>351159.2</v>
      </c>
      <c r="S234" s="42">
        <v>1.4331440054132749</v>
      </c>
      <c r="T234" s="41">
        <v>55840.854570000003</v>
      </c>
      <c r="U234" s="41">
        <v>2670333.5381499999</v>
      </c>
      <c r="V234" s="41">
        <v>148267.5</v>
      </c>
      <c r="W234" s="41">
        <v>100424.4</v>
      </c>
      <c r="X234" s="42">
        <v>1.2043668959056359</v>
      </c>
      <c r="Y234" s="43">
        <v>2</v>
      </c>
      <c r="Z234" s="43" t="s">
        <v>2090</v>
      </c>
      <c r="AA234" s="43" t="s">
        <v>2090</v>
      </c>
      <c r="AB234" s="43" t="s">
        <v>2090</v>
      </c>
      <c r="AC234" s="43" t="s">
        <v>2090</v>
      </c>
      <c r="AD234" s="43">
        <v>0</v>
      </c>
      <c r="AE234" s="43">
        <v>0</v>
      </c>
      <c r="AF234" s="43">
        <v>0</v>
      </c>
      <c r="AG234" s="43">
        <v>0</v>
      </c>
      <c r="AH234" s="43">
        <v>0</v>
      </c>
      <c r="AI234" s="43">
        <v>0</v>
      </c>
      <c r="AJ234" s="43">
        <v>0</v>
      </c>
      <c r="AK234" s="43">
        <v>0</v>
      </c>
      <c r="AL234" s="43">
        <v>1</v>
      </c>
      <c r="AM234" s="43">
        <v>0</v>
      </c>
      <c r="AN234" s="43">
        <v>1</v>
      </c>
      <c r="AO234" s="43">
        <v>0</v>
      </c>
      <c r="AP234" s="43">
        <v>0</v>
      </c>
      <c r="AQ234" s="43">
        <v>0</v>
      </c>
      <c r="AR234" s="43">
        <v>0</v>
      </c>
      <c r="AS234" s="43">
        <v>0</v>
      </c>
      <c r="AT234" s="43">
        <v>0</v>
      </c>
      <c r="AU234" s="43">
        <v>0</v>
      </c>
      <c r="AV234" s="43">
        <v>0</v>
      </c>
      <c r="AW234" s="43">
        <v>0</v>
      </c>
      <c r="AX234" s="43">
        <v>0</v>
      </c>
      <c r="AY234" s="43">
        <v>0</v>
      </c>
      <c r="AZ234" s="43">
        <v>0</v>
      </c>
      <c r="BA234" s="43">
        <v>0</v>
      </c>
      <c r="BB234" s="43">
        <v>0</v>
      </c>
      <c r="BC234" s="43">
        <v>0</v>
      </c>
      <c r="BD234" s="43">
        <v>0</v>
      </c>
      <c r="BE234" s="43">
        <v>0</v>
      </c>
      <c r="BF234" s="43">
        <v>0</v>
      </c>
      <c r="BG234" s="43">
        <v>0</v>
      </c>
      <c r="BH234" s="43">
        <v>0</v>
      </c>
      <c r="BI234" s="43">
        <v>0</v>
      </c>
      <c r="BJ234" s="43" t="s">
        <v>2090</v>
      </c>
      <c r="BK234" s="43" t="s">
        <v>2090</v>
      </c>
      <c r="BL234" s="43" t="s">
        <v>2090</v>
      </c>
      <c r="BM234" s="43" t="s">
        <v>2090</v>
      </c>
      <c r="BN234" s="43" t="s">
        <v>2090</v>
      </c>
      <c r="BO234" s="43" t="s">
        <v>2090</v>
      </c>
      <c r="BP234" s="43" t="s">
        <v>2090</v>
      </c>
      <c r="BQ234" s="43" t="s">
        <v>2090</v>
      </c>
      <c r="BR234" s="43" t="s">
        <v>2090</v>
      </c>
      <c r="BS234" s="43" t="s">
        <v>2090</v>
      </c>
      <c r="BT234" s="43" t="s">
        <v>2090</v>
      </c>
      <c r="BU234" s="43" t="s">
        <v>2090</v>
      </c>
      <c r="BV234" s="43" t="s">
        <v>2090</v>
      </c>
      <c r="BW234" s="43" t="s">
        <v>2090</v>
      </c>
    </row>
    <row r="235" spans="1:75" ht="110.45" customHeight="1" x14ac:dyDescent="0.25">
      <c r="A235" s="38" t="s">
        <v>1169</v>
      </c>
      <c r="B235" s="38" t="s">
        <v>1811</v>
      </c>
      <c r="C235" s="44" t="s">
        <v>1170</v>
      </c>
      <c r="D235" s="40" t="s">
        <v>1171</v>
      </c>
      <c r="E235" s="41">
        <v>76515.687030000001</v>
      </c>
      <c r="F235" s="41">
        <v>3090591.14701</v>
      </c>
      <c r="G235" s="41">
        <v>104751</v>
      </c>
      <c r="H235" s="41">
        <v>71477.7</v>
      </c>
      <c r="I235" s="42">
        <v>1.4071894161674017</v>
      </c>
      <c r="J235" s="41">
        <v>1408.5903599999999</v>
      </c>
      <c r="K235" s="41">
        <v>169630.96517000001</v>
      </c>
      <c r="L235" s="41">
        <v>267143.3</v>
      </c>
      <c r="M235" s="41">
        <v>291056.3</v>
      </c>
      <c r="N235" s="42">
        <v>0.88391611906167933</v>
      </c>
      <c r="O235" s="41">
        <v>8381.5120100000004</v>
      </c>
      <c r="P235" s="41">
        <v>815693.05416000006</v>
      </c>
      <c r="Q235" s="41">
        <v>70211.7</v>
      </c>
      <c r="R235" s="41">
        <v>152291.79999999999</v>
      </c>
      <c r="S235" s="42">
        <v>0.43682924237594306</v>
      </c>
      <c r="T235" s="41">
        <v>6557.05069</v>
      </c>
      <c r="U235" s="41">
        <v>667526.52002000005</v>
      </c>
      <c r="V235" s="41">
        <v>129474.6</v>
      </c>
      <c r="W235" s="41">
        <v>244152.2</v>
      </c>
      <c r="X235" s="42">
        <v>0.49167174686830145</v>
      </c>
      <c r="Y235" s="43">
        <v>3</v>
      </c>
      <c r="Z235" s="43" t="s">
        <v>2090</v>
      </c>
      <c r="AA235" s="43" t="s">
        <v>2090</v>
      </c>
      <c r="AB235" s="43" t="s">
        <v>2090</v>
      </c>
      <c r="AC235" s="43" t="s">
        <v>2090</v>
      </c>
      <c r="AD235" s="43">
        <v>1</v>
      </c>
      <c r="AE235" s="43">
        <v>0</v>
      </c>
      <c r="AF235" s="43">
        <v>0</v>
      </c>
      <c r="AG235" s="43">
        <v>0</v>
      </c>
      <c r="AH235" s="43">
        <v>0</v>
      </c>
      <c r="AI235" s="43">
        <v>0</v>
      </c>
      <c r="AJ235" s="43">
        <v>0</v>
      </c>
      <c r="AK235" s="43">
        <v>0</v>
      </c>
      <c r="AL235" s="43">
        <v>1</v>
      </c>
      <c r="AM235" s="43">
        <v>0</v>
      </c>
      <c r="AN235" s="43">
        <v>1</v>
      </c>
      <c r="AO235" s="43">
        <v>0</v>
      </c>
      <c r="AP235" s="43">
        <v>0</v>
      </c>
      <c r="AQ235" s="43">
        <v>0</v>
      </c>
      <c r="AR235" s="43">
        <v>0</v>
      </c>
      <c r="AS235" s="43">
        <v>0</v>
      </c>
      <c r="AT235" s="43">
        <v>0</v>
      </c>
      <c r="AU235" s="43">
        <v>0</v>
      </c>
      <c r="AV235" s="43">
        <v>0</v>
      </c>
      <c r="AW235" s="43">
        <v>0</v>
      </c>
      <c r="AX235" s="43">
        <v>0</v>
      </c>
      <c r="AY235" s="43">
        <v>0</v>
      </c>
      <c r="AZ235" s="43">
        <v>0</v>
      </c>
      <c r="BA235" s="43">
        <v>0</v>
      </c>
      <c r="BB235" s="43">
        <v>0</v>
      </c>
      <c r="BC235" s="43">
        <v>0</v>
      </c>
      <c r="BD235" s="43">
        <v>0</v>
      </c>
      <c r="BE235" s="43">
        <v>0</v>
      </c>
      <c r="BF235" s="43">
        <v>0</v>
      </c>
      <c r="BG235" s="43">
        <v>0</v>
      </c>
      <c r="BH235" s="43">
        <v>0</v>
      </c>
      <c r="BI235" s="43">
        <v>0</v>
      </c>
      <c r="BJ235" s="43" t="s">
        <v>2090</v>
      </c>
      <c r="BK235" s="43" t="s">
        <v>2090</v>
      </c>
      <c r="BL235" s="43" t="s">
        <v>2090</v>
      </c>
      <c r="BM235" s="43" t="s">
        <v>2090</v>
      </c>
      <c r="BN235" s="43" t="s">
        <v>2090</v>
      </c>
      <c r="BO235" s="43" t="s">
        <v>2090</v>
      </c>
      <c r="BP235" s="43" t="s">
        <v>2090</v>
      </c>
      <c r="BQ235" s="43" t="s">
        <v>2090</v>
      </c>
      <c r="BR235" s="43" t="s">
        <v>2090</v>
      </c>
      <c r="BS235" s="43" t="s">
        <v>2090</v>
      </c>
      <c r="BT235" s="43" t="s">
        <v>2090</v>
      </c>
      <c r="BU235" s="43" t="s">
        <v>2090</v>
      </c>
      <c r="BV235" s="43" t="s">
        <v>2090</v>
      </c>
      <c r="BW235" s="43" t="s">
        <v>2090</v>
      </c>
    </row>
    <row r="236" spans="1:75" ht="164.45" customHeight="1" x14ac:dyDescent="0.25">
      <c r="A236" s="38" t="s">
        <v>1172</v>
      </c>
      <c r="B236" s="38" t="s">
        <v>1812</v>
      </c>
      <c r="C236" s="39" t="s">
        <v>1173</v>
      </c>
      <c r="D236" s="40" t="s">
        <v>1174</v>
      </c>
      <c r="E236" s="41">
        <v>89174.990950000007</v>
      </c>
      <c r="F236" s="41">
        <v>3195589.79232</v>
      </c>
      <c r="G236" s="41">
        <v>98637.4</v>
      </c>
      <c r="H236" s="41">
        <v>67087.399999999994</v>
      </c>
      <c r="I236" s="42">
        <v>1.416843358256147</v>
      </c>
      <c r="J236" s="41">
        <v>32725.375329999999</v>
      </c>
      <c r="K236" s="41">
        <v>2037883.05886</v>
      </c>
      <c r="L236" s="41">
        <v>61996.7</v>
      </c>
      <c r="M236" s="41">
        <v>62772.4</v>
      </c>
      <c r="N236" s="42">
        <v>0.92436273272631975</v>
      </c>
      <c r="O236" s="41">
        <v>77333.721640000003</v>
      </c>
      <c r="P236" s="41">
        <v>3129493.64286</v>
      </c>
      <c r="Q236" s="41">
        <v>350179.3</v>
      </c>
      <c r="R236" s="41">
        <v>231984.4</v>
      </c>
      <c r="S236" s="42">
        <v>1.4862427990063951</v>
      </c>
      <c r="T236" s="41">
        <v>62799.12212</v>
      </c>
      <c r="U236" s="41">
        <v>2803838.6444299999</v>
      </c>
      <c r="V236" s="41">
        <v>100297.5</v>
      </c>
      <c r="W236" s="41">
        <v>66661.2</v>
      </c>
      <c r="X236" s="42">
        <v>1.1234426590358793</v>
      </c>
      <c r="Y236" s="43">
        <v>2</v>
      </c>
      <c r="Z236" s="43" t="s">
        <v>2090</v>
      </c>
      <c r="AA236" s="43" t="s">
        <v>2090</v>
      </c>
      <c r="AB236" s="43" t="s">
        <v>2090</v>
      </c>
      <c r="AC236" s="43" t="s">
        <v>2090</v>
      </c>
      <c r="AD236" s="43">
        <v>0</v>
      </c>
      <c r="AE236" s="43">
        <v>0</v>
      </c>
      <c r="AF236" s="43">
        <v>0</v>
      </c>
      <c r="AG236" s="43">
        <v>0</v>
      </c>
      <c r="AH236" s="43">
        <v>0</v>
      </c>
      <c r="AI236" s="43">
        <v>0</v>
      </c>
      <c r="AJ236" s="43">
        <v>0</v>
      </c>
      <c r="AK236" s="43">
        <v>0</v>
      </c>
      <c r="AL236" s="43">
        <v>0</v>
      </c>
      <c r="AM236" s="43">
        <v>0</v>
      </c>
      <c r="AN236" s="43">
        <v>1</v>
      </c>
      <c r="AO236" s="43">
        <v>0</v>
      </c>
      <c r="AP236" s="43">
        <v>0</v>
      </c>
      <c r="AQ236" s="43">
        <v>0</v>
      </c>
      <c r="AR236" s="43">
        <v>0</v>
      </c>
      <c r="AS236" s="43">
        <v>0</v>
      </c>
      <c r="AT236" s="43">
        <v>0</v>
      </c>
      <c r="AU236" s="43">
        <v>0</v>
      </c>
      <c r="AV236" s="43">
        <v>0</v>
      </c>
      <c r="AW236" s="43">
        <v>0</v>
      </c>
      <c r="AX236" s="43">
        <v>0</v>
      </c>
      <c r="AY236" s="43">
        <v>0</v>
      </c>
      <c r="AZ236" s="43">
        <v>0</v>
      </c>
      <c r="BA236" s="43">
        <v>0</v>
      </c>
      <c r="BB236" s="43">
        <v>0</v>
      </c>
      <c r="BC236" s="43">
        <v>0</v>
      </c>
      <c r="BD236" s="43">
        <v>1</v>
      </c>
      <c r="BE236" s="43">
        <v>0</v>
      </c>
      <c r="BF236" s="43">
        <v>0</v>
      </c>
      <c r="BG236" s="43">
        <v>0</v>
      </c>
      <c r="BH236" s="43">
        <v>0</v>
      </c>
      <c r="BI236" s="43">
        <v>0</v>
      </c>
      <c r="BJ236" s="43" t="s">
        <v>2090</v>
      </c>
      <c r="BK236" s="43" t="s">
        <v>2090</v>
      </c>
      <c r="BL236" s="43" t="s">
        <v>2090</v>
      </c>
      <c r="BM236" s="43" t="s">
        <v>2090</v>
      </c>
      <c r="BN236" s="43" t="s">
        <v>2090</v>
      </c>
      <c r="BO236" s="43" t="s">
        <v>2090</v>
      </c>
      <c r="BP236" s="43" t="s">
        <v>2090</v>
      </c>
      <c r="BQ236" s="43" t="s">
        <v>2090</v>
      </c>
      <c r="BR236" s="43" t="s">
        <v>2090</v>
      </c>
      <c r="BS236" s="43" t="s">
        <v>2090</v>
      </c>
      <c r="BT236" s="43" t="s">
        <v>2090</v>
      </c>
      <c r="BU236" s="43" t="s">
        <v>2090</v>
      </c>
      <c r="BV236" s="43" t="s">
        <v>2090</v>
      </c>
      <c r="BW236" s="43" t="s">
        <v>2090</v>
      </c>
    </row>
    <row r="237" spans="1:75" ht="135.19999999999999" customHeight="1" x14ac:dyDescent="0.25">
      <c r="A237" s="38" t="s">
        <v>1175</v>
      </c>
      <c r="B237" s="38" t="s">
        <v>1813</v>
      </c>
      <c r="C237" s="39" t="s">
        <v>1176</v>
      </c>
      <c r="D237" s="40" t="s">
        <v>1177</v>
      </c>
      <c r="E237" s="41">
        <v>86583.898400000005</v>
      </c>
      <c r="F237" s="41">
        <v>3233544.2461700002</v>
      </c>
      <c r="G237" s="41">
        <v>183392.5</v>
      </c>
      <c r="H237" s="41">
        <v>127184.6</v>
      </c>
      <c r="I237" s="42">
        <v>1.3836445564593118</v>
      </c>
      <c r="J237" s="41">
        <v>31860.758409999999</v>
      </c>
      <c r="K237" s="41">
        <v>1983467.8899000001</v>
      </c>
      <c r="L237" s="41">
        <v>148952.6</v>
      </c>
      <c r="M237" s="41">
        <v>151895.6</v>
      </c>
      <c r="N237" s="42">
        <v>0.92543527630582889</v>
      </c>
      <c r="O237" s="41">
        <v>82998.159409999993</v>
      </c>
      <c r="P237" s="41">
        <v>3238294.0797299999</v>
      </c>
      <c r="Q237" s="41">
        <v>102192.1</v>
      </c>
      <c r="R237" s="41">
        <v>58796.6</v>
      </c>
      <c r="S237" s="42">
        <v>1.6864239044842191</v>
      </c>
      <c r="T237" s="41">
        <v>59203.456140000002</v>
      </c>
      <c r="U237" s="41">
        <v>2712212.44111</v>
      </c>
      <c r="V237" s="41">
        <v>227289.2</v>
      </c>
      <c r="W237" s="41">
        <v>156048.20000000001</v>
      </c>
      <c r="X237" s="42">
        <v>1.1113565226171245</v>
      </c>
      <c r="Y237" s="43">
        <v>2</v>
      </c>
      <c r="Z237" s="43" t="s">
        <v>2090</v>
      </c>
      <c r="AA237" s="43" t="s">
        <v>2090</v>
      </c>
      <c r="AB237" s="43" t="s">
        <v>2090</v>
      </c>
      <c r="AC237" s="43" t="s">
        <v>2090</v>
      </c>
      <c r="AD237" s="43">
        <v>0</v>
      </c>
      <c r="AE237" s="43">
        <v>0</v>
      </c>
      <c r="AF237" s="43">
        <v>0</v>
      </c>
      <c r="AG237" s="43">
        <v>0</v>
      </c>
      <c r="AH237" s="43">
        <v>0</v>
      </c>
      <c r="AI237" s="43">
        <v>0</v>
      </c>
      <c r="AJ237" s="43">
        <v>0</v>
      </c>
      <c r="AK237" s="43">
        <v>0</v>
      </c>
      <c r="AL237" s="43">
        <v>0</v>
      </c>
      <c r="AM237" s="43">
        <v>0</v>
      </c>
      <c r="AN237" s="43">
        <v>1</v>
      </c>
      <c r="AO237" s="43">
        <v>0</v>
      </c>
      <c r="AP237" s="43">
        <v>0</v>
      </c>
      <c r="AQ237" s="43">
        <v>0</v>
      </c>
      <c r="AR237" s="43">
        <v>0</v>
      </c>
      <c r="AS237" s="43">
        <v>0</v>
      </c>
      <c r="AT237" s="43">
        <v>0</v>
      </c>
      <c r="AU237" s="43">
        <v>0</v>
      </c>
      <c r="AV237" s="43">
        <v>0</v>
      </c>
      <c r="AW237" s="43">
        <v>0</v>
      </c>
      <c r="AX237" s="43">
        <v>0</v>
      </c>
      <c r="AY237" s="43">
        <v>0</v>
      </c>
      <c r="AZ237" s="43">
        <v>0</v>
      </c>
      <c r="BA237" s="43">
        <v>0</v>
      </c>
      <c r="BB237" s="43">
        <v>0</v>
      </c>
      <c r="BC237" s="43">
        <v>0</v>
      </c>
      <c r="BD237" s="43">
        <v>1</v>
      </c>
      <c r="BE237" s="43">
        <v>0</v>
      </c>
      <c r="BF237" s="43">
        <v>0</v>
      </c>
      <c r="BG237" s="43">
        <v>0</v>
      </c>
      <c r="BH237" s="43">
        <v>0</v>
      </c>
      <c r="BI237" s="43">
        <v>0</v>
      </c>
      <c r="BJ237" s="43" t="s">
        <v>2090</v>
      </c>
      <c r="BK237" s="43" t="s">
        <v>2090</v>
      </c>
      <c r="BL237" s="43" t="s">
        <v>2090</v>
      </c>
      <c r="BM237" s="43" t="s">
        <v>2090</v>
      </c>
      <c r="BN237" s="43" t="s">
        <v>2090</v>
      </c>
      <c r="BO237" s="43" t="s">
        <v>2090</v>
      </c>
      <c r="BP237" s="43" t="s">
        <v>2090</v>
      </c>
      <c r="BQ237" s="43" t="s">
        <v>2090</v>
      </c>
      <c r="BR237" s="43" t="s">
        <v>2090</v>
      </c>
      <c r="BS237" s="43" t="s">
        <v>2090</v>
      </c>
      <c r="BT237" s="43" t="s">
        <v>2090</v>
      </c>
      <c r="BU237" s="43" t="s">
        <v>2090</v>
      </c>
      <c r="BV237" s="43" t="s">
        <v>2090</v>
      </c>
      <c r="BW237" s="43" t="s">
        <v>2090</v>
      </c>
    </row>
    <row r="238" spans="1:75" ht="110.45" customHeight="1" x14ac:dyDescent="0.25">
      <c r="A238" s="38" t="s">
        <v>1178</v>
      </c>
      <c r="B238" s="38" t="s">
        <v>1814</v>
      </c>
      <c r="C238" s="39" t="s">
        <v>1179</v>
      </c>
      <c r="D238" s="40" t="s">
        <v>1180</v>
      </c>
      <c r="E238" s="41">
        <v>64111.644540000001</v>
      </c>
      <c r="F238" s="41">
        <v>2847630.2903300002</v>
      </c>
      <c r="G238" s="41">
        <v>280027.59999999998</v>
      </c>
      <c r="H238" s="41">
        <v>223542.8</v>
      </c>
      <c r="I238" s="42">
        <v>1.2350167266755803</v>
      </c>
      <c r="J238" s="41">
        <v>0</v>
      </c>
      <c r="K238" s="41">
        <v>34332.20003</v>
      </c>
      <c r="L238" s="41">
        <v>227592.5</v>
      </c>
      <c r="M238" s="41">
        <v>569613.4</v>
      </c>
      <c r="N238" s="42">
        <v>0.36344675912776025</v>
      </c>
      <c r="O238" s="41">
        <v>0</v>
      </c>
      <c r="P238" s="41">
        <v>176357.67887</v>
      </c>
      <c r="Q238" s="41">
        <v>65334.9</v>
      </c>
      <c r="R238" s="41">
        <v>297495.90000000002</v>
      </c>
      <c r="S238" s="42">
        <v>0.20461492949413271</v>
      </c>
      <c r="T238" s="41">
        <v>4354.1581900000001</v>
      </c>
      <c r="U238" s="41">
        <v>605820.44753999996</v>
      </c>
      <c r="V238" s="41">
        <v>174756</v>
      </c>
      <c r="W238" s="41">
        <v>559318.9</v>
      </c>
      <c r="X238" s="42">
        <v>0.28903737866680967</v>
      </c>
      <c r="Y238" s="43">
        <v>2</v>
      </c>
      <c r="Z238" s="43" t="s">
        <v>2090</v>
      </c>
      <c r="AA238" s="43" t="s">
        <v>2090</v>
      </c>
      <c r="AB238" s="43" t="s">
        <v>2090</v>
      </c>
      <c r="AC238" s="43" t="s">
        <v>2090</v>
      </c>
      <c r="AD238" s="43">
        <v>0</v>
      </c>
      <c r="AE238" s="43">
        <v>0</v>
      </c>
      <c r="AF238" s="43">
        <v>0</v>
      </c>
      <c r="AG238" s="43">
        <v>0</v>
      </c>
      <c r="AH238" s="43">
        <v>0</v>
      </c>
      <c r="AI238" s="43">
        <v>1</v>
      </c>
      <c r="AJ238" s="43">
        <v>0</v>
      </c>
      <c r="AK238" s="43">
        <v>0</v>
      </c>
      <c r="AL238" s="43">
        <v>0</v>
      </c>
      <c r="AM238" s="43">
        <v>0</v>
      </c>
      <c r="AN238" s="43">
        <v>0</v>
      </c>
      <c r="AO238" s="43">
        <v>0</v>
      </c>
      <c r="AP238" s="43">
        <v>0</v>
      </c>
      <c r="AQ238" s="43">
        <v>0</v>
      </c>
      <c r="AR238" s="43">
        <v>1</v>
      </c>
      <c r="AS238" s="43">
        <v>0</v>
      </c>
      <c r="AT238" s="43">
        <v>0</v>
      </c>
      <c r="AU238" s="43">
        <v>0</v>
      </c>
      <c r="AV238" s="43">
        <v>0</v>
      </c>
      <c r="AW238" s="43">
        <v>0</v>
      </c>
      <c r="AX238" s="43">
        <v>0</v>
      </c>
      <c r="AY238" s="43">
        <v>0</v>
      </c>
      <c r="AZ238" s="43">
        <v>0</v>
      </c>
      <c r="BA238" s="43">
        <v>0</v>
      </c>
      <c r="BB238" s="43">
        <v>0</v>
      </c>
      <c r="BC238" s="43">
        <v>0</v>
      </c>
      <c r="BD238" s="43">
        <v>0</v>
      </c>
      <c r="BE238" s="43">
        <v>0</v>
      </c>
      <c r="BF238" s="43">
        <v>0</v>
      </c>
      <c r="BG238" s="43">
        <v>0</v>
      </c>
      <c r="BH238" s="43">
        <v>0</v>
      </c>
      <c r="BI238" s="43">
        <v>0</v>
      </c>
      <c r="BJ238" s="43" t="s">
        <v>2090</v>
      </c>
      <c r="BK238" s="43" t="s">
        <v>2090</v>
      </c>
      <c r="BL238" s="43" t="s">
        <v>2090</v>
      </c>
      <c r="BM238" s="43" t="s">
        <v>2090</v>
      </c>
      <c r="BN238" s="43" t="s">
        <v>2090</v>
      </c>
      <c r="BO238" s="43" t="s">
        <v>2090</v>
      </c>
      <c r="BP238" s="43" t="s">
        <v>2090</v>
      </c>
      <c r="BQ238" s="43" t="s">
        <v>2090</v>
      </c>
      <c r="BR238" s="43" t="s">
        <v>2090</v>
      </c>
      <c r="BS238" s="43" t="s">
        <v>2090</v>
      </c>
      <c r="BT238" s="43" t="s">
        <v>2090</v>
      </c>
      <c r="BU238" s="43" t="s">
        <v>2091</v>
      </c>
      <c r="BV238" s="43" t="s">
        <v>2090</v>
      </c>
      <c r="BW238" s="43" t="s">
        <v>2090</v>
      </c>
    </row>
    <row r="239" spans="1:75" ht="144.94999999999999" customHeight="1" x14ac:dyDescent="0.25">
      <c r="A239" s="38" t="s">
        <v>1181</v>
      </c>
      <c r="B239" s="38" t="s">
        <v>1815</v>
      </c>
      <c r="C239" s="39" t="s">
        <v>1182</v>
      </c>
      <c r="D239" s="40" t="s">
        <v>1183</v>
      </c>
      <c r="E239" s="41">
        <v>8058.0728900000004</v>
      </c>
      <c r="F239" s="41">
        <v>1054031.81146</v>
      </c>
      <c r="G239" s="41">
        <v>140013.5</v>
      </c>
      <c r="H239" s="41">
        <v>312059.40000000002</v>
      </c>
      <c r="I239" s="42">
        <v>0.42337848032768105</v>
      </c>
      <c r="J239" s="41">
        <v>0</v>
      </c>
      <c r="K239" s="41">
        <v>66947.745630000005</v>
      </c>
      <c r="L239" s="41">
        <v>69242.399999999994</v>
      </c>
      <c r="M239" s="41">
        <v>270607.7</v>
      </c>
      <c r="N239" s="42">
        <v>0.24349351297633709</v>
      </c>
      <c r="O239" s="41">
        <v>10538.89681</v>
      </c>
      <c r="P239" s="41">
        <v>1406009.43759</v>
      </c>
      <c r="Q239" s="41">
        <v>196567.1</v>
      </c>
      <c r="R239" s="41">
        <v>327989.90000000002</v>
      </c>
      <c r="S239" s="42">
        <v>0.57708880475686986</v>
      </c>
      <c r="T239" s="41">
        <v>9526.6328300000005</v>
      </c>
      <c r="U239" s="41">
        <v>1109040.4343999999</v>
      </c>
      <c r="V239" s="41">
        <v>99785.5</v>
      </c>
      <c r="W239" s="41">
        <v>164358.1</v>
      </c>
      <c r="X239" s="42">
        <v>0.60256930461877678</v>
      </c>
      <c r="Y239" s="43">
        <v>2</v>
      </c>
      <c r="Z239" s="43" t="s">
        <v>2090</v>
      </c>
      <c r="AA239" s="43" t="s">
        <v>2091</v>
      </c>
      <c r="AB239" s="43" t="s">
        <v>2090</v>
      </c>
      <c r="AC239" s="43" t="s">
        <v>2090</v>
      </c>
      <c r="AD239" s="43">
        <v>0</v>
      </c>
      <c r="AE239" s="43">
        <v>0</v>
      </c>
      <c r="AF239" s="43">
        <v>0</v>
      </c>
      <c r="AG239" s="43">
        <v>0</v>
      </c>
      <c r="AH239" s="43">
        <v>0</v>
      </c>
      <c r="AI239" s="43">
        <v>0</v>
      </c>
      <c r="AJ239" s="43">
        <v>0</v>
      </c>
      <c r="AK239" s="43">
        <v>1</v>
      </c>
      <c r="AL239" s="43">
        <v>0</v>
      </c>
      <c r="AM239" s="43">
        <v>0</v>
      </c>
      <c r="AN239" s="43">
        <v>0</v>
      </c>
      <c r="AO239" s="43">
        <v>0</v>
      </c>
      <c r="AP239" s="43">
        <v>0</v>
      </c>
      <c r="AQ239" s="43">
        <v>0</v>
      </c>
      <c r="AR239" s="43">
        <v>0</v>
      </c>
      <c r="AS239" s="43">
        <v>0</v>
      </c>
      <c r="AT239" s="43">
        <v>0</v>
      </c>
      <c r="AU239" s="43">
        <v>0</v>
      </c>
      <c r="AV239" s="43">
        <v>0</v>
      </c>
      <c r="AW239" s="43">
        <v>0</v>
      </c>
      <c r="AX239" s="43">
        <v>0</v>
      </c>
      <c r="AY239" s="43">
        <v>0</v>
      </c>
      <c r="AZ239" s="43">
        <v>0</v>
      </c>
      <c r="BA239" s="43">
        <v>0</v>
      </c>
      <c r="BB239" s="43">
        <v>0</v>
      </c>
      <c r="BC239" s="43">
        <v>0</v>
      </c>
      <c r="BD239" s="43">
        <v>0</v>
      </c>
      <c r="BE239" s="43">
        <v>0</v>
      </c>
      <c r="BF239" s="43">
        <v>0</v>
      </c>
      <c r="BG239" s="43">
        <v>0</v>
      </c>
      <c r="BH239" s="43">
        <v>0</v>
      </c>
      <c r="BI239" s="43">
        <v>0</v>
      </c>
      <c r="BJ239" s="43" t="s">
        <v>2091</v>
      </c>
      <c r="BK239" s="43" t="s">
        <v>2090</v>
      </c>
      <c r="BL239" s="43" t="s">
        <v>2090</v>
      </c>
      <c r="BM239" s="43" t="s">
        <v>2090</v>
      </c>
      <c r="BN239" s="43" t="s">
        <v>2090</v>
      </c>
      <c r="BO239" s="43" t="s">
        <v>2090</v>
      </c>
      <c r="BP239" s="43" t="s">
        <v>2090</v>
      </c>
      <c r="BQ239" s="43" t="s">
        <v>2090</v>
      </c>
      <c r="BR239" s="43" t="s">
        <v>2091</v>
      </c>
      <c r="BS239" s="43" t="s">
        <v>2091</v>
      </c>
      <c r="BT239" s="43" t="s">
        <v>2090</v>
      </c>
      <c r="BU239" s="43" t="s">
        <v>2090</v>
      </c>
      <c r="BV239" s="43" t="s">
        <v>2090</v>
      </c>
      <c r="BW239" s="43" t="s">
        <v>2090</v>
      </c>
    </row>
    <row r="240" spans="1:75" ht="129.19999999999999" customHeight="1" x14ac:dyDescent="0.25">
      <c r="A240" s="38" t="s">
        <v>1184</v>
      </c>
      <c r="B240" s="38" t="s">
        <v>1816</v>
      </c>
      <c r="C240" s="39" t="s">
        <v>1185</v>
      </c>
      <c r="D240" s="40" t="s">
        <v>1186</v>
      </c>
      <c r="E240" s="41">
        <v>38407.0746</v>
      </c>
      <c r="F240" s="41">
        <v>2333824.8266199999</v>
      </c>
      <c r="G240" s="41">
        <v>261076.8</v>
      </c>
      <c r="H240" s="41">
        <v>263086.59999999998</v>
      </c>
      <c r="I240" s="42">
        <v>0.96842679053893921</v>
      </c>
      <c r="J240" s="41">
        <v>0</v>
      </c>
      <c r="K240" s="41">
        <v>44652.555260000001</v>
      </c>
      <c r="L240" s="41">
        <v>124302.8</v>
      </c>
      <c r="M240" s="41">
        <v>548624.4</v>
      </c>
      <c r="N240" s="42">
        <v>0.2080864156098913</v>
      </c>
      <c r="O240" s="41">
        <v>8580.2945400000008</v>
      </c>
      <c r="P240" s="41">
        <v>880305.95718000003</v>
      </c>
      <c r="Q240" s="41">
        <v>178672.7</v>
      </c>
      <c r="R240" s="41">
        <v>407501.4</v>
      </c>
      <c r="S240" s="42">
        <v>0.41125348156081626</v>
      </c>
      <c r="T240" s="41">
        <v>3636.4188899999999</v>
      </c>
      <c r="U240" s="41">
        <v>602339.06143999996</v>
      </c>
      <c r="V240" s="41">
        <v>82638.5</v>
      </c>
      <c r="W240" s="41">
        <v>366424.8</v>
      </c>
      <c r="X240" s="42">
        <v>0.21133636381787807</v>
      </c>
      <c r="Y240" s="43">
        <v>2</v>
      </c>
      <c r="Z240" s="43" t="s">
        <v>2090</v>
      </c>
      <c r="AA240" s="43" t="s">
        <v>2091</v>
      </c>
      <c r="AB240" s="43" t="s">
        <v>2090</v>
      </c>
      <c r="AC240" s="43" t="s">
        <v>2090</v>
      </c>
      <c r="AD240" s="43">
        <v>0</v>
      </c>
      <c r="AE240" s="43">
        <v>0</v>
      </c>
      <c r="AF240" s="43">
        <v>0</v>
      </c>
      <c r="AG240" s="43">
        <v>0</v>
      </c>
      <c r="AH240" s="43">
        <v>0</v>
      </c>
      <c r="AI240" s="43">
        <v>0</v>
      </c>
      <c r="AJ240" s="43">
        <v>0</v>
      </c>
      <c r="AK240" s="43">
        <v>0</v>
      </c>
      <c r="AL240" s="43">
        <v>0</v>
      </c>
      <c r="AM240" s="43">
        <v>0</v>
      </c>
      <c r="AN240" s="43">
        <v>0</v>
      </c>
      <c r="AO240" s="43">
        <v>0</v>
      </c>
      <c r="AP240" s="43">
        <v>0</v>
      </c>
      <c r="AQ240" s="43">
        <v>0</v>
      </c>
      <c r="AR240" s="43">
        <v>1</v>
      </c>
      <c r="AS240" s="43">
        <v>0</v>
      </c>
      <c r="AT240" s="43">
        <v>0</v>
      </c>
      <c r="AU240" s="43">
        <v>0</v>
      </c>
      <c r="AV240" s="43">
        <v>0</v>
      </c>
      <c r="AW240" s="43">
        <v>0</v>
      </c>
      <c r="AX240" s="43">
        <v>0</v>
      </c>
      <c r="AY240" s="43">
        <v>0</v>
      </c>
      <c r="AZ240" s="43">
        <v>0</v>
      </c>
      <c r="BA240" s="43">
        <v>0</v>
      </c>
      <c r="BB240" s="43">
        <v>0</v>
      </c>
      <c r="BC240" s="43">
        <v>0</v>
      </c>
      <c r="BD240" s="43">
        <v>0</v>
      </c>
      <c r="BE240" s="43">
        <v>0</v>
      </c>
      <c r="BF240" s="43">
        <v>0</v>
      </c>
      <c r="BG240" s="43">
        <v>0</v>
      </c>
      <c r="BH240" s="43">
        <v>0</v>
      </c>
      <c r="BI240" s="43">
        <v>0</v>
      </c>
      <c r="BJ240" s="43" t="s">
        <v>2090</v>
      </c>
      <c r="BK240" s="43" t="s">
        <v>2090</v>
      </c>
      <c r="BL240" s="43" t="s">
        <v>2090</v>
      </c>
      <c r="BM240" s="43" t="s">
        <v>2090</v>
      </c>
      <c r="BN240" s="43" t="s">
        <v>2090</v>
      </c>
      <c r="BO240" s="43" t="s">
        <v>2090</v>
      </c>
      <c r="BP240" s="43" t="s">
        <v>2090</v>
      </c>
      <c r="BQ240" s="43" t="s">
        <v>2090</v>
      </c>
      <c r="BR240" s="43" t="s">
        <v>2091</v>
      </c>
      <c r="BS240" s="43" t="s">
        <v>2091</v>
      </c>
      <c r="BT240" s="43" t="s">
        <v>2090</v>
      </c>
      <c r="BU240" s="43" t="s">
        <v>2090</v>
      </c>
      <c r="BV240" s="43" t="s">
        <v>2090</v>
      </c>
      <c r="BW240" s="43" t="s">
        <v>2090</v>
      </c>
    </row>
    <row r="241" spans="1:75" ht="173.45" customHeight="1" x14ac:dyDescent="0.25">
      <c r="A241" s="38" t="s">
        <v>1187</v>
      </c>
      <c r="B241" s="38" t="s">
        <v>1817</v>
      </c>
      <c r="C241" s="39" t="s">
        <v>1188</v>
      </c>
      <c r="D241" s="40" t="s">
        <v>1189</v>
      </c>
      <c r="E241" s="41">
        <v>1234.7949699999999</v>
      </c>
      <c r="F241" s="41">
        <v>273375.10373999999</v>
      </c>
      <c r="G241" s="41">
        <v>35446.5</v>
      </c>
      <c r="H241" s="41">
        <v>254410</v>
      </c>
      <c r="I241" s="42">
        <v>0.13531807835150356</v>
      </c>
      <c r="J241" s="41">
        <v>0</v>
      </c>
      <c r="K241" s="41">
        <v>3202.6010000000001</v>
      </c>
      <c r="L241" s="41">
        <v>580.79999999999995</v>
      </c>
      <c r="M241" s="41">
        <v>12959.3</v>
      </c>
      <c r="N241" s="42">
        <v>4.5241186457605109E-2</v>
      </c>
      <c r="O241" s="41">
        <v>0</v>
      </c>
      <c r="P241" s="41">
        <v>24860.227269999999</v>
      </c>
      <c r="Q241" s="41">
        <v>8936.6</v>
      </c>
      <c r="R241" s="41">
        <v>58720.1</v>
      </c>
      <c r="S241" s="42">
        <v>0.1487490053929803</v>
      </c>
      <c r="T241" s="41">
        <v>3457.8395700000001</v>
      </c>
      <c r="U241" s="41">
        <v>578210.33995000005</v>
      </c>
      <c r="V241" s="41">
        <v>13665</v>
      </c>
      <c r="W241" s="41">
        <v>91378.6</v>
      </c>
      <c r="X241" s="42">
        <v>0.14330366892334573</v>
      </c>
      <c r="Y241" s="43">
        <v>2</v>
      </c>
      <c r="Z241" s="43" t="s">
        <v>2090</v>
      </c>
      <c r="AA241" s="43" t="s">
        <v>2091</v>
      </c>
      <c r="AB241" s="43" t="s">
        <v>2090</v>
      </c>
      <c r="AC241" s="43" t="s">
        <v>2090</v>
      </c>
      <c r="AD241" s="43">
        <v>0</v>
      </c>
      <c r="AE241" s="43">
        <v>0</v>
      </c>
      <c r="AF241" s="43">
        <v>0</v>
      </c>
      <c r="AG241" s="43">
        <v>0</v>
      </c>
      <c r="AH241" s="43">
        <v>0</v>
      </c>
      <c r="AI241" s="43">
        <v>0</v>
      </c>
      <c r="AJ241" s="43">
        <v>0</v>
      </c>
      <c r="AK241" s="43">
        <v>1</v>
      </c>
      <c r="AL241" s="43">
        <v>0</v>
      </c>
      <c r="AM241" s="43">
        <v>0</v>
      </c>
      <c r="AN241" s="43">
        <v>0</v>
      </c>
      <c r="AO241" s="43">
        <v>0</v>
      </c>
      <c r="AP241" s="43">
        <v>0</v>
      </c>
      <c r="AQ241" s="43">
        <v>0</v>
      </c>
      <c r="AR241" s="43">
        <v>0</v>
      </c>
      <c r="AS241" s="43">
        <v>0</v>
      </c>
      <c r="AT241" s="43">
        <v>0</v>
      </c>
      <c r="AU241" s="43">
        <v>0</v>
      </c>
      <c r="AV241" s="43">
        <v>0</v>
      </c>
      <c r="AW241" s="43">
        <v>0</v>
      </c>
      <c r="AX241" s="43">
        <v>0</v>
      </c>
      <c r="AY241" s="43">
        <v>0</v>
      </c>
      <c r="AZ241" s="43">
        <v>0</v>
      </c>
      <c r="BA241" s="43">
        <v>0</v>
      </c>
      <c r="BB241" s="43">
        <v>0</v>
      </c>
      <c r="BC241" s="43">
        <v>0</v>
      </c>
      <c r="BD241" s="43">
        <v>0</v>
      </c>
      <c r="BE241" s="43">
        <v>0</v>
      </c>
      <c r="BF241" s="43">
        <v>0</v>
      </c>
      <c r="BG241" s="43">
        <v>0</v>
      </c>
      <c r="BH241" s="43">
        <v>0</v>
      </c>
      <c r="BI241" s="43">
        <v>0</v>
      </c>
      <c r="BJ241" s="43" t="s">
        <v>2091</v>
      </c>
      <c r="BK241" s="43" t="s">
        <v>2090</v>
      </c>
      <c r="BL241" s="43" t="s">
        <v>2090</v>
      </c>
      <c r="BM241" s="43" t="s">
        <v>2090</v>
      </c>
      <c r="BN241" s="43" t="s">
        <v>2090</v>
      </c>
      <c r="BO241" s="43" t="s">
        <v>2091</v>
      </c>
      <c r="BP241" s="43" t="s">
        <v>2090</v>
      </c>
      <c r="BQ241" s="43" t="s">
        <v>2091</v>
      </c>
      <c r="BR241" s="43" t="s">
        <v>2090</v>
      </c>
      <c r="BS241" s="43" t="s">
        <v>2090</v>
      </c>
      <c r="BT241" s="43" t="s">
        <v>2090</v>
      </c>
      <c r="BU241" s="43" t="s">
        <v>2090</v>
      </c>
      <c r="BV241" s="43" t="s">
        <v>2090</v>
      </c>
      <c r="BW241" s="43" t="s">
        <v>2090</v>
      </c>
    </row>
    <row r="242" spans="1:75" ht="170.45" customHeight="1" x14ac:dyDescent="0.25">
      <c r="A242" s="38" t="s">
        <v>1190</v>
      </c>
      <c r="B242" s="38" t="s">
        <v>1818</v>
      </c>
      <c r="C242" s="39" t="s">
        <v>1191</v>
      </c>
      <c r="D242" s="40" t="s">
        <v>1192</v>
      </c>
      <c r="E242" s="41">
        <v>49908.473819999999</v>
      </c>
      <c r="F242" s="41">
        <v>2597317.9273399999</v>
      </c>
      <c r="G242" s="41">
        <v>300635</v>
      </c>
      <c r="H242" s="41">
        <v>265611.3</v>
      </c>
      <c r="I242" s="42">
        <v>1.0956176584484318</v>
      </c>
      <c r="J242" s="41">
        <v>0</v>
      </c>
      <c r="K242" s="41">
        <v>64490.10484</v>
      </c>
      <c r="L242" s="41">
        <v>33543.4</v>
      </c>
      <c r="M242" s="41">
        <v>166657.5</v>
      </c>
      <c r="N242" s="42">
        <v>0.19213001031590593</v>
      </c>
      <c r="O242" s="41">
        <v>9532.3597699999991</v>
      </c>
      <c r="P242" s="41">
        <v>1246386.6313100001</v>
      </c>
      <c r="Q242" s="41">
        <v>44742.8</v>
      </c>
      <c r="R242" s="41">
        <v>56264.5</v>
      </c>
      <c r="S242" s="42">
        <v>0.77440149427120097</v>
      </c>
      <c r="T242" s="41">
        <v>4932.0681299999997</v>
      </c>
      <c r="U242" s="41">
        <v>738228.82851000002</v>
      </c>
      <c r="V242" s="41">
        <v>791.9</v>
      </c>
      <c r="W242" s="41">
        <v>3568.2</v>
      </c>
      <c r="X242" s="42">
        <v>0.21843251088534107</v>
      </c>
      <c r="Y242" s="43">
        <v>2</v>
      </c>
      <c r="Z242" s="43" t="s">
        <v>2090</v>
      </c>
      <c r="AA242" s="43" t="s">
        <v>2090</v>
      </c>
      <c r="AB242" s="43" t="s">
        <v>2090</v>
      </c>
      <c r="AC242" s="43" t="s">
        <v>2090</v>
      </c>
      <c r="AD242" s="43">
        <v>0</v>
      </c>
      <c r="AE242" s="43">
        <v>0</v>
      </c>
      <c r="AF242" s="43">
        <v>0</v>
      </c>
      <c r="AG242" s="43">
        <v>0</v>
      </c>
      <c r="AH242" s="43">
        <v>0</v>
      </c>
      <c r="AI242" s="43">
        <v>0</v>
      </c>
      <c r="AJ242" s="43">
        <v>0</v>
      </c>
      <c r="AK242" s="43">
        <v>0</v>
      </c>
      <c r="AL242" s="43">
        <v>0</v>
      </c>
      <c r="AM242" s="43">
        <v>0</v>
      </c>
      <c r="AN242" s="43">
        <v>0</v>
      </c>
      <c r="AO242" s="43">
        <v>0</v>
      </c>
      <c r="AP242" s="43">
        <v>0</v>
      </c>
      <c r="AQ242" s="43">
        <v>0</v>
      </c>
      <c r="AR242" s="43">
        <v>1</v>
      </c>
      <c r="AS242" s="43">
        <v>0</v>
      </c>
      <c r="AT242" s="43">
        <v>0</v>
      </c>
      <c r="AU242" s="43">
        <v>0</v>
      </c>
      <c r="AV242" s="43">
        <v>0</v>
      </c>
      <c r="AW242" s="43">
        <v>1</v>
      </c>
      <c r="AX242" s="43">
        <v>0</v>
      </c>
      <c r="AY242" s="43">
        <v>0</v>
      </c>
      <c r="AZ242" s="43">
        <v>0</v>
      </c>
      <c r="BA242" s="43">
        <v>0</v>
      </c>
      <c r="BB242" s="43">
        <v>0</v>
      </c>
      <c r="BC242" s="43">
        <v>0</v>
      </c>
      <c r="BD242" s="43">
        <v>0</v>
      </c>
      <c r="BE242" s="43">
        <v>0</v>
      </c>
      <c r="BF242" s="43">
        <v>0</v>
      </c>
      <c r="BG242" s="43">
        <v>0</v>
      </c>
      <c r="BH242" s="43">
        <v>0</v>
      </c>
      <c r="BI242" s="43">
        <v>0</v>
      </c>
      <c r="BJ242" s="43" t="s">
        <v>2090</v>
      </c>
      <c r="BK242" s="43" t="s">
        <v>2090</v>
      </c>
      <c r="BL242" s="43" t="s">
        <v>2090</v>
      </c>
      <c r="BM242" s="43" t="s">
        <v>2090</v>
      </c>
      <c r="BN242" s="43" t="s">
        <v>2090</v>
      </c>
      <c r="BO242" s="43" t="s">
        <v>2090</v>
      </c>
      <c r="BP242" s="43" t="s">
        <v>2090</v>
      </c>
      <c r="BQ242" s="43" t="s">
        <v>2090</v>
      </c>
      <c r="BR242" s="43" t="s">
        <v>2090</v>
      </c>
      <c r="BS242" s="43" t="s">
        <v>2090</v>
      </c>
      <c r="BT242" s="43" t="s">
        <v>2090</v>
      </c>
      <c r="BU242" s="43" t="s">
        <v>2090</v>
      </c>
      <c r="BV242" s="43" t="s">
        <v>2090</v>
      </c>
      <c r="BW242" s="43" t="s">
        <v>2090</v>
      </c>
    </row>
    <row r="243" spans="1:75" ht="164.45" customHeight="1" x14ac:dyDescent="0.25">
      <c r="A243" s="38" t="s">
        <v>1193</v>
      </c>
      <c r="B243" s="38" t="s">
        <v>1819</v>
      </c>
      <c r="C243" s="39" t="s">
        <v>1194</v>
      </c>
      <c r="D243" s="40" t="s">
        <v>1195</v>
      </c>
      <c r="E243" s="41">
        <v>51986.256050000004</v>
      </c>
      <c r="F243" s="41">
        <v>2666243.46031</v>
      </c>
      <c r="G243" s="41">
        <v>475824.9</v>
      </c>
      <c r="H243" s="41">
        <v>402461.5</v>
      </c>
      <c r="I243" s="42">
        <v>1.1505627718569229</v>
      </c>
      <c r="J243" s="41">
        <v>54728.640520000001</v>
      </c>
      <c r="K243" s="41">
        <v>2478363.9600900002</v>
      </c>
      <c r="L243" s="41">
        <v>166373.6</v>
      </c>
      <c r="M243" s="41">
        <v>135197.20000000001</v>
      </c>
      <c r="N243" s="42">
        <v>1.0317403339156517</v>
      </c>
      <c r="O243" s="41">
        <v>75864.668380000003</v>
      </c>
      <c r="P243" s="41">
        <v>3079628.1858899998</v>
      </c>
      <c r="Q243" s="41">
        <v>630426.5</v>
      </c>
      <c r="R243" s="41">
        <v>478881.2</v>
      </c>
      <c r="S243" s="42">
        <v>1.3344763506039554</v>
      </c>
      <c r="T243" s="41">
        <v>60313.948949999998</v>
      </c>
      <c r="U243" s="41">
        <v>2830513.7981799999</v>
      </c>
      <c r="V243" s="41">
        <v>142634.1</v>
      </c>
      <c r="W243" s="41">
        <v>94203.7</v>
      </c>
      <c r="X243" s="42">
        <v>1.3607471285822725</v>
      </c>
      <c r="Y243" s="43">
        <v>2</v>
      </c>
      <c r="Z243" s="43" t="s">
        <v>2090</v>
      </c>
      <c r="AA243" s="43" t="s">
        <v>2090</v>
      </c>
      <c r="AB243" s="43" t="s">
        <v>2090</v>
      </c>
      <c r="AC243" s="43" t="s">
        <v>2090</v>
      </c>
      <c r="AD243" s="43">
        <v>0</v>
      </c>
      <c r="AE243" s="43">
        <v>1</v>
      </c>
      <c r="AF243" s="43">
        <v>0</v>
      </c>
      <c r="AG243" s="43">
        <v>0</v>
      </c>
      <c r="AH243" s="43">
        <v>0</v>
      </c>
      <c r="AI243" s="43">
        <v>0</v>
      </c>
      <c r="AJ243" s="43">
        <v>0</v>
      </c>
      <c r="AK243" s="43">
        <v>0</v>
      </c>
      <c r="AL243" s="43">
        <v>0</v>
      </c>
      <c r="AM243" s="43">
        <v>0</v>
      </c>
      <c r="AN243" s="43">
        <v>0</v>
      </c>
      <c r="AO243" s="43">
        <v>0</v>
      </c>
      <c r="AP243" s="43">
        <v>0</v>
      </c>
      <c r="AQ243" s="43">
        <v>0</v>
      </c>
      <c r="AR243" s="43">
        <v>1</v>
      </c>
      <c r="AS243" s="43">
        <v>0</v>
      </c>
      <c r="AT243" s="43">
        <v>0</v>
      </c>
      <c r="AU243" s="43">
        <v>0</v>
      </c>
      <c r="AV243" s="43">
        <v>0</v>
      </c>
      <c r="AW243" s="43">
        <v>0</v>
      </c>
      <c r="AX243" s="43">
        <v>0</v>
      </c>
      <c r="AY243" s="43">
        <v>0</v>
      </c>
      <c r="AZ243" s="43">
        <v>0</v>
      </c>
      <c r="BA243" s="43">
        <v>0</v>
      </c>
      <c r="BB243" s="43">
        <v>0</v>
      </c>
      <c r="BC243" s="43">
        <v>0</v>
      </c>
      <c r="BD243" s="43">
        <v>0</v>
      </c>
      <c r="BE243" s="43">
        <v>0</v>
      </c>
      <c r="BF243" s="43">
        <v>0</v>
      </c>
      <c r="BG243" s="43">
        <v>0</v>
      </c>
      <c r="BH243" s="43">
        <v>0</v>
      </c>
      <c r="BI243" s="43">
        <v>0</v>
      </c>
      <c r="BJ243" s="43" t="s">
        <v>2090</v>
      </c>
      <c r="BK243" s="43" t="s">
        <v>2090</v>
      </c>
      <c r="BL243" s="43" t="s">
        <v>2090</v>
      </c>
      <c r="BM243" s="43" t="s">
        <v>2090</v>
      </c>
      <c r="BN243" s="43" t="s">
        <v>2090</v>
      </c>
      <c r="BO243" s="43" t="s">
        <v>2090</v>
      </c>
      <c r="BP243" s="43" t="s">
        <v>2090</v>
      </c>
      <c r="BQ243" s="43" t="s">
        <v>2090</v>
      </c>
      <c r="BR243" s="43" t="s">
        <v>2090</v>
      </c>
      <c r="BS243" s="43" t="s">
        <v>2090</v>
      </c>
      <c r="BT243" s="43" t="s">
        <v>2090</v>
      </c>
      <c r="BU243" s="43" t="s">
        <v>2090</v>
      </c>
      <c r="BV243" s="43" t="s">
        <v>2090</v>
      </c>
      <c r="BW243" s="43" t="s">
        <v>2090</v>
      </c>
    </row>
    <row r="244" spans="1:75" ht="100.7" customHeight="1" x14ac:dyDescent="0.25">
      <c r="A244" s="38" t="s">
        <v>1196</v>
      </c>
      <c r="B244" s="38" t="s">
        <v>1820</v>
      </c>
      <c r="C244" s="39" t="s">
        <v>1197</v>
      </c>
      <c r="D244" s="40" t="s">
        <v>1198</v>
      </c>
      <c r="E244" s="41">
        <v>56196.87801</v>
      </c>
      <c r="F244" s="41">
        <v>2704902.21159</v>
      </c>
      <c r="G244" s="41">
        <v>151438.20000000001</v>
      </c>
      <c r="H244" s="41">
        <v>117788.5</v>
      </c>
      <c r="I244" s="42">
        <v>1.2477871471219819</v>
      </c>
      <c r="J244" s="41">
        <v>13669.06653</v>
      </c>
      <c r="K244" s="41">
        <v>1296369.80663</v>
      </c>
      <c r="L244" s="41">
        <v>159237.4</v>
      </c>
      <c r="M244" s="41">
        <v>279883.40000000002</v>
      </c>
      <c r="N244" s="42">
        <v>0.52845905878371635</v>
      </c>
      <c r="O244" s="41">
        <v>75944.831649999993</v>
      </c>
      <c r="P244" s="41">
        <v>2995337.6387800002</v>
      </c>
      <c r="Q244" s="41">
        <v>144012.1</v>
      </c>
      <c r="R244" s="41">
        <v>91147.8</v>
      </c>
      <c r="S244" s="42">
        <v>1.5489671998574501</v>
      </c>
      <c r="T244" s="41">
        <v>32837.059090000002</v>
      </c>
      <c r="U244" s="41">
        <v>2086946.0391800001</v>
      </c>
      <c r="V244" s="41">
        <v>70721.3</v>
      </c>
      <c r="W244" s="41">
        <v>71076.100000000006</v>
      </c>
      <c r="X244" s="42">
        <v>0.81162394194064302</v>
      </c>
      <c r="Y244" s="43">
        <v>2</v>
      </c>
      <c r="Z244" s="43" t="s">
        <v>2090</v>
      </c>
      <c r="AA244" s="43" t="s">
        <v>2090</v>
      </c>
      <c r="AB244" s="43" t="s">
        <v>2090</v>
      </c>
      <c r="AC244" s="43" t="s">
        <v>2090</v>
      </c>
      <c r="AD244" s="43">
        <v>0</v>
      </c>
      <c r="AE244" s="43">
        <v>0</v>
      </c>
      <c r="AF244" s="43">
        <v>0</v>
      </c>
      <c r="AG244" s="43">
        <v>0</v>
      </c>
      <c r="AH244" s="43">
        <v>0</v>
      </c>
      <c r="AI244" s="43">
        <v>0</v>
      </c>
      <c r="AJ244" s="43">
        <v>0</v>
      </c>
      <c r="AK244" s="43">
        <v>0</v>
      </c>
      <c r="AL244" s="43">
        <v>0</v>
      </c>
      <c r="AM244" s="43">
        <v>0</v>
      </c>
      <c r="AN244" s="43">
        <v>0</v>
      </c>
      <c r="AO244" s="43">
        <v>0</v>
      </c>
      <c r="AP244" s="43">
        <v>0</v>
      </c>
      <c r="AQ244" s="43">
        <v>0</v>
      </c>
      <c r="AR244" s="43">
        <v>1</v>
      </c>
      <c r="AS244" s="43">
        <v>0</v>
      </c>
      <c r="AT244" s="43">
        <v>0</v>
      </c>
      <c r="AU244" s="43">
        <v>0</v>
      </c>
      <c r="AV244" s="43">
        <v>0</v>
      </c>
      <c r="AW244" s="43">
        <v>0</v>
      </c>
      <c r="AX244" s="43">
        <v>0</v>
      </c>
      <c r="AY244" s="43">
        <v>0</v>
      </c>
      <c r="AZ244" s="43">
        <v>0</v>
      </c>
      <c r="BA244" s="43">
        <v>0</v>
      </c>
      <c r="BB244" s="43">
        <v>0</v>
      </c>
      <c r="BC244" s="43">
        <v>0</v>
      </c>
      <c r="BD244" s="43">
        <v>1</v>
      </c>
      <c r="BE244" s="43">
        <v>0</v>
      </c>
      <c r="BF244" s="43">
        <v>0</v>
      </c>
      <c r="BG244" s="43">
        <v>0</v>
      </c>
      <c r="BH244" s="43">
        <v>0</v>
      </c>
      <c r="BI244" s="43">
        <v>0</v>
      </c>
      <c r="BJ244" s="43" t="s">
        <v>2090</v>
      </c>
      <c r="BK244" s="43" t="s">
        <v>2090</v>
      </c>
      <c r="BL244" s="43" t="s">
        <v>2090</v>
      </c>
      <c r="BM244" s="43" t="s">
        <v>2090</v>
      </c>
      <c r="BN244" s="43" t="s">
        <v>2090</v>
      </c>
      <c r="BO244" s="43" t="s">
        <v>2090</v>
      </c>
      <c r="BP244" s="43" t="s">
        <v>2090</v>
      </c>
      <c r="BQ244" s="43" t="s">
        <v>2090</v>
      </c>
      <c r="BR244" s="43" t="s">
        <v>2090</v>
      </c>
      <c r="BS244" s="43" t="s">
        <v>2090</v>
      </c>
      <c r="BT244" s="43" t="s">
        <v>2090</v>
      </c>
      <c r="BU244" s="43" t="s">
        <v>2090</v>
      </c>
      <c r="BV244" s="43" t="s">
        <v>2090</v>
      </c>
      <c r="BW244" s="43" t="s">
        <v>2090</v>
      </c>
    </row>
    <row r="245" spans="1:75" ht="159.94999999999999" customHeight="1" x14ac:dyDescent="0.25">
      <c r="A245" s="38" t="s">
        <v>1199</v>
      </c>
      <c r="B245" s="38" t="s">
        <v>1821</v>
      </c>
      <c r="C245" s="39" t="s">
        <v>1200</v>
      </c>
      <c r="D245" s="40" t="s">
        <v>1201</v>
      </c>
      <c r="E245" s="41">
        <v>56853.687989999999</v>
      </c>
      <c r="F245" s="41">
        <v>2715922.7739900001</v>
      </c>
      <c r="G245" s="41">
        <v>63077.5</v>
      </c>
      <c r="H245" s="41">
        <v>52658.1</v>
      </c>
      <c r="I245" s="42">
        <v>1.1674767064178859</v>
      </c>
      <c r="J245" s="41">
        <v>0</v>
      </c>
      <c r="K245" s="41">
        <v>12156.135399999999</v>
      </c>
      <c r="L245" s="41">
        <v>94388.7</v>
      </c>
      <c r="M245" s="41">
        <v>156212</v>
      </c>
      <c r="N245" s="42">
        <v>0.58323057953144264</v>
      </c>
      <c r="O245" s="41">
        <v>0</v>
      </c>
      <c r="P245" s="41">
        <v>226316.88193999999</v>
      </c>
      <c r="Q245" s="41">
        <v>170475.3</v>
      </c>
      <c r="R245" s="41">
        <v>449848.6</v>
      </c>
      <c r="S245" s="42">
        <v>0.33947371103025853</v>
      </c>
      <c r="T245" s="41">
        <v>2690.8521599999999</v>
      </c>
      <c r="U245" s="41">
        <v>413326.49021000002</v>
      </c>
      <c r="V245" s="41">
        <v>114161</v>
      </c>
      <c r="W245" s="41">
        <v>358111.5</v>
      </c>
      <c r="X245" s="42">
        <v>0.29941017013799021</v>
      </c>
      <c r="Y245" s="43">
        <v>2</v>
      </c>
      <c r="Z245" s="43" t="s">
        <v>2090</v>
      </c>
      <c r="AA245" s="43" t="s">
        <v>2090</v>
      </c>
      <c r="AB245" s="43" t="s">
        <v>2090</v>
      </c>
      <c r="AC245" s="43" t="s">
        <v>2090</v>
      </c>
      <c r="AD245" s="43">
        <v>0</v>
      </c>
      <c r="AE245" s="43">
        <v>0</v>
      </c>
      <c r="AF245" s="43">
        <v>0</v>
      </c>
      <c r="AG245" s="43">
        <v>0</v>
      </c>
      <c r="AH245" s="43">
        <v>0</v>
      </c>
      <c r="AI245" s="43">
        <v>0</v>
      </c>
      <c r="AJ245" s="43">
        <v>0</v>
      </c>
      <c r="AK245" s="43">
        <v>0</v>
      </c>
      <c r="AL245" s="43">
        <v>0</v>
      </c>
      <c r="AM245" s="43">
        <v>0</v>
      </c>
      <c r="AN245" s="43">
        <v>0</v>
      </c>
      <c r="AO245" s="43">
        <v>0</v>
      </c>
      <c r="AP245" s="43">
        <v>0</v>
      </c>
      <c r="AQ245" s="43">
        <v>0</v>
      </c>
      <c r="AR245" s="43">
        <v>0</v>
      </c>
      <c r="AS245" s="43">
        <v>0</v>
      </c>
      <c r="AT245" s="43">
        <v>0</v>
      </c>
      <c r="AU245" s="43">
        <v>0</v>
      </c>
      <c r="AV245" s="43">
        <v>1</v>
      </c>
      <c r="AW245" s="43">
        <v>1</v>
      </c>
      <c r="AX245" s="43">
        <v>0</v>
      </c>
      <c r="AY245" s="43">
        <v>0</v>
      </c>
      <c r="AZ245" s="43">
        <v>0</v>
      </c>
      <c r="BA245" s="43">
        <v>0</v>
      </c>
      <c r="BB245" s="43">
        <v>0</v>
      </c>
      <c r="BC245" s="43">
        <v>0</v>
      </c>
      <c r="BD245" s="43">
        <v>0</v>
      </c>
      <c r="BE245" s="43">
        <v>0</v>
      </c>
      <c r="BF245" s="43">
        <v>0</v>
      </c>
      <c r="BG245" s="43">
        <v>0</v>
      </c>
      <c r="BH245" s="43">
        <v>0</v>
      </c>
      <c r="BI245" s="43">
        <v>0</v>
      </c>
      <c r="BJ245" s="43" t="s">
        <v>2090</v>
      </c>
      <c r="BK245" s="43" t="s">
        <v>2090</v>
      </c>
      <c r="BL245" s="43" t="s">
        <v>2090</v>
      </c>
      <c r="BM245" s="43" t="s">
        <v>2090</v>
      </c>
      <c r="BN245" s="43" t="s">
        <v>2090</v>
      </c>
      <c r="BO245" s="43" t="s">
        <v>2090</v>
      </c>
      <c r="BP245" s="43" t="s">
        <v>2090</v>
      </c>
      <c r="BQ245" s="43" t="s">
        <v>2090</v>
      </c>
      <c r="BR245" s="43" t="s">
        <v>2090</v>
      </c>
      <c r="BS245" s="43" t="s">
        <v>2090</v>
      </c>
      <c r="BT245" s="43" t="s">
        <v>2090</v>
      </c>
      <c r="BU245" s="43" t="s">
        <v>2090</v>
      </c>
      <c r="BV245" s="43" t="s">
        <v>2090</v>
      </c>
      <c r="BW245" s="43" t="s">
        <v>2090</v>
      </c>
    </row>
    <row r="246" spans="1:75" ht="164.45" customHeight="1" x14ac:dyDescent="0.25">
      <c r="A246" s="38" t="s">
        <v>1202</v>
      </c>
      <c r="B246" s="38" t="s">
        <v>1822</v>
      </c>
      <c r="C246" s="39" t="s">
        <v>1203</v>
      </c>
      <c r="D246" s="40" t="s">
        <v>1204</v>
      </c>
      <c r="E246" s="41">
        <v>50984.683369999999</v>
      </c>
      <c r="F246" s="41">
        <v>2579858.91885</v>
      </c>
      <c r="G246" s="41">
        <v>219712.7</v>
      </c>
      <c r="H246" s="41">
        <v>244930.7</v>
      </c>
      <c r="I246" s="42">
        <v>0.84325783784313535</v>
      </c>
      <c r="J246" s="41">
        <v>0</v>
      </c>
      <c r="K246" s="41">
        <v>352.48914000000002</v>
      </c>
      <c r="L246" s="41">
        <v>235981.6</v>
      </c>
      <c r="M246" s="41">
        <v>312761.3</v>
      </c>
      <c r="N246" s="42">
        <v>0.72547823434572312</v>
      </c>
      <c r="O246" s="41">
        <v>0</v>
      </c>
      <c r="P246" s="41">
        <v>161580.89780999999</v>
      </c>
      <c r="Q246" s="41">
        <v>37219</v>
      </c>
      <c r="R246" s="41">
        <v>175296.6</v>
      </c>
      <c r="S246" s="42">
        <v>0.19630845805537311</v>
      </c>
      <c r="T246" s="41">
        <v>2732.3224399999999</v>
      </c>
      <c r="U246" s="41">
        <v>515207.65359</v>
      </c>
      <c r="V246" s="41">
        <v>62013.8</v>
      </c>
      <c r="W246" s="41">
        <v>312017.2</v>
      </c>
      <c r="X246" s="42">
        <v>0.1898570697326456</v>
      </c>
      <c r="Y246" s="43">
        <v>2</v>
      </c>
      <c r="Z246" s="43" t="s">
        <v>2090</v>
      </c>
      <c r="AA246" s="43" t="s">
        <v>2090</v>
      </c>
      <c r="AB246" s="43" t="s">
        <v>2090</v>
      </c>
      <c r="AC246" s="43" t="s">
        <v>2090</v>
      </c>
      <c r="AD246" s="43">
        <v>0</v>
      </c>
      <c r="AE246" s="43">
        <v>0</v>
      </c>
      <c r="AF246" s="43">
        <v>0</v>
      </c>
      <c r="AG246" s="43">
        <v>0</v>
      </c>
      <c r="AH246" s="43">
        <v>0</v>
      </c>
      <c r="AI246" s="43">
        <v>0</v>
      </c>
      <c r="AJ246" s="43">
        <v>0</v>
      </c>
      <c r="AK246" s="43">
        <v>1</v>
      </c>
      <c r="AL246" s="43">
        <v>0</v>
      </c>
      <c r="AM246" s="43">
        <v>0</v>
      </c>
      <c r="AN246" s="43">
        <v>0</v>
      </c>
      <c r="AO246" s="43">
        <v>0</v>
      </c>
      <c r="AP246" s="43">
        <v>0</v>
      </c>
      <c r="AQ246" s="43">
        <v>0</v>
      </c>
      <c r="AR246" s="43">
        <v>0</v>
      </c>
      <c r="AS246" s="43">
        <v>0</v>
      </c>
      <c r="AT246" s="43">
        <v>0</v>
      </c>
      <c r="AU246" s="43">
        <v>0</v>
      </c>
      <c r="AV246" s="43">
        <v>0</v>
      </c>
      <c r="AW246" s="43">
        <v>1</v>
      </c>
      <c r="AX246" s="43">
        <v>0</v>
      </c>
      <c r="AY246" s="43">
        <v>0</v>
      </c>
      <c r="AZ246" s="43">
        <v>0</v>
      </c>
      <c r="BA246" s="43">
        <v>0</v>
      </c>
      <c r="BB246" s="43">
        <v>0</v>
      </c>
      <c r="BC246" s="43">
        <v>0</v>
      </c>
      <c r="BD246" s="43">
        <v>0</v>
      </c>
      <c r="BE246" s="43">
        <v>0</v>
      </c>
      <c r="BF246" s="43">
        <v>0</v>
      </c>
      <c r="BG246" s="43">
        <v>0</v>
      </c>
      <c r="BH246" s="43">
        <v>0</v>
      </c>
      <c r="BI246" s="43">
        <v>0</v>
      </c>
      <c r="BJ246" s="43" t="s">
        <v>2090</v>
      </c>
      <c r="BK246" s="43" t="s">
        <v>2091</v>
      </c>
      <c r="BL246" s="43" t="s">
        <v>2090</v>
      </c>
      <c r="BM246" s="43" t="s">
        <v>2090</v>
      </c>
      <c r="BN246" s="43" t="s">
        <v>2090</v>
      </c>
      <c r="BO246" s="43" t="s">
        <v>2090</v>
      </c>
      <c r="BP246" s="43" t="s">
        <v>2090</v>
      </c>
      <c r="BQ246" s="43" t="s">
        <v>2090</v>
      </c>
      <c r="BR246" s="43" t="s">
        <v>2090</v>
      </c>
      <c r="BS246" s="43" t="s">
        <v>2090</v>
      </c>
      <c r="BT246" s="43" t="s">
        <v>2090</v>
      </c>
      <c r="BU246" s="43" t="s">
        <v>2090</v>
      </c>
      <c r="BV246" s="43" t="s">
        <v>2090</v>
      </c>
      <c r="BW246" s="43" t="s">
        <v>2090</v>
      </c>
    </row>
    <row r="247" spans="1:75" ht="131.44999999999999" customHeight="1" x14ac:dyDescent="0.25">
      <c r="A247" s="38" t="s">
        <v>1205</v>
      </c>
      <c r="B247" s="38" t="s">
        <v>1823</v>
      </c>
      <c r="C247" s="39" t="s">
        <v>1206</v>
      </c>
      <c r="D247" s="40" t="s">
        <v>1207</v>
      </c>
      <c r="E247" s="41">
        <v>26153.648880000001</v>
      </c>
      <c r="F247" s="41">
        <v>1955789.59837</v>
      </c>
      <c r="G247" s="41">
        <v>195534.2</v>
      </c>
      <c r="H247" s="41">
        <v>235478.3</v>
      </c>
      <c r="I247" s="42">
        <v>0.79916623410329612</v>
      </c>
      <c r="J247" s="41">
        <v>0</v>
      </c>
      <c r="K247" s="41">
        <v>0</v>
      </c>
      <c r="L247" s="41">
        <v>192447.9</v>
      </c>
      <c r="M247" s="41">
        <v>657459.9</v>
      </c>
      <c r="N247" s="42">
        <v>0.25972052298243598</v>
      </c>
      <c r="O247" s="41">
        <v>10021.74847</v>
      </c>
      <c r="P247" s="41">
        <v>1347689.4147699999</v>
      </c>
      <c r="Q247" s="41">
        <v>244083.8</v>
      </c>
      <c r="R247" s="41">
        <v>392515.5</v>
      </c>
      <c r="S247" s="42">
        <v>0.58314157988124882</v>
      </c>
      <c r="T247" s="41">
        <v>2814.7376800000002</v>
      </c>
      <c r="U247" s="41">
        <v>501379.64121999999</v>
      </c>
      <c r="V247" s="41">
        <v>88935</v>
      </c>
      <c r="W247" s="41">
        <v>235656.7</v>
      </c>
      <c r="X247" s="42">
        <v>0.34389835872857982</v>
      </c>
      <c r="Y247" s="43">
        <v>2</v>
      </c>
      <c r="Z247" s="43" t="s">
        <v>2090</v>
      </c>
      <c r="AA247" s="43" t="s">
        <v>2090</v>
      </c>
      <c r="AB247" s="43" t="s">
        <v>2090</v>
      </c>
      <c r="AC247" s="43" t="s">
        <v>2090</v>
      </c>
      <c r="AD247" s="43">
        <v>0</v>
      </c>
      <c r="AE247" s="43">
        <v>0</v>
      </c>
      <c r="AF247" s="43">
        <v>0</v>
      </c>
      <c r="AG247" s="43">
        <v>0</v>
      </c>
      <c r="AH247" s="43">
        <v>0</v>
      </c>
      <c r="AI247" s="43">
        <v>0</v>
      </c>
      <c r="AJ247" s="43">
        <v>0</v>
      </c>
      <c r="AK247" s="43">
        <v>0</v>
      </c>
      <c r="AL247" s="43">
        <v>1</v>
      </c>
      <c r="AM247" s="43">
        <v>0</v>
      </c>
      <c r="AN247" s="43">
        <v>0</v>
      </c>
      <c r="AO247" s="43">
        <v>0</v>
      </c>
      <c r="AP247" s="43">
        <v>0</v>
      </c>
      <c r="AQ247" s="43">
        <v>0</v>
      </c>
      <c r="AR247" s="43">
        <v>0</v>
      </c>
      <c r="AS247" s="43">
        <v>0</v>
      </c>
      <c r="AT247" s="43">
        <v>0</v>
      </c>
      <c r="AU247" s="43">
        <v>0</v>
      </c>
      <c r="AV247" s="43">
        <v>0</v>
      </c>
      <c r="AW247" s="43">
        <v>1</v>
      </c>
      <c r="AX247" s="43">
        <v>0</v>
      </c>
      <c r="AY247" s="43">
        <v>0</v>
      </c>
      <c r="AZ247" s="43">
        <v>0</v>
      </c>
      <c r="BA247" s="43">
        <v>0</v>
      </c>
      <c r="BB247" s="43">
        <v>0</v>
      </c>
      <c r="BC247" s="43">
        <v>0</v>
      </c>
      <c r="BD247" s="43">
        <v>0</v>
      </c>
      <c r="BE247" s="43">
        <v>0</v>
      </c>
      <c r="BF247" s="43">
        <v>0</v>
      </c>
      <c r="BG247" s="43">
        <v>0</v>
      </c>
      <c r="BH247" s="43">
        <v>0</v>
      </c>
      <c r="BI247" s="43">
        <v>0</v>
      </c>
      <c r="BJ247" s="43" t="s">
        <v>2090</v>
      </c>
      <c r="BK247" s="43" t="s">
        <v>2090</v>
      </c>
      <c r="BL247" s="43" t="s">
        <v>2090</v>
      </c>
      <c r="BM247" s="43" t="s">
        <v>2090</v>
      </c>
      <c r="BN247" s="43" t="s">
        <v>2090</v>
      </c>
      <c r="BO247" s="43" t="s">
        <v>2090</v>
      </c>
      <c r="BP247" s="43" t="s">
        <v>2090</v>
      </c>
      <c r="BQ247" s="43" t="s">
        <v>2090</v>
      </c>
      <c r="BR247" s="43" t="s">
        <v>2090</v>
      </c>
      <c r="BS247" s="43" t="s">
        <v>2090</v>
      </c>
      <c r="BT247" s="43" t="s">
        <v>2090</v>
      </c>
      <c r="BU247" s="43" t="s">
        <v>2090</v>
      </c>
      <c r="BV247" s="43" t="s">
        <v>2090</v>
      </c>
      <c r="BW247" s="43" t="s">
        <v>2090</v>
      </c>
    </row>
    <row r="248" spans="1:75" ht="175.7" customHeight="1" x14ac:dyDescent="0.25">
      <c r="A248" s="38" t="s">
        <v>1208</v>
      </c>
      <c r="B248" s="38" t="s">
        <v>1824</v>
      </c>
      <c r="C248" s="39" t="s">
        <v>1209</v>
      </c>
      <c r="D248" s="40" t="s">
        <v>1210</v>
      </c>
      <c r="E248" s="41">
        <v>68282.211790000001</v>
      </c>
      <c r="F248" s="41">
        <v>2261659.42289</v>
      </c>
      <c r="G248" s="41">
        <v>138723.29999999999</v>
      </c>
      <c r="H248" s="41">
        <v>136572.6</v>
      </c>
      <c r="I248" s="42">
        <v>0.97995964413464187</v>
      </c>
      <c r="J248" s="41">
        <v>3744.94659</v>
      </c>
      <c r="K248" s="41">
        <v>310216.59424000001</v>
      </c>
      <c r="L248" s="41">
        <v>194308.3</v>
      </c>
      <c r="M248" s="41">
        <v>570840.4</v>
      </c>
      <c r="N248" s="42">
        <v>0.30195486454882881</v>
      </c>
      <c r="O248" s="41">
        <v>49074.474029999998</v>
      </c>
      <c r="P248" s="41">
        <v>2591055.0529299998</v>
      </c>
      <c r="Q248" s="41">
        <v>363196.6</v>
      </c>
      <c r="R248" s="41">
        <v>318225.40000000002</v>
      </c>
      <c r="S248" s="42">
        <v>1.1052482960831185</v>
      </c>
      <c r="T248" s="41">
        <v>9071.5754699999998</v>
      </c>
      <c r="U248" s="41">
        <v>671172.34615</v>
      </c>
      <c r="V248" s="41">
        <v>37107.699999999997</v>
      </c>
      <c r="W248" s="41">
        <v>93743.7</v>
      </c>
      <c r="X248" s="42">
        <v>0.37210403810761067</v>
      </c>
      <c r="Y248" s="43">
        <v>2</v>
      </c>
      <c r="Z248" s="43" t="s">
        <v>2090</v>
      </c>
      <c r="AA248" s="43" t="s">
        <v>2090</v>
      </c>
      <c r="AB248" s="43" t="s">
        <v>2090</v>
      </c>
      <c r="AC248" s="43" t="s">
        <v>2090</v>
      </c>
      <c r="AD248" s="43">
        <v>0</v>
      </c>
      <c r="AE248" s="43">
        <v>0</v>
      </c>
      <c r="AF248" s="43">
        <v>0</v>
      </c>
      <c r="AG248" s="43">
        <v>0</v>
      </c>
      <c r="AH248" s="43">
        <v>0</v>
      </c>
      <c r="AI248" s="43">
        <v>0</v>
      </c>
      <c r="AJ248" s="43">
        <v>0</v>
      </c>
      <c r="AK248" s="43">
        <v>0</v>
      </c>
      <c r="AL248" s="43">
        <v>0</v>
      </c>
      <c r="AM248" s="43">
        <v>0</v>
      </c>
      <c r="AN248" s="43">
        <v>1</v>
      </c>
      <c r="AO248" s="43">
        <v>0</v>
      </c>
      <c r="AP248" s="43">
        <v>0</v>
      </c>
      <c r="AQ248" s="43">
        <v>0</v>
      </c>
      <c r="AR248" s="43">
        <v>0</v>
      </c>
      <c r="AS248" s="43">
        <v>0</v>
      </c>
      <c r="AT248" s="43">
        <v>0</v>
      </c>
      <c r="AU248" s="43">
        <v>0</v>
      </c>
      <c r="AV248" s="43">
        <v>0</v>
      </c>
      <c r="AW248" s="43">
        <v>1</v>
      </c>
      <c r="AX248" s="43">
        <v>0</v>
      </c>
      <c r="AY248" s="43">
        <v>0</v>
      </c>
      <c r="AZ248" s="43">
        <v>0</v>
      </c>
      <c r="BA248" s="43">
        <v>0</v>
      </c>
      <c r="BB248" s="43">
        <v>0</v>
      </c>
      <c r="BC248" s="43">
        <v>0</v>
      </c>
      <c r="BD248" s="43">
        <v>0</v>
      </c>
      <c r="BE248" s="43">
        <v>0</v>
      </c>
      <c r="BF248" s="43">
        <v>0</v>
      </c>
      <c r="BG248" s="43">
        <v>0</v>
      </c>
      <c r="BH248" s="43">
        <v>0</v>
      </c>
      <c r="BI248" s="43">
        <v>0</v>
      </c>
      <c r="BJ248" s="43" t="s">
        <v>2090</v>
      </c>
      <c r="BK248" s="43" t="s">
        <v>2090</v>
      </c>
      <c r="BL248" s="43" t="s">
        <v>2090</v>
      </c>
      <c r="BM248" s="43" t="s">
        <v>2090</v>
      </c>
      <c r="BN248" s="43" t="s">
        <v>2090</v>
      </c>
      <c r="BO248" s="43" t="s">
        <v>2090</v>
      </c>
      <c r="BP248" s="43" t="s">
        <v>2090</v>
      </c>
      <c r="BQ248" s="43" t="s">
        <v>2090</v>
      </c>
      <c r="BR248" s="43" t="s">
        <v>2090</v>
      </c>
      <c r="BS248" s="43" t="s">
        <v>2090</v>
      </c>
      <c r="BT248" s="43" t="s">
        <v>2090</v>
      </c>
      <c r="BU248" s="43" t="s">
        <v>2090</v>
      </c>
      <c r="BV248" s="43" t="s">
        <v>2090</v>
      </c>
      <c r="BW248" s="43" t="s">
        <v>2090</v>
      </c>
    </row>
    <row r="249" spans="1:75" ht="172.7" customHeight="1" x14ac:dyDescent="0.25">
      <c r="A249" s="38" t="s">
        <v>1211</v>
      </c>
      <c r="B249" s="38" t="s">
        <v>1825</v>
      </c>
      <c r="C249" s="39" t="s">
        <v>1212</v>
      </c>
      <c r="D249" s="40" t="s">
        <v>1213</v>
      </c>
      <c r="E249" s="41">
        <v>52307.076999999997</v>
      </c>
      <c r="F249" s="41">
        <v>2602312.7053499999</v>
      </c>
      <c r="G249" s="41">
        <v>559121.6</v>
      </c>
      <c r="H249" s="41">
        <v>473642.8</v>
      </c>
      <c r="I249" s="42">
        <v>1.1472160839964745</v>
      </c>
      <c r="J249" s="41">
        <v>0</v>
      </c>
      <c r="K249" s="41">
        <v>17588.045340000001</v>
      </c>
      <c r="L249" s="41">
        <v>140240.6</v>
      </c>
      <c r="M249" s="41">
        <v>403711.3</v>
      </c>
      <c r="N249" s="42">
        <v>0.32146153264240868</v>
      </c>
      <c r="O249" s="41">
        <v>9708.3520700000008</v>
      </c>
      <c r="P249" s="41">
        <v>1157787.9698300001</v>
      </c>
      <c r="Q249" s="41">
        <v>270893.3</v>
      </c>
      <c r="R249" s="41">
        <v>383661</v>
      </c>
      <c r="S249" s="42">
        <v>0.6678221300652627</v>
      </c>
      <c r="T249" s="41">
        <v>3395.4888599999999</v>
      </c>
      <c r="U249" s="41">
        <v>559370.03663999995</v>
      </c>
      <c r="V249" s="41">
        <v>189426.4</v>
      </c>
      <c r="W249" s="41">
        <v>449357.7</v>
      </c>
      <c r="X249" s="42">
        <v>0.38415251571079961</v>
      </c>
      <c r="Y249" s="43">
        <v>2</v>
      </c>
      <c r="Z249" s="43" t="s">
        <v>2090</v>
      </c>
      <c r="AA249" s="43" t="s">
        <v>2090</v>
      </c>
      <c r="AB249" s="43" t="s">
        <v>2090</v>
      </c>
      <c r="AC249" s="43" t="s">
        <v>2090</v>
      </c>
      <c r="AD249" s="43">
        <v>0</v>
      </c>
      <c r="AE249" s="43">
        <v>0</v>
      </c>
      <c r="AF249" s="43">
        <v>0</v>
      </c>
      <c r="AG249" s="43">
        <v>0</v>
      </c>
      <c r="AH249" s="43">
        <v>0</v>
      </c>
      <c r="AI249" s="43">
        <v>0</v>
      </c>
      <c r="AJ249" s="43">
        <v>0</v>
      </c>
      <c r="AK249" s="43">
        <v>0</v>
      </c>
      <c r="AL249" s="43">
        <v>0</v>
      </c>
      <c r="AM249" s="43">
        <v>0</v>
      </c>
      <c r="AN249" s="43">
        <v>0</v>
      </c>
      <c r="AO249" s="43">
        <v>0</v>
      </c>
      <c r="AP249" s="43">
        <v>0</v>
      </c>
      <c r="AQ249" s="43">
        <v>0</v>
      </c>
      <c r="AR249" s="43">
        <v>1</v>
      </c>
      <c r="AS249" s="43">
        <v>0</v>
      </c>
      <c r="AT249" s="43">
        <v>0</v>
      </c>
      <c r="AU249" s="43">
        <v>0</v>
      </c>
      <c r="AV249" s="43">
        <v>0</v>
      </c>
      <c r="AW249" s="43">
        <v>1</v>
      </c>
      <c r="AX249" s="43">
        <v>0</v>
      </c>
      <c r="AY249" s="43">
        <v>0</v>
      </c>
      <c r="AZ249" s="43">
        <v>0</v>
      </c>
      <c r="BA249" s="43">
        <v>0</v>
      </c>
      <c r="BB249" s="43">
        <v>0</v>
      </c>
      <c r="BC249" s="43">
        <v>0</v>
      </c>
      <c r="BD249" s="43">
        <v>0</v>
      </c>
      <c r="BE249" s="43">
        <v>0</v>
      </c>
      <c r="BF249" s="43">
        <v>0</v>
      </c>
      <c r="BG249" s="43">
        <v>0</v>
      </c>
      <c r="BH249" s="43">
        <v>0</v>
      </c>
      <c r="BI249" s="43">
        <v>0</v>
      </c>
      <c r="BJ249" s="43" t="s">
        <v>2090</v>
      </c>
      <c r="BK249" s="43" t="s">
        <v>2090</v>
      </c>
      <c r="BL249" s="43" t="s">
        <v>2090</v>
      </c>
      <c r="BM249" s="43" t="s">
        <v>2090</v>
      </c>
      <c r="BN249" s="43" t="s">
        <v>2090</v>
      </c>
      <c r="BO249" s="43" t="s">
        <v>2090</v>
      </c>
      <c r="BP249" s="43" t="s">
        <v>2090</v>
      </c>
      <c r="BQ249" s="43" t="s">
        <v>2090</v>
      </c>
      <c r="BR249" s="43" t="s">
        <v>2090</v>
      </c>
      <c r="BS249" s="43" t="s">
        <v>2090</v>
      </c>
      <c r="BT249" s="43" t="s">
        <v>2090</v>
      </c>
      <c r="BU249" s="43" t="s">
        <v>2090</v>
      </c>
      <c r="BV249" s="43" t="s">
        <v>2090</v>
      </c>
      <c r="BW249" s="43" t="s">
        <v>2090</v>
      </c>
    </row>
    <row r="250" spans="1:75" ht="159.19999999999999" customHeight="1" x14ac:dyDescent="0.25">
      <c r="A250" s="38" t="s">
        <v>1214</v>
      </c>
      <c r="B250" s="38" t="s">
        <v>1826</v>
      </c>
      <c r="C250" s="39" t="s">
        <v>1215</v>
      </c>
      <c r="D250" s="40" t="s">
        <v>1216</v>
      </c>
      <c r="E250" s="41">
        <v>58542.260179999997</v>
      </c>
      <c r="F250" s="41">
        <v>2820292.7448900002</v>
      </c>
      <c r="G250" s="41">
        <v>488372.3</v>
      </c>
      <c r="H250" s="41">
        <v>386087.5</v>
      </c>
      <c r="I250" s="42">
        <v>1.2512332998933104</v>
      </c>
      <c r="J250" s="41">
        <v>0</v>
      </c>
      <c r="K250" s="41">
        <v>0</v>
      </c>
      <c r="L250" s="41">
        <v>192988.4</v>
      </c>
      <c r="M250" s="41">
        <v>531761.19999999995</v>
      </c>
      <c r="N250" s="42">
        <v>0.32664732349354525</v>
      </c>
      <c r="O250" s="41">
        <v>76109.868960000007</v>
      </c>
      <c r="P250" s="41">
        <v>3097610.6917400002</v>
      </c>
      <c r="Q250" s="41">
        <v>223176.7</v>
      </c>
      <c r="R250" s="41">
        <v>141438.29999999999</v>
      </c>
      <c r="S250" s="42">
        <v>1.519645109227689</v>
      </c>
      <c r="T250" s="41">
        <v>2904.3144200000002</v>
      </c>
      <c r="U250" s="41">
        <v>495676.77779999998</v>
      </c>
      <c r="V250" s="41">
        <v>275677.09999999998</v>
      </c>
      <c r="W250" s="41">
        <v>473654.1</v>
      </c>
      <c r="X250" s="42">
        <v>0.5380713486587323</v>
      </c>
      <c r="Y250" s="43">
        <v>2</v>
      </c>
      <c r="Z250" s="43" t="s">
        <v>2090</v>
      </c>
      <c r="AA250" s="43" t="s">
        <v>2090</v>
      </c>
      <c r="AB250" s="43" t="s">
        <v>2090</v>
      </c>
      <c r="AC250" s="43" t="s">
        <v>2090</v>
      </c>
      <c r="AD250" s="43">
        <v>0</v>
      </c>
      <c r="AE250" s="43">
        <v>0</v>
      </c>
      <c r="AF250" s="43">
        <v>0</v>
      </c>
      <c r="AG250" s="43">
        <v>0</v>
      </c>
      <c r="AH250" s="43">
        <v>0</v>
      </c>
      <c r="AI250" s="43">
        <v>0</v>
      </c>
      <c r="AJ250" s="43">
        <v>0</v>
      </c>
      <c r="AK250" s="43">
        <v>0</v>
      </c>
      <c r="AL250" s="43">
        <v>0</v>
      </c>
      <c r="AM250" s="43">
        <v>0</v>
      </c>
      <c r="AN250" s="43">
        <v>0</v>
      </c>
      <c r="AO250" s="43">
        <v>0</v>
      </c>
      <c r="AP250" s="43">
        <v>0</v>
      </c>
      <c r="AQ250" s="43">
        <v>0</v>
      </c>
      <c r="AR250" s="43">
        <v>0</v>
      </c>
      <c r="AS250" s="43">
        <v>0</v>
      </c>
      <c r="AT250" s="43">
        <v>1</v>
      </c>
      <c r="AU250" s="43">
        <v>0</v>
      </c>
      <c r="AV250" s="43">
        <v>0</v>
      </c>
      <c r="AW250" s="43">
        <v>1</v>
      </c>
      <c r="AX250" s="43">
        <v>0</v>
      </c>
      <c r="AY250" s="43">
        <v>0</v>
      </c>
      <c r="AZ250" s="43">
        <v>0</v>
      </c>
      <c r="BA250" s="43">
        <v>0</v>
      </c>
      <c r="BB250" s="43">
        <v>0</v>
      </c>
      <c r="BC250" s="43">
        <v>0</v>
      </c>
      <c r="BD250" s="43">
        <v>0</v>
      </c>
      <c r="BE250" s="43">
        <v>0</v>
      </c>
      <c r="BF250" s="43">
        <v>0</v>
      </c>
      <c r="BG250" s="43">
        <v>0</v>
      </c>
      <c r="BH250" s="43">
        <v>0</v>
      </c>
      <c r="BI250" s="43">
        <v>0</v>
      </c>
      <c r="BJ250" s="43" t="s">
        <v>2090</v>
      </c>
      <c r="BK250" s="43" t="s">
        <v>2090</v>
      </c>
      <c r="BL250" s="43" t="s">
        <v>2090</v>
      </c>
      <c r="BM250" s="43" t="s">
        <v>2090</v>
      </c>
      <c r="BN250" s="43" t="s">
        <v>2090</v>
      </c>
      <c r="BO250" s="43" t="s">
        <v>2090</v>
      </c>
      <c r="BP250" s="43" t="s">
        <v>2090</v>
      </c>
      <c r="BQ250" s="43" t="s">
        <v>2090</v>
      </c>
      <c r="BR250" s="43" t="s">
        <v>2090</v>
      </c>
      <c r="BS250" s="43" t="s">
        <v>2090</v>
      </c>
      <c r="BT250" s="43" t="s">
        <v>2090</v>
      </c>
      <c r="BU250" s="43" t="s">
        <v>2090</v>
      </c>
      <c r="BV250" s="43" t="s">
        <v>2090</v>
      </c>
      <c r="BW250" s="43" t="s">
        <v>2090</v>
      </c>
    </row>
    <row r="251" spans="1:75" ht="163.69999999999999" customHeight="1" x14ac:dyDescent="0.25">
      <c r="A251" s="38" t="s">
        <v>1217</v>
      </c>
      <c r="B251" s="38" t="s">
        <v>1827</v>
      </c>
      <c r="C251" s="39" t="s">
        <v>1218</v>
      </c>
      <c r="D251" s="40" t="s">
        <v>1219</v>
      </c>
      <c r="E251" s="41">
        <v>76075.427840000004</v>
      </c>
      <c r="F251" s="41">
        <v>3100280.0348700001</v>
      </c>
      <c r="G251" s="41">
        <v>83479.5</v>
      </c>
      <c r="H251" s="41">
        <v>52261.1</v>
      </c>
      <c r="I251" s="42">
        <v>1.5048486972777193</v>
      </c>
      <c r="J251" s="41">
        <v>75054.65741</v>
      </c>
      <c r="K251" s="41">
        <v>2892666.3121699998</v>
      </c>
      <c r="L251" s="41">
        <v>266644</v>
      </c>
      <c r="M251" s="41">
        <v>159329.20000000001</v>
      </c>
      <c r="N251" s="42">
        <v>1.5052538379359293</v>
      </c>
      <c r="O251" s="41">
        <v>7214.4453400000002</v>
      </c>
      <c r="P251" s="41">
        <v>1000009.64463</v>
      </c>
      <c r="Q251" s="41">
        <v>150978.79999999999</v>
      </c>
      <c r="R251" s="41">
        <v>276578.59999999998</v>
      </c>
      <c r="S251" s="42">
        <v>0.51666275053976052</v>
      </c>
      <c r="T251" s="41">
        <v>96894.353310000006</v>
      </c>
      <c r="U251" s="41">
        <v>3400562.8344899998</v>
      </c>
      <c r="V251" s="41">
        <v>143424.1</v>
      </c>
      <c r="W251" s="41">
        <v>67387.899999999994</v>
      </c>
      <c r="X251" s="42">
        <v>1.6383256932441572</v>
      </c>
      <c r="Y251" s="43">
        <v>2</v>
      </c>
      <c r="Z251" s="43" t="s">
        <v>2090</v>
      </c>
      <c r="AA251" s="43" t="s">
        <v>2090</v>
      </c>
      <c r="AB251" s="43" t="s">
        <v>2090</v>
      </c>
      <c r="AC251" s="43" t="s">
        <v>2090</v>
      </c>
      <c r="AD251" s="43">
        <v>0</v>
      </c>
      <c r="AE251" s="43">
        <v>0</v>
      </c>
      <c r="AF251" s="43">
        <v>0</v>
      </c>
      <c r="AG251" s="43">
        <v>0</v>
      </c>
      <c r="AH251" s="43">
        <v>0</v>
      </c>
      <c r="AI251" s="43">
        <v>0</v>
      </c>
      <c r="AJ251" s="43">
        <v>0</v>
      </c>
      <c r="AK251" s="43">
        <v>0</v>
      </c>
      <c r="AL251" s="43">
        <v>0</v>
      </c>
      <c r="AM251" s="43">
        <v>0</v>
      </c>
      <c r="AN251" s="43">
        <v>0</v>
      </c>
      <c r="AO251" s="43">
        <v>0</v>
      </c>
      <c r="AP251" s="43">
        <v>0</v>
      </c>
      <c r="AQ251" s="43">
        <v>0</v>
      </c>
      <c r="AR251" s="43">
        <v>0</v>
      </c>
      <c r="AS251" s="43">
        <v>0</v>
      </c>
      <c r="AT251" s="43">
        <v>0</v>
      </c>
      <c r="AU251" s="43">
        <v>0</v>
      </c>
      <c r="AV251" s="43">
        <v>0</v>
      </c>
      <c r="AW251" s="43">
        <v>1</v>
      </c>
      <c r="AX251" s="43">
        <v>0</v>
      </c>
      <c r="AY251" s="43">
        <v>0</v>
      </c>
      <c r="AZ251" s="43">
        <v>0</v>
      </c>
      <c r="BA251" s="43">
        <v>0</v>
      </c>
      <c r="BB251" s="43">
        <v>0</v>
      </c>
      <c r="BC251" s="43">
        <v>0</v>
      </c>
      <c r="BD251" s="43">
        <v>1</v>
      </c>
      <c r="BE251" s="43">
        <v>0</v>
      </c>
      <c r="BF251" s="43">
        <v>0</v>
      </c>
      <c r="BG251" s="43">
        <v>0</v>
      </c>
      <c r="BH251" s="43">
        <v>0</v>
      </c>
      <c r="BI251" s="43">
        <v>0</v>
      </c>
      <c r="BJ251" s="43" t="s">
        <v>2090</v>
      </c>
      <c r="BK251" s="43" t="s">
        <v>2090</v>
      </c>
      <c r="BL251" s="43" t="s">
        <v>2090</v>
      </c>
      <c r="BM251" s="43" t="s">
        <v>2090</v>
      </c>
      <c r="BN251" s="43" t="s">
        <v>2090</v>
      </c>
      <c r="BO251" s="43" t="s">
        <v>2090</v>
      </c>
      <c r="BP251" s="43" t="s">
        <v>2090</v>
      </c>
      <c r="BQ251" s="43" t="s">
        <v>2090</v>
      </c>
      <c r="BR251" s="43" t="s">
        <v>2090</v>
      </c>
      <c r="BS251" s="43" t="s">
        <v>2090</v>
      </c>
      <c r="BT251" s="43" t="s">
        <v>2090</v>
      </c>
      <c r="BU251" s="43" t="s">
        <v>2090</v>
      </c>
      <c r="BV251" s="43" t="s">
        <v>2090</v>
      </c>
      <c r="BW251" s="43" t="s">
        <v>2090</v>
      </c>
    </row>
    <row r="252" spans="1:75" ht="121.7" customHeight="1" x14ac:dyDescent="0.25">
      <c r="A252" s="38" t="s">
        <v>1220</v>
      </c>
      <c r="B252" s="38" t="s">
        <v>1828</v>
      </c>
      <c r="C252" s="39" t="s">
        <v>1221</v>
      </c>
      <c r="D252" s="40" t="s">
        <v>1222</v>
      </c>
      <c r="E252" s="41">
        <v>64147.284780000002</v>
      </c>
      <c r="F252" s="41">
        <v>2888032.6665099999</v>
      </c>
      <c r="G252" s="41">
        <v>325892</v>
      </c>
      <c r="H252" s="41">
        <v>221471.4</v>
      </c>
      <c r="I252" s="42">
        <v>1.4220200601365141</v>
      </c>
      <c r="J252" s="41">
        <v>92674.492150000005</v>
      </c>
      <c r="K252" s="41">
        <v>3106665.40075</v>
      </c>
      <c r="L252" s="41">
        <v>138425.60000000001</v>
      </c>
      <c r="M252" s="41">
        <v>67260.800000000003</v>
      </c>
      <c r="N252" s="42">
        <v>1.8590533722087401</v>
      </c>
      <c r="O252" s="41">
        <v>81532.467770000003</v>
      </c>
      <c r="P252" s="41">
        <v>3176277.6160800001</v>
      </c>
      <c r="Q252" s="41">
        <v>309643.90000000002</v>
      </c>
      <c r="R252" s="41">
        <v>203853.7</v>
      </c>
      <c r="S252" s="42">
        <v>1.5065487524062797</v>
      </c>
      <c r="T252" s="41">
        <v>95681.034310000003</v>
      </c>
      <c r="U252" s="41">
        <v>3347442.60066</v>
      </c>
      <c r="V252" s="41">
        <v>235135.6</v>
      </c>
      <c r="W252" s="41">
        <v>139949.29999999999</v>
      </c>
      <c r="X252" s="42">
        <v>1.526168701312828</v>
      </c>
      <c r="Y252" s="43">
        <v>1</v>
      </c>
      <c r="Z252" s="43" t="s">
        <v>2090</v>
      </c>
      <c r="AA252" s="43" t="s">
        <v>2090</v>
      </c>
      <c r="AB252" s="43" t="s">
        <v>2090</v>
      </c>
      <c r="AC252" s="43" t="s">
        <v>2090</v>
      </c>
      <c r="AD252" s="43">
        <v>0</v>
      </c>
      <c r="AE252" s="43">
        <v>0</v>
      </c>
      <c r="AF252" s="43">
        <v>0</v>
      </c>
      <c r="AG252" s="43">
        <v>0</v>
      </c>
      <c r="AH252" s="43">
        <v>0</v>
      </c>
      <c r="AI252" s="43">
        <v>0</v>
      </c>
      <c r="AJ252" s="43">
        <v>0</v>
      </c>
      <c r="AK252" s="43">
        <v>0</v>
      </c>
      <c r="AL252" s="43">
        <v>0</v>
      </c>
      <c r="AM252" s="43">
        <v>0</v>
      </c>
      <c r="AN252" s="43">
        <v>0</v>
      </c>
      <c r="AO252" s="43">
        <v>0</v>
      </c>
      <c r="AP252" s="43">
        <v>0</v>
      </c>
      <c r="AQ252" s="43">
        <v>0</v>
      </c>
      <c r="AR252" s="43">
        <v>0</v>
      </c>
      <c r="AS252" s="43">
        <v>0</v>
      </c>
      <c r="AT252" s="43">
        <v>0</v>
      </c>
      <c r="AU252" s="43">
        <v>0</v>
      </c>
      <c r="AV252" s="43">
        <v>0</v>
      </c>
      <c r="AW252" s="43">
        <v>0</v>
      </c>
      <c r="AX252" s="43">
        <v>0</v>
      </c>
      <c r="AY252" s="43">
        <v>0</v>
      </c>
      <c r="AZ252" s="43">
        <v>0</v>
      </c>
      <c r="BA252" s="43">
        <v>0</v>
      </c>
      <c r="BB252" s="43">
        <v>0</v>
      </c>
      <c r="BC252" s="43">
        <v>0</v>
      </c>
      <c r="BD252" s="43">
        <v>0</v>
      </c>
      <c r="BE252" s="43">
        <v>0</v>
      </c>
      <c r="BF252" s="43">
        <v>0</v>
      </c>
      <c r="BG252" s="43">
        <v>0</v>
      </c>
      <c r="BH252" s="43">
        <v>0</v>
      </c>
      <c r="BI252" s="43">
        <v>1</v>
      </c>
      <c r="BJ252" s="43" t="s">
        <v>2090</v>
      </c>
      <c r="BK252" s="43" t="s">
        <v>2090</v>
      </c>
      <c r="BL252" s="43" t="s">
        <v>2090</v>
      </c>
      <c r="BM252" s="43" t="s">
        <v>2090</v>
      </c>
      <c r="BN252" s="43" t="s">
        <v>2090</v>
      </c>
      <c r="BO252" s="43" t="s">
        <v>2090</v>
      </c>
      <c r="BP252" s="43" t="s">
        <v>2090</v>
      </c>
      <c r="BQ252" s="43" t="s">
        <v>2090</v>
      </c>
      <c r="BR252" s="43" t="s">
        <v>2090</v>
      </c>
      <c r="BS252" s="43" t="s">
        <v>2090</v>
      </c>
      <c r="BT252" s="43" t="s">
        <v>2090</v>
      </c>
      <c r="BU252" s="43" t="s">
        <v>2090</v>
      </c>
      <c r="BV252" s="43" t="s">
        <v>2090</v>
      </c>
      <c r="BW252" s="43" t="s">
        <v>2090</v>
      </c>
    </row>
    <row r="253" spans="1:75" ht="96.2" customHeight="1" x14ac:dyDescent="0.25">
      <c r="A253" s="38" t="s">
        <v>1223</v>
      </c>
      <c r="B253" s="38" t="s">
        <v>1829</v>
      </c>
      <c r="C253" s="39" t="s">
        <v>1224</v>
      </c>
      <c r="D253" s="40" t="s">
        <v>1225</v>
      </c>
      <c r="E253" s="41">
        <v>54878.235399999998</v>
      </c>
      <c r="F253" s="41">
        <v>2728666.2818800001</v>
      </c>
      <c r="G253" s="41">
        <v>300519.3</v>
      </c>
      <c r="H253" s="41">
        <v>231451.4</v>
      </c>
      <c r="I253" s="42">
        <v>1.2627274728697158</v>
      </c>
      <c r="J253" s="41">
        <v>34291.951500000003</v>
      </c>
      <c r="K253" s="41">
        <v>2071970.89781</v>
      </c>
      <c r="L253" s="41">
        <v>207910.2</v>
      </c>
      <c r="M253" s="41">
        <v>200851.6</v>
      </c>
      <c r="N253" s="42">
        <v>0.97322222086950172</v>
      </c>
      <c r="O253" s="41">
        <v>86059.879130000001</v>
      </c>
      <c r="P253" s="41">
        <v>3247843.2884300002</v>
      </c>
      <c r="Q253" s="41">
        <v>211184.2</v>
      </c>
      <c r="R253" s="41">
        <v>127784.1</v>
      </c>
      <c r="S253" s="42">
        <v>1.5975548468155023</v>
      </c>
      <c r="T253" s="41">
        <v>59658.685019999997</v>
      </c>
      <c r="U253" s="41">
        <v>2707632.6124</v>
      </c>
      <c r="V253" s="41">
        <v>158529.79999999999</v>
      </c>
      <c r="W253" s="41">
        <v>109823.7</v>
      </c>
      <c r="X253" s="42">
        <v>1.1911099487596741</v>
      </c>
      <c r="Y253" s="43">
        <v>2</v>
      </c>
      <c r="Z253" s="43" t="s">
        <v>2090</v>
      </c>
      <c r="AA253" s="43" t="s">
        <v>2090</v>
      </c>
      <c r="AB253" s="43" t="s">
        <v>2090</v>
      </c>
      <c r="AC253" s="43" t="s">
        <v>2090</v>
      </c>
      <c r="AD253" s="43">
        <v>0</v>
      </c>
      <c r="AE253" s="43">
        <v>0</v>
      </c>
      <c r="AF253" s="43">
        <v>0</v>
      </c>
      <c r="AG253" s="43">
        <v>0</v>
      </c>
      <c r="AH253" s="43">
        <v>1</v>
      </c>
      <c r="AI253" s="43">
        <v>0</v>
      </c>
      <c r="AJ253" s="43">
        <v>0</v>
      </c>
      <c r="AK253" s="43">
        <v>0</v>
      </c>
      <c r="AL253" s="43">
        <v>0</v>
      </c>
      <c r="AM253" s="43">
        <v>0</v>
      </c>
      <c r="AN253" s="43">
        <v>0</v>
      </c>
      <c r="AO253" s="43">
        <v>0</v>
      </c>
      <c r="AP253" s="43">
        <v>0</v>
      </c>
      <c r="AQ253" s="43">
        <v>0</v>
      </c>
      <c r="AR253" s="43">
        <v>0</v>
      </c>
      <c r="AS253" s="43">
        <v>0</v>
      </c>
      <c r="AT253" s="43">
        <v>0</v>
      </c>
      <c r="AU253" s="43">
        <v>0</v>
      </c>
      <c r="AV253" s="43">
        <v>0</v>
      </c>
      <c r="AW253" s="43">
        <v>0</v>
      </c>
      <c r="AX253" s="43">
        <v>0</v>
      </c>
      <c r="AY253" s="43">
        <v>0</v>
      </c>
      <c r="AZ253" s="43">
        <v>0</v>
      </c>
      <c r="BA253" s="43">
        <v>0</v>
      </c>
      <c r="BB253" s="43">
        <v>0</v>
      </c>
      <c r="BC253" s="43">
        <v>0</v>
      </c>
      <c r="BD253" s="43">
        <v>1</v>
      </c>
      <c r="BE253" s="43">
        <v>0</v>
      </c>
      <c r="BF253" s="43">
        <v>0</v>
      </c>
      <c r="BG253" s="43">
        <v>0</v>
      </c>
      <c r="BH253" s="43">
        <v>0</v>
      </c>
      <c r="BI253" s="43">
        <v>0</v>
      </c>
      <c r="BJ253" s="43" t="s">
        <v>2090</v>
      </c>
      <c r="BK253" s="43" t="s">
        <v>2090</v>
      </c>
      <c r="BL253" s="43" t="s">
        <v>2090</v>
      </c>
      <c r="BM253" s="43" t="s">
        <v>2090</v>
      </c>
      <c r="BN253" s="43" t="s">
        <v>2090</v>
      </c>
      <c r="BO253" s="43" t="s">
        <v>2090</v>
      </c>
      <c r="BP253" s="43" t="s">
        <v>2090</v>
      </c>
      <c r="BQ253" s="43" t="s">
        <v>2090</v>
      </c>
      <c r="BR253" s="43" t="s">
        <v>2090</v>
      </c>
      <c r="BS253" s="43" t="s">
        <v>2090</v>
      </c>
      <c r="BT253" s="43" t="s">
        <v>2090</v>
      </c>
      <c r="BU253" s="43" t="s">
        <v>2090</v>
      </c>
      <c r="BV253" s="43" t="s">
        <v>2090</v>
      </c>
      <c r="BW253" s="43" t="s">
        <v>2090</v>
      </c>
    </row>
    <row r="254" spans="1:75" ht="265.7" customHeight="1" x14ac:dyDescent="0.25">
      <c r="A254" s="38" t="s">
        <v>1226</v>
      </c>
      <c r="B254" s="38" t="s">
        <v>1830</v>
      </c>
      <c r="C254" s="39" t="s">
        <v>1227</v>
      </c>
      <c r="D254" s="40" t="s">
        <v>1228</v>
      </c>
      <c r="E254" s="41">
        <v>53479.623850000004</v>
      </c>
      <c r="F254" s="41">
        <v>2668781.0193400001</v>
      </c>
      <c r="G254" s="41">
        <v>198715.8</v>
      </c>
      <c r="H254" s="41">
        <v>162854.70000000001</v>
      </c>
      <c r="I254" s="42">
        <v>1.1860856384994316</v>
      </c>
      <c r="J254" s="41">
        <v>41523.64198</v>
      </c>
      <c r="K254" s="41">
        <v>2211167.4454100002</v>
      </c>
      <c r="L254" s="41">
        <v>200580.4</v>
      </c>
      <c r="M254" s="41">
        <v>179460.5</v>
      </c>
      <c r="N254" s="42">
        <v>0.91340297429805872</v>
      </c>
      <c r="O254" s="41">
        <v>88139.712469999999</v>
      </c>
      <c r="P254" s="41">
        <v>3336784.1474000001</v>
      </c>
      <c r="Q254" s="41">
        <v>276045.09999999998</v>
      </c>
      <c r="R254" s="41">
        <v>179576.2</v>
      </c>
      <c r="S254" s="42">
        <v>1.5256882923982813</v>
      </c>
      <c r="T254" s="41">
        <v>57499.220249999998</v>
      </c>
      <c r="U254" s="41">
        <v>2681330.9183299998</v>
      </c>
      <c r="V254" s="41">
        <v>150921</v>
      </c>
      <c r="W254" s="41">
        <v>107541.5</v>
      </c>
      <c r="X254" s="42">
        <v>0.99364014307543902</v>
      </c>
      <c r="Y254" s="43">
        <v>2</v>
      </c>
      <c r="Z254" s="43" t="s">
        <v>2090</v>
      </c>
      <c r="AA254" s="43" t="s">
        <v>2090</v>
      </c>
      <c r="AB254" s="43" t="s">
        <v>2090</v>
      </c>
      <c r="AC254" s="43" t="s">
        <v>2090</v>
      </c>
      <c r="AD254" s="43">
        <v>0</v>
      </c>
      <c r="AE254" s="43">
        <v>1</v>
      </c>
      <c r="AF254" s="43">
        <v>0</v>
      </c>
      <c r="AG254" s="43">
        <v>0</v>
      </c>
      <c r="AH254" s="43">
        <v>0</v>
      </c>
      <c r="AI254" s="43">
        <v>0</v>
      </c>
      <c r="AJ254" s="43">
        <v>0</v>
      </c>
      <c r="AK254" s="43">
        <v>0</v>
      </c>
      <c r="AL254" s="43">
        <v>0</v>
      </c>
      <c r="AM254" s="43">
        <v>0</v>
      </c>
      <c r="AN254" s="43">
        <v>0</v>
      </c>
      <c r="AO254" s="43">
        <v>0</v>
      </c>
      <c r="AP254" s="43">
        <v>0</v>
      </c>
      <c r="AQ254" s="43">
        <v>0</v>
      </c>
      <c r="AR254" s="43">
        <v>0</v>
      </c>
      <c r="AS254" s="43">
        <v>0</v>
      </c>
      <c r="AT254" s="43">
        <v>0</v>
      </c>
      <c r="AU254" s="43">
        <v>0</v>
      </c>
      <c r="AV254" s="43">
        <v>0</v>
      </c>
      <c r="AW254" s="43">
        <v>0</v>
      </c>
      <c r="AX254" s="43">
        <v>0</v>
      </c>
      <c r="AY254" s="43">
        <v>0</v>
      </c>
      <c r="AZ254" s="43">
        <v>0</v>
      </c>
      <c r="BA254" s="43">
        <v>0</v>
      </c>
      <c r="BB254" s="43">
        <v>0</v>
      </c>
      <c r="BC254" s="43">
        <v>0</v>
      </c>
      <c r="BD254" s="43">
        <v>1</v>
      </c>
      <c r="BE254" s="43">
        <v>0</v>
      </c>
      <c r="BF254" s="43">
        <v>0</v>
      </c>
      <c r="BG254" s="43">
        <v>0</v>
      </c>
      <c r="BH254" s="43">
        <v>0</v>
      </c>
      <c r="BI254" s="43">
        <v>0</v>
      </c>
      <c r="BJ254" s="43" t="s">
        <v>2090</v>
      </c>
      <c r="BK254" s="43" t="s">
        <v>2090</v>
      </c>
      <c r="BL254" s="43" t="s">
        <v>2090</v>
      </c>
      <c r="BM254" s="43" t="s">
        <v>2090</v>
      </c>
      <c r="BN254" s="43" t="s">
        <v>2090</v>
      </c>
      <c r="BO254" s="43" t="s">
        <v>2090</v>
      </c>
      <c r="BP254" s="43" t="s">
        <v>2090</v>
      </c>
      <c r="BQ254" s="43" t="s">
        <v>2090</v>
      </c>
      <c r="BR254" s="43" t="s">
        <v>2090</v>
      </c>
      <c r="BS254" s="43" t="s">
        <v>2090</v>
      </c>
      <c r="BT254" s="43" t="s">
        <v>2090</v>
      </c>
      <c r="BU254" s="43" t="s">
        <v>2090</v>
      </c>
      <c r="BV254" s="43" t="s">
        <v>2090</v>
      </c>
      <c r="BW254" s="43" t="s">
        <v>2090</v>
      </c>
    </row>
    <row r="255" spans="1:75" ht="179.45" customHeight="1" x14ac:dyDescent="0.25">
      <c r="A255" s="38" t="s">
        <v>1229</v>
      </c>
      <c r="B255" s="38" t="s">
        <v>1831</v>
      </c>
      <c r="C255" s="39" t="s">
        <v>1230</v>
      </c>
      <c r="D255" s="40" t="s">
        <v>1231</v>
      </c>
      <c r="E255" s="41">
        <v>41077.997649999998</v>
      </c>
      <c r="F255" s="41">
        <v>2357421.5504399999</v>
      </c>
      <c r="G255" s="41">
        <v>103477.3</v>
      </c>
      <c r="H255" s="41">
        <v>96174.6</v>
      </c>
      <c r="I255" s="42">
        <v>1.0480519146087091</v>
      </c>
      <c r="J255" s="41">
        <v>1441.5400299999999</v>
      </c>
      <c r="K255" s="41">
        <v>258341.24916000001</v>
      </c>
      <c r="L255" s="41">
        <v>92287.5</v>
      </c>
      <c r="M255" s="41">
        <v>399198.5</v>
      </c>
      <c r="N255" s="42">
        <v>0.21519218478955537</v>
      </c>
      <c r="O255" s="41">
        <v>65659.876780000006</v>
      </c>
      <c r="P255" s="41">
        <v>2885546.69673</v>
      </c>
      <c r="Q255" s="41">
        <v>382077.8</v>
      </c>
      <c r="R255" s="41">
        <v>285104</v>
      </c>
      <c r="S255" s="42">
        <v>1.3269612901575172</v>
      </c>
      <c r="T255" s="41">
        <v>3594.8910500000002</v>
      </c>
      <c r="U255" s="41">
        <v>515482.02613000001</v>
      </c>
      <c r="V255" s="41">
        <v>45688.4</v>
      </c>
      <c r="W255" s="41">
        <v>161249.29999999999</v>
      </c>
      <c r="X255" s="42">
        <v>0.27179751420898135</v>
      </c>
      <c r="Y255" s="43">
        <v>2</v>
      </c>
      <c r="Z255" s="43" t="s">
        <v>2090</v>
      </c>
      <c r="AA255" s="43" t="s">
        <v>2091</v>
      </c>
      <c r="AB255" s="43" t="s">
        <v>2090</v>
      </c>
      <c r="AC255" s="43" t="s">
        <v>2090</v>
      </c>
      <c r="AD255" s="43">
        <v>0</v>
      </c>
      <c r="AE255" s="43">
        <v>0</v>
      </c>
      <c r="AF255" s="43">
        <v>0</v>
      </c>
      <c r="AG255" s="43">
        <v>0</v>
      </c>
      <c r="AH255" s="43">
        <v>0</v>
      </c>
      <c r="AI255" s="43">
        <v>0</v>
      </c>
      <c r="AJ255" s="43">
        <v>0</v>
      </c>
      <c r="AK255" s="43">
        <v>0</v>
      </c>
      <c r="AL255" s="43">
        <v>0</v>
      </c>
      <c r="AM255" s="43">
        <v>1</v>
      </c>
      <c r="AN255" s="43">
        <v>0</v>
      </c>
      <c r="AO255" s="43">
        <v>0</v>
      </c>
      <c r="AP255" s="43">
        <v>0</v>
      </c>
      <c r="AQ255" s="43">
        <v>0</v>
      </c>
      <c r="AR255" s="43">
        <v>0</v>
      </c>
      <c r="AS255" s="43">
        <v>0</v>
      </c>
      <c r="AT255" s="43">
        <v>0</v>
      </c>
      <c r="AU255" s="43">
        <v>0</v>
      </c>
      <c r="AV255" s="43">
        <v>0</v>
      </c>
      <c r="AW255" s="43">
        <v>0</v>
      </c>
      <c r="AX255" s="43">
        <v>0</v>
      </c>
      <c r="AY255" s="43">
        <v>0</v>
      </c>
      <c r="AZ255" s="43">
        <v>0</v>
      </c>
      <c r="BA255" s="43">
        <v>0</v>
      </c>
      <c r="BB255" s="43">
        <v>0</v>
      </c>
      <c r="BC255" s="43">
        <v>0</v>
      </c>
      <c r="BD255" s="43">
        <v>0</v>
      </c>
      <c r="BE255" s="43">
        <v>0</v>
      </c>
      <c r="BF255" s="43">
        <v>0</v>
      </c>
      <c r="BG255" s="43">
        <v>0</v>
      </c>
      <c r="BH255" s="43">
        <v>0</v>
      </c>
      <c r="BI255" s="43">
        <v>0</v>
      </c>
      <c r="BJ255" s="43" t="s">
        <v>2090</v>
      </c>
      <c r="BK255" s="43" t="s">
        <v>2090</v>
      </c>
      <c r="BL255" s="43" t="s">
        <v>2090</v>
      </c>
      <c r="BM255" s="43" t="s">
        <v>2090</v>
      </c>
      <c r="BN255" s="43" t="s">
        <v>2090</v>
      </c>
      <c r="BO255" s="43" t="s">
        <v>2090</v>
      </c>
      <c r="BP255" s="43" t="s">
        <v>2090</v>
      </c>
      <c r="BQ255" s="43" t="s">
        <v>2090</v>
      </c>
      <c r="BR255" s="43" t="s">
        <v>2091</v>
      </c>
      <c r="BS255" s="43" t="s">
        <v>2091</v>
      </c>
      <c r="BT255" s="43" t="s">
        <v>2090</v>
      </c>
      <c r="BU255" s="43" t="s">
        <v>2090</v>
      </c>
      <c r="BV255" s="43" t="s">
        <v>2090</v>
      </c>
      <c r="BW255" s="43" t="s">
        <v>2090</v>
      </c>
    </row>
    <row r="256" spans="1:75" ht="204.95" customHeight="1" x14ac:dyDescent="0.25">
      <c r="A256" s="38" t="s">
        <v>1232</v>
      </c>
      <c r="B256" s="38" t="s">
        <v>1832</v>
      </c>
      <c r="C256" s="39" t="s">
        <v>1233</v>
      </c>
      <c r="D256" s="40" t="s">
        <v>1234</v>
      </c>
      <c r="E256" s="41">
        <v>44220.024449999997</v>
      </c>
      <c r="F256" s="41">
        <v>2433579.87108</v>
      </c>
      <c r="G256" s="41">
        <v>415139.4</v>
      </c>
      <c r="H256" s="41">
        <v>385311.8</v>
      </c>
      <c r="I256" s="42">
        <v>1.0456108787142875</v>
      </c>
      <c r="J256" s="41">
        <v>0</v>
      </c>
      <c r="K256" s="41">
        <v>35587.057869999997</v>
      </c>
      <c r="L256" s="41">
        <v>54419.5</v>
      </c>
      <c r="M256" s="41">
        <v>428057.5</v>
      </c>
      <c r="N256" s="42">
        <v>0.11824264163423134</v>
      </c>
      <c r="O256" s="41">
        <v>7437.4153900000001</v>
      </c>
      <c r="P256" s="41">
        <v>621091.93764000002</v>
      </c>
      <c r="Q256" s="41">
        <v>276088</v>
      </c>
      <c r="R256" s="41">
        <v>641614.80000000005</v>
      </c>
      <c r="S256" s="42">
        <v>0.3857061518381934</v>
      </c>
      <c r="T256" s="41">
        <v>1983.85268</v>
      </c>
      <c r="U256" s="41">
        <v>356811.60125000001</v>
      </c>
      <c r="V256" s="41">
        <v>104553.7</v>
      </c>
      <c r="W256" s="41">
        <v>504041.2</v>
      </c>
      <c r="X256" s="42">
        <v>0.18951541521862683</v>
      </c>
      <c r="Y256" s="43">
        <v>2</v>
      </c>
      <c r="Z256" s="43" t="s">
        <v>2090</v>
      </c>
      <c r="AA256" s="43" t="s">
        <v>2091</v>
      </c>
      <c r="AB256" s="43" t="s">
        <v>2090</v>
      </c>
      <c r="AC256" s="43" t="s">
        <v>2090</v>
      </c>
      <c r="AD256" s="43">
        <v>0</v>
      </c>
      <c r="AE256" s="43">
        <v>0</v>
      </c>
      <c r="AF256" s="43">
        <v>0</v>
      </c>
      <c r="AG256" s="43">
        <v>0</v>
      </c>
      <c r="AH256" s="43">
        <v>0</v>
      </c>
      <c r="AI256" s="43">
        <v>0</v>
      </c>
      <c r="AJ256" s="43">
        <v>0</v>
      </c>
      <c r="AK256" s="43">
        <v>0</v>
      </c>
      <c r="AL256" s="43">
        <v>0</v>
      </c>
      <c r="AM256" s="43">
        <v>1</v>
      </c>
      <c r="AN256" s="43">
        <v>0</v>
      </c>
      <c r="AO256" s="43">
        <v>0</v>
      </c>
      <c r="AP256" s="43">
        <v>0</v>
      </c>
      <c r="AQ256" s="43">
        <v>0</v>
      </c>
      <c r="AR256" s="43">
        <v>0</v>
      </c>
      <c r="AS256" s="43">
        <v>0</v>
      </c>
      <c r="AT256" s="43">
        <v>0</v>
      </c>
      <c r="AU256" s="43">
        <v>0</v>
      </c>
      <c r="AV256" s="43">
        <v>0</v>
      </c>
      <c r="AW256" s="43">
        <v>0</v>
      </c>
      <c r="AX256" s="43">
        <v>0</v>
      </c>
      <c r="AY256" s="43">
        <v>0</v>
      </c>
      <c r="AZ256" s="43">
        <v>0</v>
      </c>
      <c r="BA256" s="43">
        <v>0</v>
      </c>
      <c r="BB256" s="43">
        <v>0</v>
      </c>
      <c r="BC256" s="43">
        <v>0</v>
      </c>
      <c r="BD256" s="43">
        <v>0</v>
      </c>
      <c r="BE256" s="43">
        <v>0</v>
      </c>
      <c r="BF256" s="43">
        <v>0</v>
      </c>
      <c r="BG256" s="43">
        <v>0</v>
      </c>
      <c r="BH256" s="43">
        <v>0</v>
      </c>
      <c r="BI256" s="43">
        <v>0</v>
      </c>
      <c r="BJ256" s="43" t="s">
        <v>2090</v>
      </c>
      <c r="BK256" s="43" t="s">
        <v>2090</v>
      </c>
      <c r="BL256" s="43" t="s">
        <v>2090</v>
      </c>
      <c r="BM256" s="43" t="s">
        <v>2090</v>
      </c>
      <c r="BN256" s="43" t="s">
        <v>2090</v>
      </c>
      <c r="BO256" s="43" t="s">
        <v>2090</v>
      </c>
      <c r="BP256" s="43" t="s">
        <v>2090</v>
      </c>
      <c r="BQ256" s="43" t="s">
        <v>2090</v>
      </c>
      <c r="BR256" s="43" t="s">
        <v>2091</v>
      </c>
      <c r="BS256" s="43" t="s">
        <v>2091</v>
      </c>
      <c r="BT256" s="43" t="s">
        <v>2090</v>
      </c>
      <c r="BU256" s="43" t="s">
        <v>2090</v>
      </c>
      <c r="BV256" s="43" t="s">
        <v>2090</v>
      </c>
      <c r="BW256" s="43" t="s">
        <v>2090</v>
      </c>
    </row>
    <row r="257" spans="1:75" ht="138.94999999999999" customHeight="1" x14ac:dyDescent="0.25">
      <c r="A257" s="38" t="s">
        <v>1235</v>
      </c>
      <c r="B257" s="38" t="s">
        <v>1833</v>
      </c>
      <c r="C257" s="39" t="s">
        <v>1236</v>
      </c>
      <c r="D257" s="40" t="s">
        <v>1237</v>
      </c>
      <c r="E257" s="41">
        <v>60115.636489999997</v>
      </c>
      <c r="F257" s="41">
        <v>2761638.92936</v>
      </c>
      <c r="G257" s="41">
        <v>103681.5</v>
      </c>
      <c r="H257" s="41">
        <v>75817.100000000006</v>
      </c>
      <c r="I257" s="42">
        <v>1.3406456953642385</v>
      </c>
      <c r="J257" s="41">
        <v>15067.437830000001</v>
      </c>
      <c r="K257" s="41">
        <v>1398007.0894800001</v>
      </c>
      <c r="L257" s="41">
        <v>9925</v>
      </c>
      <c r="M257" s="41">
        <v>43965.2</v>
      </c>
      <c r="N257" s="42">
        <v>0.22256795632008455</v>
      </c>
      <c r="O257" s="41">
        <v>82924.516690000004</v>
      </c>
      <c r="P257" s="41">
        <v>3270351.9735400002</v>
      </c>
      <c r="Q257" s="41">
        <v>128131.6</v>
      </c>
      <c r="R257" s="41">
        <v>82852.3</v>
      </c>
      <c r="S257" s="42">
        <v>1.5062404870624049</v>
      </c>
      <c r="T257" s="41">
        <v>45745.69427</v>
      </c>
      <c r="U257" s="41">
        <v>2468622.67264</v>
      </c>
      <c r="V257" s="41">
        <v>56147.4</v>
      </c>
      <c r="W257" s="41">
        <v>43359.8</v>
      </c>
      <c r="X257" s="42">
        <v>1.059383600704173</v>
      </c>
      <c r="Y257" s="43">
        <v>2</v>
      </c>
      <c r="Z257" s="43" t="s">
        <v>2090</v>
      </c>
      <c r="AA257" s="43" t="s">
        <v>2091</v>
      </c>
      <c r="AB257" s="43" t="s">
        <v>2090</v>
      </c>
      <c r="AC257" s="43" t="s">
        <v>2090</v>
      </c>
      <c r="AD257" s="43">
        <v>0</v>
      </c>
      <c r="AE257" s="43">
        <v>0</v>
      </c>
      <c r="AF257" s="43">
        <v>0</v>
      </c>
      <c r="AG257" s="43">
        <v>0</v>
      </c>
      <c r="AH257" s="43">
        <v>0</v>
      </c>
      <c r="AI257" s="43">
        <v>0</v>
      </c>
      <c r="AJ257" s="43">
        <v>0</v>
      </c>
      <c r="AK257" s="43">
        <v>0</v>
      </c>
      <c r="AL257" s="43">
        <v>0</v>
      </c>
      <c r="AM257" s="43">
        <v>1</v>
      </c>
      <c r="AN257" s="43">
        <v>0</v>
      </c>
      <c r="AO257" s="43">
        <v>0</v>
      </c>
      <c r="AP257" s="43">
        <v>0</v>
      </c>
      <c r="AQ257" s="43">
        <v>0</v>
      </c>
      <c r="AR257" s="43">
        <v>0</v>
      </c>
      <c r="AS257" s="43">
        <v>0</v>
      </c>
      <c r="AT257" s="43">
        <v>0</v>
      </c>
      <c r="AU257" s="43">
        <v>0</v>
      </c>
      <c r="AV257" s="43">
        <v>0</v>
      </c>
      <c r="AW257" s="43">
        <v>0</v>
      </c>
      <c r="AX257" s="43">
        <v>0</v>
      </c>
      <c r="AY257" s="43">
        <v>0</v>
      </c>
      <c r="AZ257" s="43">
        <v>0</v>
      </c>
      <c r="BA257" s="43">
        <v>0</v>
      </c>
      <c r="BB257" s="43">
        <v>0</v>
      </c>
      <c r="BC257" s="43">
        <v>0</v>
      </c>
      <c r="BD257" s="43">
        <v>0</v>
      </c>
      <c r="BE257" s="43">
        <v>0</v>
      </c>
      <c r="BF257" s="43">
        <v>0</v>
      </c>
      <c r="BG257" s="43">
        <v>0</v>
      </c>
      <c r="BH257" s="43">
        <v>0</v>
      </c>
      <c r="BI257" s="43">
        <v>0</v>
      </c>
      <c r="BJ257" s="43" t="s">
        <v>2090</v>
      </c>
      <c r="BK257" s="43" t="s">
        <v>2090</v>
      </c>
      <c r="BL257" s="43" t="s">
        <v>2090</v>
      </c>
      <c r="BM257" s="43" t="s">
        <v>2090</v>
      </c>
      <c r="BN257" s="43" t="s">
        <v>2090</v>
      </c>
      <c r="BO257" s="43" t="s">
        <v>2090</v>
      </c>
      <c r="BP257" s="43" t="s">
        <v>2090</v>
      </c>
      <c r="BQ257" s="43" t="s">
        <v>2090</v>
      </c>
      <c r="BR257" s="43" t="s">
        <v>2091</v>
      </c>
      <c r="BS257" s="43" t="s">
        <v>2090</v>
      </c>
      <c r="BT257" s="43" t="s">
        <v>2091</v>
      </c>
      <c r="BU257" s="43" t="s">
        <v>2090</v>
      </c>
      <c r="BV257" s="43" t="s">
        <v>2090</v>
      </c>
      <c r="BW257" s="43" t="s">
        <v>2090</v>
      </c>
    </row>
    <row r="258" spans="1:75" ht="164.45" customHeight="1" x14ac:dyDescent="0.25">
      <c r="A258" s="38" t="s">
        <v>1238</v>
      </c>
      <c r="B258" s="38" t="s">
        <v>1834</v>
      </c>
      <c r="C258" s="39" t="s">
        <v>1239</v>
      </c>
      <c r="D258" s="40" t="s">
        <v>1240</v>
      </c>
      <c r="E258" s="41">
        <v>54704.928639999998</v>
      </c>
      <c r="F258" s="41">
        <v>2676478.9378800001</v>
      </c>
      <c r="G258" s="41">
        <v>358006.2</v>
      </c>
      <c r="H258" s="41">
        <v>303804.3</v>
      </c>
      <c r="I258" s="42">
        <v>1.127948546012197</v>
      </c>
      <c r="J258" s="41">
        <v>8287.2876799999995</v>
      </c>
      <c r="K258" s="41">
        <v>917140.78517000005</v>
      </c>
      <c r="L258" s="41">
        <v>30375.9</v>
      </c>
      <c r="M258" s="41">
        <v>103720</v>
      </c>
      <c r="N258" s="42">
        <v>0.27528999833265844</v>
      </c>
      <c r="O258" s="41">
        <v>7883.9635900000003</v>
      </c>
      <c r="P258" s="41">
        <v>1119973.2925499999</v>
      </c>
      <c r="Q258" s="41">
        <v>113584.4</v>
      </c>
      <c r="R258" s="41">
        <v>195949.1</v>
      </c>
      <c r="S258" s="42">
        <v>0.56222791126820959</v>
      </c>
      <c r="T258" s="41">
        <v>16159.25059</v>
      </c>
      <c r="U258" s="41">
        <v>1519001.92138</v>
      </c>
      <c r="V258" s="41">
        <v>47247</v>
      </c>
      <c r="W258" s="41">
        <v>99699.5</v>
      </c>
      <c r="X258" s="42">
        <v>0.45396768904198392</v>
      </c>
      <c r="Y258" s="43">
        <v>1</v>
      </c>
      <c r="Z258" s="43" t="s">
        <v>2090</v>
      </c>
      <c r="AA258" s="43" t="s">
        <v>2090</v>
      </c>
      <c r="AB258" s="43" t="s">
        <v>2090</v>
      </c>
      <c r="AC258" s="43" t="s">
        <v>2090</v>
      </c>
      <c r="AD258" s="43">
        <v>0</v>
      </c>
      <c r="AE258" s="43">
        <v>0</v>
      </c>
      <c r="AF258" s="43">
        <v>0</v>
      </c>
      <c r="AG258" s="43">
        <v>0</v>
      </c>
      <c r="AH258" s="43">
        <v>0</v>
      </c>
      <c r="AI258" s="43">
        <v>0</v>
      </c>
      <c r="AJ258" s="43">
        <v>0</v>
      </c>
      <c r="AK258" s="43">
        <v>0</v>
      </c>
      <c r="AL258" s="43">
        <v>0</v>
      </c>
      <c r="AM258" s="43">
        <v>0</v>
      </c>
      <c r="AN258" s="43">
        <v>0</v>
      </c>
      <c r="AO258" s="43">
        <v>1</v>
      </c>
      <c r="AP258" s="43">
        <v>0</v>
      </c>
      <c r="AQ258" s="43">
        <v>0</v>
      </c>
      <c r="AR258" s="43">
        <v>0</v>
      </c>
      <c r="AS258" s="43">
        <v>0</v>
      </c>
      <c r="AT258" s="43">
        <v>0</v>
      </c>
      <c r="AU258" s="43">
        <v>0</v>
      </c>
      <c r="AV258" s="43">
        <v>0</v>
      </c>
      <c r="AW258" s="43">
        <v>0</v>
      </c>
      <c r="AX258" s="43">
        <v>0</v>
      </c>
      <c r="AY258" s="43">
        <v>0</v>
      </c>
      <c r="AZ258" s="43">
        <v>0</v>
      </c>
      <c r="BA258" s="43">
        <v>0</v>
      </c>
      <c r="BB258" s="43">
        <v>0</v>
      </c>
      <c r="BC258" s="43">
        <v>0</v>
      </c>
      <c r="BD258" s="43">
        <v>0</v>
      </c>
      <c r="BE258" s="43">
        <v>0</v>
      </c>
      <c r="BF258" s="43">
        <v>0</v>
      </c>
      <c r="BG258" s="43">
        <v>0</v>
      </c>
      <c r="BH258" s="43">
        <v>0</v>
      </c>
      <c r="BI258" s="43">
        <v>0</v>
      </c>
      <c r="BJ258" s="43" t="s">
        <v>2090</v>
      </c>
      <c r="BK258" s="43" t="s">
        <v>2090</v>
      </c>
      <c r="BL258" s="43" t="s">
        <v>2090</v>
      </c>
      <c r="BM258" s="43" t="s">
        <v>2090</v>
      </c>
      <c r="BN258" s="43" t="s">
        <v>2090</v>
      </c>
      <c r="BO258" s="43" t="s">
        <v>2090</v>
      </c>
      <c r="BP258" s="43" t="s">
        <v>2090</v>
      </c>
      <c r="BQ258" s="43" t="s">
        <v>2090</v>
      </c>
      <c r="BR258" s="43" t="s">
        <v>2090</v>
      </c>
      <c r="BS258" s="43" t="s">
        <v>2090</v>
      </c>
      <c r="BT258" s="43" t="s">
        <v>2090</v>
      </c>
      <c r="BU258" s="43" t="s">
        <v>2090</v>
      </c>
      <c r="BV258" s="43" t="s">
        <v>2090</v>
      </c>
      <c r="BW258" s="43" t="s">
        <v>2090</v>
      </c>
    </row>
    <row r="259" spans="1:75" ht="153.94999999999999" customHeight="1" x14ac:dyDescent="0.25">
      <c r="A259" s="38" t="s">
        <v>1241</v>
      </c>
      <c r="B259" s="38" t="s">
        <v>1835</v>
      </c>
      <c r="C259" s="39" t="s">
        <v>1242</v>
      </c>
      <c r="D259" s="40" t="s">
        <v>1243</v>
      </c>
      <c r="E259" s="41">
        <v>24525.723129999998</v>
      </c>
      <c r="F259" s="41">
        <v>1835540.4789499999</v>
      </c>
      <c r="G259" s="41">
        <v>244148.3</v>
      </c>
      <c r="H259" s="41">
        <v>307570.5</v>
      </c>
      <c r="I259" s="42">
        <v>0.76136259113068028</v>
      </c>
      <c r="J259" s="41">
        <v>1814.2417399999999</v>
      </c>
      <c r="K259" s="41">
        <v>298237.15143000003</v>
      </c>
      <c r="L259" s="41">
        <v>190204.79999999999</v>
      </c>
      <c r="M259" s="41">
        <v>251206.5</v>
      </c>
      <c r="N259" s="42">
        <v>0.7303632125619538</v>
      </c>
      <c r="O259" s="41">
        <v>28272.291590000001</v>
      </c>
      <c r="P259" s="41">
        <v>2145674.1902899998</v>
      </c>
      <c r="Q259" s="41">
        <v>173980.79999999999</v>
      </c>
      <c r="R259" s="41">
        <v>190985</v>
      </c>
      <c r="S259" s="42">
        <v>0.8851192520007396</v>
      </c>
      <c r="T259" s="41">
        <v>3364.0654199999999</v>
      </c>
      <c r="U259" s="41">
        <v>525254.12904000003</v>
      </c>
      <c r="V259" s="41">
        <v>152004.9</v>
      </c>
      <c r="W259" s="41">
        <v>342137.3</v>
      </c>
      <c r="X259" s="42">
        <v>0.41434322615613373</v>
      </c>
      <c r="Y259" s="43">
        <v>2</v>
      </c>
      <c r="Z259" s="43" t="s">
        <v>2090</v>
      </c>
      <c r="AA259" s="43" t="s">
        <v>2091</v>
      </c>
      <c r="AB259" s="43" t="s">
        <v>2090</v>
      </c>
      <c r="AC259" s="43" t="s">
        <v>2090</v>
      </c>
      <c r="AD259" s="43">
        <v>0</v>
      </c>
      <c r="AE259" s="43">
        <v>0</v>
      </c>
      <c r="AF259" s="43">
        <v>0</v>
      </c>
      <c r="AG259" s="43">
        <v>0</v>
      </c>
      <c r="AH259" s="43">
        <v>0</v>
      </c>
      <c r="AI259" s="43">
        <v>0</v>
      </c>
      <c r="AJ259" s="43">
        <v>0</v>
      </c>
      <c r="AK259" s="43">
        <v>0</v>
      </c>
      <c r="AL259" s="43">
        <v>0</v>
      </c>
      <c r="AM259" s="43">
        <v>1</v>
      </c>
      <c r="AN259" s="43">
        <v>0</v>
      </c>
      <c r="AO259" s="43">
        <v>0</v>
      </c>
      <c r="AP259" s="43">
        <v>0</v>
      </c>
      <c r="AQ259" s="43">
        <v>0</v>
      </c>
      <c r="AR259" s="43">
        <v>0</v>
      </c>
      <c r="AS259" s="43">
        <v>0</v>
      </c>
      <c r="AT259" s="43">
        <v>0</v>
      </c>
      <c r="AU259" s="43">
        <v>0</v>
      </c>
      <c r="AV259" s="43">
        <v>0</v>
      </c>
      <c r="AW259" s="43">
        <v>0</v>
      </c>
      <c r="AX259" s="43">
        <v>0</v>
      </c>
      <c r="AY259" s="43">
        <v>0</v>
      </c>
      <c r="AZ259" s="43">
        <v>0</v>
      </c>
      <c r="BA259" s="43">
        <v>0</v>
      </c>
      <c r="BB259" s="43">
        <v>0</v>
      </c>
      <c r="BC259" s="43">
        <v>0</v>
      </c>
      <c r="BD259" s="43">
        <v>0</v>
      </c>
      <c r="BE259" s="43">
        <v>0</v>
      </c>
      <c r="BF259" s="43">
        <v>0</v>
      </c>
      <c r="BG259" s="43">
        <v>0</v>
      </c>
      <c r="BH259" s="43">
        <v>0</v>
      </c>
      <c r="BI259" s="43">
        <v>0</v>
      </c>
      <c r="BJ259" s="43" t="s">
        <v>2090</v>
      </c>
      <c r="BK259" s="43" t="s">
        <v>2090</v>
      </c>
      <c r="BL259" s="43" t="s">
        <v>2090</v>
      </c>
      <c r="BM259" s="43" t="s">
        <v>2090</v>
      </c>
      <c r="BN259" s="43" t="s">
        <v>2090</v>
      </c>
      <c r="BO259" s="43" t="s">
        <v>2090</v>
      </c>
      <c r="BP259" s="43" t="s">
        <v>2090</v>
      </c>
      <c r="BQ259" s="43" t="s">
        <v>2090</v>
      </c>
      <c r="BR259" s="43" t="s">
        <v>2091</v>
      </c>
      <c r="BS259" s="43" t="s">
        <v>2090</v>
      </c>
      <c r="BT259" s="43" t="s">
        <v>2091</v>
      </c>
      <c r="BU259" s="43" t="s">
        <v>2090</v>
      </c>
      <c r="BV259" s="43" t="s">
        <v>2090</v>
      </c>
      <c r="BW259" s="43" t="s">
        <v>2090</v>
      </c>
    </row>
    <row r="260" spans="1:75" ht="244.7" customHeight="1" x14ac:dyDescent="0.25">
      <c r="A260" s="38" t="s">
        <v>1244</v>
      </c>
      <c r="B260" s="38" t="s">
        <v>1836</v>
      </c>
      <c r="C260" s="39" t="s">
        <v>1245</v>
      </c>
      <c r="D260" s="40" t="s">
        <v>1246</v>
      </c>
      <c r="E260" s="41">
        <v>39874.625569999997</v>
      </c>
      <c r="F260" s="41">
        <v>2365359.2625000002</v>
      </c>
      <c r="G260" s="41">
        <v>287271.09999999998</v>
      </c>
      <c r="H260" s="41">
        <v>283253.40000000002</v>
      </c>
      <c r="I260" s="42">
        <v>0.97328097194740182</v>
      </c>
      <c r="J260" s="41">
        <v>4016.2820499999998</v>
      </c>
      <c r="K260" s="41">
        <v>86585.587010000003</v>
      </c>
      <c r="L260" s="41">
        <v>67686.899999999994</v>
      </c>
      <c r="M260" s="41">
        <v>235780.2</v>
      </c>
      <c r="N260" s="42">
        <v>0.27319236915806516</v>
      </c>
      <c r="O260" s="41">
        <v>15095.724399999999</v>
      </c>
      <c r="P260" s="41">
        <v>1761250.85207</v>
      </c>
      <c r="Q260" s="41">
        <v>153775.79999999999</v>
      </c>
      <c r="R260" s="41">
        <v>201609.5</v>
      </c>
      <c r="S260" s="42">
        <v>0.7355930748669659</v>
      </c>
      <c r="T260" s="41">
        <v>4063.2850199999998</v>
      </c>
      <c r="U260" s="41">
        <v>468629.36410000001</v>
      </c>
      <c r="V260" s="41">
        <v>92268.6</v>
      </c>
      <c r="W260" s="41">
        <v>307447.59999999998</v>
      </c>
      <c r="X260" s="42">
        <v>0.28992395437262358</v>
      </c>
      <c r="Y260" s="43">
        <v>2</v>
      </c>
      <c r="Z260" s="43" t="s">
        <v>2090</v>
      </c>
      <c r="AA260" s="43" t="s">
        <v>2091</v>
      </c>
      <c r="AB260" s="43" t="s">
        <v>2090</v>
      </c>
      <c r="AC260" s="43" t="s">
        <v>2090</v>
      </c>
      <c r="AD260" s="43">
        <v>0</v>
      </c>
      <c r="AE260" s="43">
        <v>0</v>
      </c>
      <c r="AF260" s="43">
        <v>0</v>
      </c>
      <c r="AG260" s="43">
        <v>0</v>
      </c>
      <c r="AH260" s="43">
        <v>0</v>
      </c>
      <c r="AI260" s="43">
        <v>0</v>
      </c>
      <c r="AJ260" s="43">
        <v>0</v>
      </c>
      <c r="AK260" s="43">
        <v>0</v>
      </c>
      <c r="AL260" s="43">
        <v>0</v>
      </c>
      <c r="AM260" s="43">
        <v>1</v>
      </c>
      <c r="AN260" s="43">
        <v>0</v>
      </c>
      <c r="AO260" s="43">
        <v>0</v>
      </c>
      <c r="AP260" s="43">
        <v>0</v>
      </c>
      <c r="AQ260" s="43">
        <v>0</v>
      </c>
      <c r="AR260" s="43">
        <v>0</v>
      </c>
      <c r="AS260" s="43">
        <v>0</v>
      </c>
      <c r="AT260" s="43">
        <v>0</v>
      </c>
      <c r="AU260" s="43">
        <v>0</v>
      </c>
      <c r="AV260" s="43">
        <v>0</v>
      </c>
      <c r="AW260" s="43">
        <v>0</v>
      </c>
      <c r="AX260" s="43">
        <v>0</v>
      </c>
      <c r="AY260" s="43">
        <v>0</v>
      </c>
      <c r="AZ260" s="43">
        <v>0</v>
      </c>
      <c r="BA260" s="43">
        <v>0</v>
      </c>
      <c r="BB260" s="43">
        <v>0</v>
      </c>
      <c r="BC260" s="43">
        <v>0</v>
      </c>
      <c r="BD260" s="43">
        <v>0</v>
      </c>
      <c r="BE260" s="43">
        <v>0</v>
      </c>
      <c r="BF260" s="43">
        <v>0</v>
      </c>
      <c r="BG260" s="43">
        <v>0</v>
      </c>
      <c r="BH260" s="43">
        <v>0</v>
      </c>
      <c r="BI260" s="43">
        <v>0</v>
      </c>
      <c r="BJ260" s="43" t="s">
        <v>2090</v>
      </c>
      <c r="BK260" s="43" t="s">
        <v>2090</v>
      </c>
      <c r="BL260" s="43" t="s">
        <v>2090</v>
      </c>
      <c r="BM260" s="43" t="s">
        <v>2090</v>
      </c>
      <c r="BN260" s="43" t="s">
        <v>2090</v>
      </c>
      <c r="BO260" s="43" t="s">
        <v>2091</v>
      </c>
      <c r="BP260" s="43" t="s">
        <v>2091</v>
      </c>
      <c r="BQ260" s="43" t="s">
        <v>2090</v>
      </c>
      <c r="BR260" s="43" t="s">
        <v>2090</v>
      </c>
      <c r="BS260" s="43" t="s">
        <v>2090</v>
      </c>
      <c r="BT260" s="43" t="s">
        <v>2090</v>
      </c>
      <c r="BU260" s="43" t="s">
        <v>2090</v>
      </c>
      <c r="BV260" s="43" t="s">
        <v>2090</v>
      </c>
      <c r="BW260" s="43" t="s">
        <v>2090</v>
      </c>
    </row>
    <row r="261" spans="1:75" ht="265.7" customHeight="1" x14ac:dyDescent="0.25">
      <c r="A261" s="38" t="s">
        <v>1247</v>
      </c>
      <c r="B261" s="38" t="s">
        <v>1837</v>
      </c>
      <c r="C261" s="39" t="s">
        <v>1248</v>
      </c>
      <c r="D261" s="40" t="s">
        <v>1249</v>
      </c>
      <c r="E261" s="41">
        <v>37174.641340000002</v>
      </c>
      <c r="F261" s="41">
        <v>2312322.9799100002</v>
      </c>
      <c r="G261" s="41">
        <v>496495.6</v>
      </c>
      <c r="H261" s="41">
        <v>504144.3</v>
      </c>
      <c r="I261" s="42">
        <v>0.95493612463439836</v>
      </c>
      <c r="J261" s="41">
        <v>0</v>
      </c>
      <c r="K261" s="41">
        <v>18998.18808</v>
      </c>
      <c r="L261" s="41">
        <v>45808.9</v>
      </c>
      <c r="M261" s="41">
        <v>106448.8</v>
      </c>
      <c r="N261" s="42">
        <v>0.41452169654694654</v>
      </c>
      <c r="O261" s="41">
        <v>82408.028810000003</v>
      </c>
      <c r="P261" s="41">
        <v>3274488.45762</v>
      </c>
      <c r="Q261" s="41">
        <v>259881.4</v>
      </c>
      <c r="R261" s="41">
        <v>192462.7</v>
      </c>
      <c r="S261" s="42">
        <v>1.3310661333569984</v>
      </c>
      <c r="T261" s="41">
        <v>3325.53487</v>
      </c>
      <c r="U261" s="41">
        <v>522505.38442000002</v>
      </c>
      <c r="V261" s="41">
        <v>108121.2</v>
      </c>
      <c r="W261" s="41">
        <v>228789.8</v>
      </c>
      <c r="X261" s="42">
        <v>0.45347111674716023</v>
      </c>
      <c r="Y261" s="43">
        <v>3</v>
      </c>
      <c r="Z261" s="43" t="s">
        <v>2090</v>
      </c>
      <c r="AA261" s="43" t="s">
        <v>2090</v>
      </c>
      <c r="AB261" s="43" t="s">
        <v>2090</v>
      </c>
      <c r="AC261" s="43" t="s">
        <v>2090</v>
      </c>
      <c r="AD261" s="43">
        <v>0</v>
      </c>
      <c r="AE261" s="43">
        <v>0</v>
      </c>
      <c r="AF261" s="43">
        <v>0</v>
      </c>
      <c r="AG261" s="43">
        <v>0</v>
      </c>
      <c r="AH261" s="43">
        <v>0</v>
      </c>
      <c r="AI261" s="43">
        <v>1</v>
      </c>
      <c r="AJ261" s="43">
        <v>0</v>
      </c>
      <c r="AK261" s="43">
        <v>0</v>
      </c>
      <c r="AL261" s="43">
        <v>0</v>
      </c>
      <c r="AM261" s="43">
        <v>0</v>
      </c>
      <c r="AN261" s="43">
        <v>0</v>
      </c>
      <c r="AO261" s="43">
        <v>0</v>
      </c>
      <c r="AP261" s="43">
        <v>0</v>
      </c>
      <c r="AQ261" s="43">
        <v>0</v>
      </c>
      <c r="AR261" s="43">
        <v>0</v>
      </c>
      <c r="AS261" s="43">
        <v>0</v>
      </c>
      <c r="AT261" s="43">
        <v>0</v>
      </c>
      <c r="AU261" s="43">
        <v>0</v>
      </c>
      <c r="AV261" s="43">
        <v>0</v>
      </c>
      <c r="AW261" s="43">
        <v>0</v>
      </c>
      <c r="AX261" s="43">
        <v>1</v>
      </c>
      <c r="AY261" s="43">
        <v>0</v>
      </c>
      <c r="AZ261" s="43">
        <v>1</v>
      </c>
      <c r="BA261" s="43">
        <v>0</v>
      </c>
      <c r="BB261" s="43">
        <v>0</v>
      </c>
      <c r="BC261" s="43">
        <v>0</v>
      </c>
      <c r="BD261" s="43">
        <v>0</v>
      </c>
      <c r="BE261" s="43">
        <v>0</v>
      </c>
      <c r="BF261" s="43">
        <v>0</v>
      </c>
      <c r="BG261" s="43">
        <v>0</v>
      </c>
      <c r="BH261" s="43">
        <v>0</v>
      </c>
      <c r="BI261" s="43">
        <v>0</v>
      </c>
      <c r="BJ261" s="43" t="s">
        <v>2090</v>
      </c>
      <c r="BK261" s="43" t="s">
        <v>2090</v>
      </c>
      <c r="BL261" s="43" t="s">
        <v>2090</v>
      </c>
      <c r="BM261" s="43" t="s">
        <v>2090</v>
      </c>
      <c r="BN261" s="43" t="s">
        <v>2090</v>
      </c>
      <c r="BO261" s="43" t="s">
        <v>2090</v>
      </c>
      <c r="BP261" s="43" t="s">
        <v>2090</v>
      </c>
      <c r="BQ261" s="43" t="s">
        <v>2090</v>
      </c>
      <c r="BR261" s="43" t="s">
        <v>2090</v>
      </c>
      <c r="BS261" s="43" t="s">
        <v>2090</v>
      </c>
      <c r="BT261" s="43" t="s">
        <v>2090</v>
      </c>
      <c r="BU261" s="43" t="s">
        <v>2090</v>
      </c>
      <c r="BV261" s="43" t="s">
        <v>2090</v>
      </c>
      <c r="BW261" s="43" t="s">
        <v>2091</v>
      </c>
    </row>
    <row r="262" spans="1:75" ht="117.95" customHeight="1" x14ac:dyDescent="0.25">
      <c r="A262" s="38" t="s">
        <v>1250</v>
      </c>
      <c r="B262" s="38" t="s">
        <v>1838</v>
      </c>
      <c r="C262" s="39" t="s">
        <v>1251</v>
      </c>
      <c r="D262" s="40" t="s">
        <v>1252</v>
      </c>
      <c r="E262" s="41">
        <v>52073.085780000001</v>
      </c>
      <c r="F262" s="41">
        <v>2634924.4249200001</v>
      </c>
      <c r="G262" s="41">
        <v>248951.1</v>
      </c>
      <c r="H262" s="41">
        <v>218607.7</v>
      </c>
      <c r="I262" s="42">
        <v>1.1117056856187291</v>
      </c>
      <c r="J262" s="41">
        <v>21212.486659999999</v>
      </c>
      <c r="K262" s="41">
        <v>498049.52305999998</v>
      </c>
      <c r="L262" s="41">
        <v>182528.7</v>
      </c>
      <c r="M262" s="41">
        <v>507605</v>
      </c>
      <c r="N262" s="42">
        <v>0.33352125459666326</v>
      </c>
      <c r="O262" s="41">
        <v>12851.828009999999</v>
      </c>
      <c r="P262" s="41">
        <v>1404074.54721</v>
      </c>
      <c r="Q262" s="41">
        <v>58618.5</v>
      </c>
      <c r="R262" s="41">
        <v>97782.6</v>
      </c>
      <c r="S262" s="42">
        <v>0.57864508549797677</v>
      </c>
      <c r="T262" s="41">
        <v>63483.550179999998</v>
      </c>
      <c r="U262" s="41">
        <v>1180306.8537399999</v>
      </c>
      <c r="V262" s="41">
        <v>149054.79999999999</v>
      </c>
      <c r="W262" s="41">
        <v>250027.3</v>
      </c>
      <c r="X262" s="42">
        <v>0.56636971815362769</v>
      </c>
      <c r="Y262" s="43">
        <v>2</v>
      </c>
      <c r="Z262" s="43" t="s">
        <v>2090</v>
      </c>
      <c r="AA262" s="43" t="s">
        <v>2091</v>
      </c>
      <c r="AB262" s="43" t="s">
        <v>2090</v>
      </c>
      <c r="AC262" s="43" t="s">
        <v>2090</v>
      </c>
      <c r="AD262" s="43">
        <v>0</v>
      </c>
      <c r="AE262" s="43">
        <v>1</v>
      </c>
      <c r="AF262" s="43">
        <v>0</v>
      </c>
      <c r="AG262" s="43">
        <v>0</v>
      </c>
      <c r="AH262" s="43">
        <v>0</v>
      </c>
      <c r="AI262" s="43">
        <v>0</v>
      </c>
      <c r="AJ262" s="43">
        <v>0</v>
      </c>
      <c r="AK262" s="43">
        <v>0</v>
      </c>
      <c r="AL262" s="43">
        <v>0</v>
      </c>
      <c r="AM262" s="43">
        <v>0</v>
      </c>
      <c r="AN262" s="43">
        <v>0</v>
      </c>
      <c r="AO262" s="43">
        <v>0</v>
      </c>
      <c r="AP262" s="43">
        <v>0</v>
      </c>
      <c r="AQ262" s="43">
        <v>0</v>
      </c>
      <c r="AR262" s="43">
        <v>0</v>
      </c>
      <c r="AS262" s="43">
        <v>0</v>
      </c>
      <c r="AT262" s="43">
        <v>0</v>
      </c>
      <c r="AU262" s="43">
        <v>0</v>
      </c>
      <c r="AV262" s="43">
        <v>0</v>
      </c>
      <c r="AW262" s="43">
        <v>0</v>
      </c>
      <c r="AX262" s="43">
        <v>0</v>
      </c>
      <c r="AY262" s="43">
        <v>0</v>
      </c>
      <c r="AZ262" s="43">
        <v>0</v>
      </c>
      <c r="BA262" s="43">
        <v>0</v>
      </c>
      <c r="BB262" s="43">
        <v>0</v>
      </c>
      <c r="BC262" s="43">
        <v>0</v>
      </c>
      <c r="BD262" s="43">
        <v>0</v>
      </c>
      <c r="BE262" s="43">
        <v>0</v>
      </c>
      <c r="BF262" s="43">
        <v>0</v>
      </c>
      <c r="BG262" s="43">
        <v>0</v>
      </c>
      <c r="BH262" s="43">
        <v>0</v>
      </c>
      <c r="BI262" s="43">
        <v>0</v>
      </c>
      <c r="BJ262" s="43" t="s">
        <v>2090</v>
      </c>
      <c r="BK262" s="43" t="s">
        <v>2090</v>
      </c>
      <c r="BL262" s="43" t="s">
        <v>2090</v>
      </c>
      <c r="BM262" s="43" t="s">
        <v>2090</v>
      </c>
      <c r="BN262" s="43" t="s">
        <v>2090</v>
      </c>
      <c r="BO262" s="43" t="s">
        <v>2090</v>
      </c>
      <c r="BP262" s="43" t="s">
        <v>2090</v>
      </c>
      <c r="BQ262" s="43" t="s">
        <v>2090</v>
      </c>
      <c r="BR262" s="43" t="s">
        <v>2091</v>
      </c>
      <c r="BS262" s="43" t="s">
        <v>2090</v>
      </c>
      <c r="BT262" s="43" t="s">
        <v>2091</v>
      </c>
      <c r="BU262" s="43" t="s">
        <v>2090</v>
      </c>
      <c r="BV262" s="43" t="s">
        <v>2090</v>
      </c>
      <c r="BW262" s="43" t="s">
        <v>2090</v>
      </c>
    </row>
    <row r="263" spans="1:75" ht="216.95" customHeight="1" x14ac:dyDescent="0.25">
      <c r="A263" s="38" t="s">
        <v>1253</v>
      </c>
      <c r="B263" s="38" t="s">
        <v>1839</v>
      </c>
      <c r="C263" s="39" t="s">
        <v>1254</v>
      </c>
      <c r="D263" s="40" t="s">
        <v>1255</v>
      </c>
      <c r="E263" s="41">
        <v>49005.00993</v>
      </c>
      <c r="F263" s="41">
        <v>2553007.6567000002</v>
      </c>
      <c r="G263" s="41">
        <v>299038.59999999998</v>
      </c>
      <c r="H263" s="41">
        <v>267647.2</v>
      </c>
      <c r="I263" s="42">
        <v>1.0923655588847045</v>
      </c>
      <c r="J263" s="41">
        <v>10915.60117</v>
      </c>
      <c r="K263" s="41">
        <v>1146576.46527</v>
      </c>
      <c r="L263" s="41">
        <v>169682.1</v>
      </c>
      <c r="M263" s="41">
        <v>310262.09999999998</v>
      </c>
      <c r="N263" s="42">
        <v>0.51399777806770963</v>
      </c>
      <c r="O263" s="41">
        <v>6899.0119599999998</v>
      </c>
      <c r="P263" s="41">
        <v>882054.59172999999</v>
      </c>
      <c r="Q263" s="41">
        <v>86501.9</v>
      </c>
      <c r="R263" s="41">
        <v>178042.7</v>
      </c>
      <c r="S263" s="42">
        <v>0.4520092602190664</v>
      </c>
      <c r="T263" s="41">
        <v>16273.547119999999</v>
      </c>
      <c r="U263" s="41">
        <v>1507247.7677500001</v>
      </c>
      <c r="V263" s="41">
        <v>97469.5</v>
      </c>
      <c r="W263" s="41">
        <v>166308.9</v>
      </c>
      <c r="X263" s="42">
        <v>0.5449880360758329</v>
      </c>
      <c r="Y263" s="43">
        <v>2</v>
      </c>
      <c r="Z263" s="43" t="s">
        <v>2090</v>
      </c>
      <c r="AA263" s="43" t="s">
        <v>2091</v>
      </c>
      <c r="AB263" s="43" t="s">
        <v>2090</v>
      </c>
      <c r="AC263" s="43" t="s">
        <v>2090</v>
      </c>
      <c r="AD263" s="43">
        <v>0</v>
      </c>
      <c r="AE263" s="43">
        <v>1</v>
      </c>
      <c r="AF263" s="43">
        <v>0</v>
      </c>
      <c r="AG263" s="43">
        <v>0</v>
      </c>
      <c r="AH263" s="43">
        <v>0</v>
      </c>
      <c r="AI263" s="43">
        <v>0</v>
      </c>
      <c r="AJ263" s="43">
        <v>0</v>
      </c>
      <c r="AK263" s="43">
        <v>0</v>
      </c>
      <c r="AL263" s="43">
        <v>0</v>
      </c>
      <c r="AM263" s="43">
        <v>0</v>
      </c>
      <c r="AN263" s="43">
        <v>0</v>
      </c>
      <c r="AO263" s="43">
        <v>0</v>
      </c>
      <c r="AP263" s="43">
        <v>0</v>
      </c>
      <c r="AQ263" s="43">
        <v>0</v>
      </c>
      <c r="AR263" s="43">
        <v>0</v>
      </c>
      <c r="AS263" s="43">
        <v>0</v>
      </c>
      <c r="AT263" s="43">
        <v>0</v>
      </c>
      <c r="AU263" s="43">
        <v>0</v>
      </c>
      <c r="AV263" s="43">
        <v>0</v>
      </c>
      <c r="AW263" s="43">
        <v>0</v>
      </c>
      <c r="AX263" s="43">
        <v>0</v>
      </c>
      <c r="AY263" s="43">
        <v>0</v>
      </c>
      <c r="AZ263" s="43">
        <v>0</v>
      </c>
      <c r="BA263" s="43">
        <v>0</v>
      </c>
      <c r="BB263" s="43">
        <v>0</v>
      </c>
      <c r="BC263" s="43">
        <v>0</v>
      </c>
      <c r="BD263" s="43">
        <v>0</v>
      </c>
      <c r="BE263" s="43">
        <v>0</v>
      </c>
      <c r="BF263" s="43">
        <v>0</v>
      </c>
      <c r="BG263" s="43">
        <v>0</v>
      </c>
      <c r="BH263" s="43">
        <v>0</v>
      </c>
      <c r="BI263" s="43">
        <v>0</v>
      </c>
      <c r="BJ263" s="43" t="s">
        <v>2090</v>
      </c>
      <c r="BK263" s="43" t="s">
        <v>2090</v>
      </c>
      <c r="BL263" s="43" t="s">
        <v>2090</v>
      </c>
      <c r="BM263" s="43" t="s">
        <v>2090</v>
      </c>
      <c r="BN263" s="43" t="s">
        <v>2090</v>
      </c>
      <c r="BO263" s="43" t="s">
        <v>2090</v>
      </c>
      <c r="BP263" s="43" t="s">
        <v>2090</v>
      </c>
      <c r="BQ263" s="43" t="s">
        <v>2090</v>
      </c>
      <c r="BR263" s="43" t="s">
        <v>2091</v>
      </c>
      <c r="BS263" s="43" t="s">
        <v>2090</v>
      </c>
      <c r="BT263" s="43" t="s">
        <v>2091</v>
      </c>
      <c r="BU263" s="43" t="s">
        <v>2090</v>
      </c>
      <c r="BV263" s="43" t="s">
        <v>2090</v>
      </c>
      <c r="BW263" s="43" t="s">
        <v>2090</v>
      </c>
    </row>
    <row r="264" spans="1:75" ht="187.7" customHeight="1" x14ac:dyDescent="0.25">
      <c r="A264" s="38" t="s">
        <v>1256</v>
      </c>
      <c r="B264" s="38" t="s">
        <v>1840</v>
      </c>
      <c r="C264" s="39" t="s">
        <v>1257</v>
      </c>
      <c r="D264" s="40" t="s">
        <v>1258</v>
      </c>
      <c r="E264" s="41">
        <v>27508.840329999999</v>
      </c>
      <c r="F264" s="41">
        <v>2057655.38182</v>
      </c>
      <c r="G264" s="41">
        <v>159812.79999999999</v>
      </c>
      <c r="H264" s="41">
        <v>180802.6</v>
      </c>
      <c r="I264" s="42">
        <v>0.86038069629210301</v>
      </c>
      <c r="J264" s="41">
        <v>27558.61103</v>
      </c>
      <c r="K264" s="41">
        <v>1894349.05262</v>
      </c>
      <c r="L264" s="41">
        <v>304873.90000000002</v>
      </c>
      <c r="M264" s="41">
        <v>349328</v>
      </c>
      <c r="N264" s="42">
        <v>0.83152421908488783</v>
      </c>
      <c r="O264" s="41">
        <v>5661.4284600000001</v>
      </c>
      <c r="P264" s="41">
        <v>518587.64603</v>
      </c>
      <c r="Q264" s="41">
        <v>236326.9</v>
      </c>
      <c r="R264" s="41">
        <v>251519.2</v>
      </c>
      <c r="S264" s="42">
        <v>0.91305475998139574</v>
      </c>
      <c r="T264" s="41">
        <v>47081.949549999998</v>
      </c>
      <c r="U264" s="41">
        <v>2556582.2530100001</v>
      </c>
      <c r="V264" s="41">
        <v>15116.1</v>
      </c>
      <c r="W264" s="41">
        <v>15513.7</v>
      </c>
      <c r="X264" s="42">
        <v>0.85525315493386034</v>
      </c>
      <c r="Y264" s="43">
        <v>3</v>
      </c>
      <c r="Z264" s="43" t="s">
        <v>2090</v>
      </c>
      <c r="AA264" s="43" t="s">
        <v>2091</v>
      </c>
      <c r="AB264" s="43" t="s">
        <v>2090</v>
      </c>
      <c r="AC264" s="43" t="s">
        <v>2091</v>
      </c>
      <c r="AD264" s="43">
        <v>0</v>
      </c>
      <c r="AE264" s="43">
        <v>0</v>
      </c>
      <c r="AF264" s="43">
        <v>0</v>
      </c>
      <c r="AG264" s="43">
        <v>0</v>
      </c>
      <c r="AH264" s="43">
        <v>0</v>
      </c>
      <c r="AI264" s="43">
        <v>1</v>
      </c>
      <c r="AJ264" s="43">
        <v>0</v>
      </c>
      <c r="AK264" s="43">
        <v>0</v>
      </c>
      <c r="AL264" s="43">
        <v>0</v>
      </c>
      <c r="AM264" s="43">
        <v>0</v>
      </c>
      <c r="AN264" s="43">
        <v>0</v>
      </c>
      <c r="AO264" s="43">
        <v>0</v>
      </c>
      <c r="AP264" s="43">
        <v>0</v>
      </c>
      <c r="AQ264" s="43">
        <v>0</v>
      </c>
      <c r="AR264" s="43">
        <v>0</v>
      </c>
      <c r="AS264" s="43">
        <v>0</v>
      </c>
      <c r="AT264" s="43">
        <v>0</v>
      </c>
      <c r="AU264" s="43">
        <v>0</v>
      </c>
      <c r="AV264" s="43">
        <v>0</v>
      </c>
      <c r="AW264" s="43">
        <v>0</v>
      </c>
      <c r="AX264" s="43">
        <v>0</v>
      </c>
      <c r="AY264" s="43">
        <v>0</v>
      </c>
      <c r="AZ264" s="43">
        <v>0</v>
      </c>
      <c r="BA264" s="43">
        <v>0</v>
      </c>
      <c r="BB264" s="43">
        <v>0</v>
      </c>
      <c r="BC264" s="43">
        <v>0</v>
      </c>
      <c r="BD264" s="43">
        <v>0</v>
      </c>
      <c r="BE264" s="43">
        <v>0</v>
      </c>
      <c r="BF264" s="43">
        <v>0</v>
      </c>
      <c r="BG264" s="43">
        <v>0</v>
      </c>
      <c r="BH264" s="43">
        <v>0</v>
      </c>
      <c r="BI264" s="43">
        <v>0</v>
      </c>
      <c r="BJ264" s="43" t="s">
        <v>2090</v>
      </c>
      <c r="BK264" s="43" t="s">
        <v>2090</v>
      </c>
      <c r="BL264" s="43" t="s">
        <v>2090</v>
      </c>
      <c r="BM264" s="43" t="s">
        <v>2090</v>
      </c>
      <c r="BN264" s="43" t="s">
        <v>2090</v>
      </c>
      <c r="BO264" s="43" t="s">
        <v>2090</v>
      </c>
      <c r="BP264" s="43" t="s">
        <v>2090</v>
      </c>
      <c r="BQ264" s="43" t="s">
        <v>2090</v>
      </c>
      <c r="BR264" s="43" t="s">
        <v>2091</v>
      </c>
      <c r="BS264" s="43" t="s">
        <v>2090</v>
      </c>
      <c r="BT264" s="43" t="s">
        <v>2091</v>
      </c>
      <c r="BU264" s="43" t="s">
        <v>2090</v>
      </c>
      <c r="BV264" s="43" t="s">
        <v>2090</v>
      </c>
      <c r="BW264" s="43" t="s">
        <v>2091</v>
      </c>
    </row>
    <row r="265" spans="1:75" ht="120.2" customHeight="1" x14ac:dyDescent="0.25">
      <c r="A265" s="38" t="s">
        <v>1259</v>
      </c>
      <c r="B265" s="38" t="s">
        <v>1841</v>
      </c>
      <c r="C265" s="39" t="s">
        <v>1260</v>
      </c>
      <c r="D265" s="40" t="s">
        <v>1261</v>
      </c>
      <c r="E265" s="41">
        <v>57754.335169999998</v>
      </c>
      <c r="F265" s="41">
        <v>2740434.3237800002</v>
      </c>
      <c r="G265" s="41">
        <v>344162.3</v>
      </c>
      <c r="H265" s="41">
        <v>275891.3</v>
      </c>
      <c r="I265" s="42">
        <v>1.216375221751566</v>
      </c>
      <c r="J265" s="41">
        <v>7938.4572900000003</v>
      </c>
      <c r="K265" s="41">
        <v>939956.54426</v>
      </c>
      <c r="L265" s="41">
        <v>227603.9</v>
      </c>
      <c r="M265" s="41">
        <v>463142.5</v>
      </c>
      <c r="N265" s="42">
        <v>0.45492611797730903</v>
      </c>
      <c r="O265" s="41">
        <v>23620.86752</v>
      </c>
      <c r="P265" s="41">
        <v>2174820.1262300001</v>
      </c>
      <c r="Q265" s="41">
        <v>263340.79999999999</v>
      </c>
      <c r="R265" s="41">
        <v>286432.09999999998</v>
      </c>
      <c r="S265" s="42">
        <v>0.89270386266094426</v>
      </c>
      <c r="T265" s="41">
        <v>11644.39409</v>
      </c>
      <c r="U265" s="41">
        <v>1232637.5969400001</v>
      </c>
      <c r="V265" s="41">
        <v>64751.199999999997</v>
      </c>
      <c r="W265" s="41">
        <v>131389.29999999999</v>
      </c>
      <c r="X265" s="42">
        <v>0.46221920972992581</v>
      </c>
      <c r="Y265" s="43">
        <v>2</v>
      </c>
      <c r="Z265" s="43" t="s">
        <v>2090</v>
      </c>
      <c r="AA265" s="43" t="s">
        <v>2090</v>
      </c>
      <c r="AB265" s="43" t="s">
        <v>2090</v>
      </c>
      <c r="AC265" s="43" t="s">
        <v>2090</v>
      </c>
      <c r="AD265" s="43">
        <v>0</v>
      </c>
      <c r="AE265" s="43">
        <v>2</v>
      </c>
      <c r="AF265" s="43">
        <v>0</v>
      </c>
      <c r="AG265" s="43">
        <v>0</v>
      </c>
      <c r="AH265" s="43">
        <v>0</v>
      </c>
      <c r="AI265" s="43">
        <v>0</v>
      </c>
      <c r="AJ265" s="43">
        <v>0</v>
      </c>
      <c r="AK265" s="43">
        <v>0</v>
      </c>
      <c r="AL265" s="43">
        <v>0</v>
      </c>
      <c r="AM265" s="43">
        <v>0</v>
      </c>
      <c r="AN265" s="43">
        <v>0</v>
      </c>
      <c r="AO265" s="43">
        <v>0</v>
      </c>
      <c r="AP265" s="43">
        <v>0</v>
      </c>
      <c r="AQ265" s="43">
        <v>0</v>
      </c>
      <c r="AR265" s="43">
        <v>0</v>
      </c>
      <c r="AS265" s="43">
        <v>0</v>
      </c>
      <c r="AT265" s="43">
        <v>0</v>
      </c>
      <c r="AU265" s="43">
        <v>0</v>
      </c>
      <c r="AV265" s="43">
        <v>0</v>
      </c>
      <c r="AW265" s="43">
        <v>0</v>
      </c>
      <c r="AX265" s="43">
        <v>0</v>
      </c>
      <c r="AY265" s="43">
        <v>0</v>
      </c>
      <c r="AZ265" s="43">
        <v>0</v>
      </c>
      <c r="BA265" s="43">
        <v>0</v>
      </c>
      <c r="BB265" s="43">
        <v>0</v>
      </c>
      <c r="BC265" s="43">
        <v>0</v>
      </c>
      <c r="BD265" s="43">
        <v>0</v>
      </c>
      <c r="BE265" s="43">
        <v>0</v>
      </c>
      <c r="BF265" s="43">
        <v>0</v>
      </c>
      <c r="BG265" s="43">
        <v>0</v>
      </c>
      <c r="BH265" s="43">
        <v>0</v>
      </c>
      <c r="BI265" s="43">
        <v>0</v>
      </c>
      <c r="BJ265" s="43" t="s">
        <v>2090</v>
      </c>
      <c r="BK265" s="43" t="s">
        <v>2090</v>
      </c>
      <c r="BL265" s="43" t="s">
        <v>2090</v>
      </c>
      <c r="BM265" s="43" t="s">
        <v>2090</v>
      </c>
      <c r="BN265" s="43" t="s">
        <v>2090</v>
      </c>
      <c r="BO265" s="43" t="s">
        <v>2090</v>
      </c>
      <c r="BP265" s="43" t="s">
        <v>2090</v>
      </c>
      <c r="BQ265" s="43" t="s">
        <v>2090</v>
      </c>
      <c r="BR265" s="43" t="s">
        <v>2090</v>
      </c>
      <c r="BS265" s="43" t="s">
        <v>2090</v>
      </c>
      <c r="BT265" s="43" t="s">
        <v>2090</v>
      </c>
      <c r="BU265" s="43" t="s">
        <v>2090</v>
      </c>
      <c r="BV265" s="43" t="s">
        <v>2090</v>
      </c>
      <c r="BW265" s="43" t="s">
        <v>2090</v>
      </c>
    </row>
    <row r="266" spans="1:75" ht="211.7" customHeight="1" x14ac:dyDescent="0.25">
      <c r="A266" s="38" t="s">
        <v>1262</v>
      </c>
      <c r="B266" s="38" t="s">
        <v>1842</v>
      </c>
      <c r="C266" s="39" t="s">
        <v>1263</v>
      </c>
      <c r="D266" s="40" t="s">
        <v>1264</v>
      </c>
      <c r="E266" s="41">
        <v>73336.08077</v>
      </c>
      <c r="F266" s="41">
        <v>2936429.82968</v>
      </c>
      <c r="G266" s="41">
        <v>440108.7</v>
      </c>
      <c r="H266" s="41">
        <v>337249.8</v>
      </c>
      <c r="I266" s="42">
        <v>1.3136839791956632</v>
      </c>
      <c r="J266" s="41">
        <v>3906.4194499999999</v>
      </c>
      <c r="K266" s="41">
        <v>583279.76596999995</v>
      </c>
      <c r="L266" s="41">
        <v>181658.7</v>
      </c>
      <c r="M266" s="41">
        <v>454701.2</v>
      </c>
      <c r="N266" s="42">
        <v>0.46885584361279531</v>
      </c>
      <c r="O266" s="41">
        <v>3066.55591</v>
      </c>
      <c r="P266" s="41">
        <v>533199.31377999997</v>
      </c>
      <c r="Q266" s="41">
        <v>24320.7</v>
      </c>
      <c r="R266" s="41">
        <v>78117</v>
      </c>
      <c r="S266" s="42">
        <v>0.30344363469240365</v>
      </c>
      <c r="T266" s="41">
        <v>8650.3864200000007</v>
      </c>
      <c r="U266" s="41">
        <v>1011122.46617</v>
      </c>
      <c r="V266" s="41">
        <v>120686.39999999999</v>
      </c>
      <c r="W266" s="41">
        <v>264999.7</v>
      </c>
      <c r="X266" s="42">
        <v>0.5069117750110953</v>
      </c>
      <c r="Y266" s="43">
        <v>2</v>
      </c>
      <c r="Z266" s="43" t="s">
        <v>2090</v>
      </c>
      <c r="AA266" s="43" t="s">
        <v>2091</v>
      </c>
      <c r="AB266" s="43" t="s">
        <v>2090</v>
      </c>
      <c r="AC266" s="43" t="s">
        <v>2090</v>
      </c>
      <c r="AD266" s="43">
        <v>0</v>
      </c>
      <c r="AE266" s="43">
        <v>0</v>
      </c>
      <c r="AF266" s="43">
        <v>0</v>
      </c>
      <c r="AG266" s="43">
        <v>0</v>
      </c>
      <c r="AH266" s="43">
        <v>1</v>
      </c>
      <c r="AI266" s="43">
        <v>0</v>
      </c>
      <c r="AJ266" s="43">
        <v>0</v>
      </c>
      <c r="AK266" s="43">
        <v>0</v>
      </c>
      <c r="AL266" s="43">
        <v>0</v>
      </c>
      <c r="AM266" s="43">
        <v>0</v>
      </c>
      <c r="AN266" s="43">
        <v>0</v>
      </c>
      <c r="AO266" s="43">
        <v>0</v>
      </c>
      <c r="AP266" s="43">
        <v>0</v>
      </c>
      <c r="AQ266" s="43">
        <v>0</v>
      </c>
      <c r="AR266" s="43">
        <v>0</v>
      </c>
      <c r="AS266" s="43">
        <v>0</v>
      </c>
      <c r="AT266" s="43">
        <v>0</v>
      </c>
      <c r="AU266" s="43">
        <v>0</v>
      </c>
      <c r="AV266" s="43">
        <v>0</v>
      </c>
      <c r="AW266" s="43">
        <v>0</v>
      </c>
      <c r="AX266" s="43">
        <v>0</v>
      </c>
      <c r="AY266" s="43">
        <v>0</v>
      </c>
      <c r="AZ266" s="43">
        <v>0</v>
      </c>
      <c r="BA266" s="43">
        <v>0</v>
      </c>
      <c r="BB266" s="43">
        <v>0</v>
      </c>
      <c r="BC266" s="43">
        <v>0</v>
      </c>
      <c r="BD266" s="43">
        <v>0</v>
      </c>
      <c r="BE266" s="43">
        <v>0</v>
      </c>
      <c r="BF266" s="43">
        <v>0</v>
      </c>
      <c r="BG266" s="43">
        <v>0</v>
      </c>
      <c r="BH266" s="43">
        <v>0</v>
      </c>
      <c r="BI266" s="43">
        <v>0</v>
      </c>
      <c r="BJ266" s="43" t="s">
        <v>2090</v>
      </c>
      <c r="BK266" s="43" t="s">
        <v>2090</v>
      </c>
      <c r="BL266" s="43" t="s">
        <v>2090</v>
      </c>
      <c r="BM266" s="43" t="s">
        <v>2090</v>
      </c>
      <c r="BN266" s="43" t="s">
        <v>2090</v>
      </c>
      <c r="BO266" s="43" t="s">
        <v>2090</v>
      </c>
      <c r="BP266" s="43" t="s">
        <v>2090</v>
      </c>
      <c r="BQ266" s="43" t="s">
        <v>2090</v>
      </c>
      <c r="BR266" s="43" t="s">
        <v>2091</v>
      </c>
      <c r="BS266" s="43" t="s">
        <v>2090</v>
      </c>
      <c r="BT266" s="43" t="s">
        <v>2091</v>
      </c>
      <c r="BU266" s="43" t="s">
        <v>2090</v>
      </c>
      <c r="BV266" s="43" t="s">
        <v>2090</v>
      </c>
      <c r="BW266" s="43" t="s">
        <v>2090</v>
      </c>
    </row>
    <row r="267" spans="1:75" ht="189.2" customHeight="1" x14ac:dyDescent="0.25">
      <c r="A267" s="38" t="s">
        <v>1265</v>
      </c>
      <c r="B267" s="38" t="s">
        <v>1843</v>
      </c>
      <c r="C267" s="39" t="s">
        <v>1266</v>
      </c>
      <c r="D267" s="40" t="s">
        <v>1267</v>
      </c>
      <c r="E267" s="41">
        <v>14461.65998</v>
      </c>
      <c r="F267" s="41">
        <v>1303700.02593</v>
      </c>
      <c r="G267" s="41">
        <v>125870.1</v>
      </c>
      <c r="H267" s="41">
        <v>233132.1</v>
      </c>
      <c r="I267" s="42">
        <v>0.51847336280191414</v>
      </c>
      <c r="J267" s="41">
        <v>0</v>
      </c>
      <c r="K267" s="41">
        <v>15727.86483</v>
      </c>
      <c r="L267" s="41">
        <v>119549.5</v>
      </c>
      <c r="M267" s="41">
        <v>364205.8</v>
      </c>
      <c r="N267" s="42">
        <v>0.3056079689031424</v>
      </c>
      <c r="O267" s="41">
        <v>4448.60149</v>
      </c>
      <c r="P267" s="41">
        <v>605589.27928999998</v>
      </c>
      <c r="Q267" s="41">
        <v>62700.3</v>
      </c>
      <c r="R267" s="41">
        <v>124177.60000000001</v>
      </c>
      <c r="S267" s="42">
        <v>0.48526399693273198</v>
      </c>
      <c r="T267" s="41">
        <v>3577.7289999999998</v>
      </c>
      <c r="U267" s="41">
        <v>589263.04813000001</v>
      </c>
      <c r="V267" s="41">
        <v>90130.9</v>
      </c>
      <c r="W267" s="41">
        <v>305232.8</v>
      </c>
      <c r="X267" s="42">
        <v>0.28129044942899739</v>
      </c>
      <c r="Y267" s="43">
        <v>3</v>
      </c>
      <c r="Z267" s="43" t="s">
        <v>2090</v>
      </c>
      <c r="AA267" s="43" t="s">
        <v>2091</v>
      </c>
      <c r="AB267" s="43" t="s">
        <v>2090</v>
      </c>
      <c r="AC267" s="43" t="s">
        <v>2090</v>
      </c>
      <c r="AD267" s="43">
        <v>0</v>
      </c>
      <c r="AE267" s="43">
        <v>0</v>
      </c>
      <c r="AF267" s="43">
        <v>0</v>
      </c>
      <c r="AG267" s="43">
        <v>0</v>
      </c>
      <c r="AH267" s="43">
        <v>0</v>
      </c>
      <c r="AI267" s="43">
        <v>2</v>
      </c>
      <c r="AJ267" s="43">
        <v>0</v>
      </c>
      <c r="AK267" s="43">
        <v>0</v>
      </c>
      <c r="AL267" s="43">
        <v>0</v>
      </c>
      <c r="AM267" s="43">
        <v>0</v>
      </c>
      <c r="AN267" s="43">
        <v>0</v>
      </c>
      <c r="AO267" s="43">
        <v>0</v>
      </c>
      <c r="AP267" s="43">
        <v>0</v>
      </c>
      <c r="AQ267" s="43">
        <v>0</v>
      </c>
      <c r="AR267" s="43">
        <v>0</v>
      </c>
      <c r="AS267" s="43">
        <v>0</v>
      </c>
      <c r="AT267" s="43">
        <v>0</v>
      </c>
      <c r="AU267" s="43">
        <v>0</v>
      </c>
      <c r="AV267" s="43">
        <v>0</v>
      </c>
      <c r="AW267" s="43">
        <v>0</v>
      </c>
      <c r="AX267" s="43">
        <v>0</v>
      </c>
      <c r="AY267" s="43">
        <v>0</v>
      </c>
      <c r="AZ267" s="43">
        <v>0</v>
      </c>
      <c r="BA267" s="43">
        <v>0</v>
      </c>
      <c r="BB267" s="43">
        <v>0</v>
      </c>
      <c r="BC267" s="43">
        <v>0</v>
      </c>
      <c r="BD267" s="43">
        <v>0</v>
      </c>
      <c r="BE267" s="43">
        <v>0</v>
      </c>
      <c r="BF267" s="43">
        <v>0</v>
      </c>
      <c r="BG267" s="43">
        <v>0</v>
      </c>
      <c r="BH267" s="43">
        <v>0</v>
      </c>
      <c r="BI267" s="43">
        <v>0</v>
      </c>
      <c r="BJ267" s="43" t="s">
        <v>2090</v>
      </c>
      <c r="BK267" s="43" t="s">
        <v>2090</v>
      </c>
      <c r="BL267" s="43" t="s">
        <v>2090</v>
      </c>
      <c r="BM267" s="43" t="s">
        <v>2090</v>
      </c>
      <c r="BN267" s="43" t="s">
        <v>2090</v>
      </c>
      <c r="BO267" s="43" t="s">
        <v>2090</v>
      </c>
      <c r="BP267" s="43" t="s">
        <v>2090</v>
      </c>
      <c r="BQ267" s="43" t="s">
        <v>2090</v>
      </c>
      <c r="BR267" s="43" t="s">
        <v>2091</v>
      </c>
      <c r="BS267" s="43" t="s">
        <v>2090</v>
      </c>
      <c r="BT267" s="43" t="s">
        <v>2091</v>
      </c>
      <c r="BU267" s="43" t="s">
        <v>2090</v>
      </c>
      <c r="BV267" s="43" t="s">
        <v>2091</v>
      </c>
      <c r="BW267" s="43" t="s">
        <v>2091</v>
      </c>
    </row>
    <row r="268" spans="1:75" ht="127.7" customHeight="1" x14ac:dyDescent="0.25">
      <c r="A268" s="38" t="s">
        <v>1268</v>
      </c>
      <c r="B268" s="38" t="s">
        <v>1844</v>
      </c>
      <c r="C268" s="39" t="s">
        <v>1269</v>
      </c>
      <c r="D268" s="40" t="s">
        <v>1270</v>
      </c>
      <c r="E268" s="41">
        <v>48179.94771</v>
      </c>
      <c r="F268" s="41">
        <v>2500606.0413299999</v>
      </c>
      <c r="G268" s="41">
        <v>319467.59999999998</v>
      </c>
      <c r="H268" s="41">
        <v>287830</v>
      </c>
      <c r="I268" s="42">
        <v>1.0738882260257172</v>
      </c>
      <c r="J268" s="41">
        <v>1642.93434</v>
      </c>
      <c r="K268" s="41">
        <v>290248.29275999998</v>
      </c>
      <c r="L268" s="41">
        <v>129737.8</v>
      </c>
      <c r="M268" s="41">
        <v>294804.5</v>
      </c>
      <c r="N268" s="42">
        <v>0.41414007459593871</v>
      </c>
      <c r="O268" s="41">
        <v>0</v>
      </c>
      <c r="P268" s="41">
        <v>49606.91648</v>
      </c>
      <c r="Q268" s="41">
        <v>132440.4</v>
      </c>
      <c r="R268" s="41">
        <v>251479.6</v>
      </c>
      <c r="S268" s="42">
        <v>0.50464645261214025</v>
      </c>
      <c r="T268" s="41">
        <v>5855.4759999999997</v>
      </c>
      <c r="U268" s="41">
        <v>732413.40003999998</v>
      </c>
      <c r="V268" s="41">
        <v>174176.3</v>
      </c>
      <c r="W268" s="41">
        <v>238519.9</v>
      </c>
      <c r="X268" s="42">
        <v>0.70218157548960314</v>
      </c>
      <c r="Y268" s="43">
        <v>2</v>
      </c>
      <c r="Z268" s="43" t="s">
        <v>2090</v>
      </c>
      <c r="AA268" s="43" t="s">
        <v>2091</v>
      </c>
      <c r="AB268" s="43" t="s">
        <v>2090</v>
      </c>
      <c r="AC268" s="43" t="s">
        <v>2090</v>
      </c>
      <c r="AD268" s="43">
        <v>0</v>
      </c>
      <c r="AE268" s="43">
        <v>0</v>
      </c>
      <c r="AF268" s="43">
        <v>0</v>
      </c>
      <c r="AG268" s="43">
        <v>0</v>
      </c>
      <c r="AH268" s="43">
        <v>0</v>
      </c>
      <c r="AI268" s="43">
        <v>1</v>
      </c>
      <c r="AJ268" s="43">
        <v>0</v>
      </c>
      <c r="AK268" s="43">
        <v>0</v>
      </c>
      <c r="AL268" s="43">
        <v>0</v>
      </c>
      <c r="AM268" s="43">
        <v>0</v>
      </c>
      <c r="AN268" s="43">
        <v>0</v>
      </c>
      <c r="AO268" s="43">
        <v>0</v>
      </c>
      <c r="AP268" s="43">
        <v>0</v>
      </c>
      <c r="AQ268" s="43">
        <v>0</v>
      </c>
      <c r="AR268" s="43">
        <v>0</v>
      </c>
      <c r="AS268" s="43">
        <v>0</v>
      </c>
      <c r="AT268" s="43">
        <v>0</v>
      </c>
      <c r="AU268" s="43">
        <v>0</v>
      </c>
      <c r="AV268" s="43">
        <v>0</v>
      </c>
      <c r="AW268" s="43">
        <v>0</v>
      </c>
      <c r="AX268" s="43">
        <v>0</v>
      </c>
      <c r="AY268" s="43">
        <v>0</v>
      </c>
      <c r="AZ268" s="43">
        <v>0</v>
      </c>
      <c r="BA268" s="43">
        <v>0</v>
      </c>
      <c r="BB268" s="43">
        <v>0</v>
      </c>
      <c r="BC268" s="43">
        <v>0</v>
      </c>
      <c r="BD268" s="43">
        <v>0</v>
      </c>
      <c r="BE268" s="43">
        <v>0</v>
      </c>
      <c r="BF268" s="43">
        <v>0</v>
      </c>
      <c r="BG268" s="43">
        <v>0</v>
      </c>
      <c r="BH268" s="43">
        <v>0</v>
      </c>
      <c r="BI268" s="43">
        <v>0</v>
      </c>
      <c r="BJ268" s="43" t="s">
        <v>2090</v>
      </c>
      <c r="BK268" s="43" t="s">
        <v>2090</v>
      </c>
      <c r="BL268" s="43" t="s">
        <v>2090</v>
      </c>
      <c r="BM268" s="43" t="s">
        <v>2090</v>
      </c>
      <c r="BN268" s="43" t="s">
        <v>2090</v>
      </c>
      <c r="BO268" s="43" t="s">
        <v>2090</v>
      </c>
      <c r="BP268" s="43" t="s">
        <v>2090</v>
      </c>
      <c r="BQ268" s="43" t="s">
        <v>2090</v>
      </c>
      <c r="BR268" s="43" t="s">
        <v>2091</v>
      </c>
      <c r="BS268" s="43" t="s">
        <v>2090</v>
      </c>
      <c r="BT268" s="43" t="s">
        <v>2091</v>
      </c>
      <c r="BU268" s="43" t="s">
        <v>2090</v>
      </c>
      <c r="BV268" s="43" t="s">
        <v>2091</v>
      </c>
      <c r="BW268" s="43" t="s">
        <v>2090</v>
      </c>
    </row>
    <row r="269" spans="1:75" ht="191.45" customHeight="1" x14ac:dyDescent="0.25">
      <c r="A269" s="38" t="s">
        <v>1271</v>
      </c>
      <c r="B269" s="38" t="s">
        <v>1845</v>
      </c>
      <c r="C269" s="39" t="s">
        <v>1272</v>
      </c>
      <c r="D269" s="40" t="s">
        <v>1273</v>
      </c>
      <c r="E269" s="41">
        <v>32765.912079999998</v>
      </c>
      <c r="F269" s="41">
        <v>2205687.7786699999</v>
      </c>
      <c r="G269" s="41">
        <v>45071.9</v>
      </c>
      <c r="H269" s="41">
        <v>48373.2</v>
      </c>
      <c r="I269" s="42">
        <v>0.90154737363985071</v>
      </c>
      <c r="J269" s="41">
        <v>2756.5256399999998</v>
      </c>
      <c r="K269" s="41">
        <v>452079.71706</v>
      </c>
      <c r="L269" s="41">
        <v>79557.7</v>
      </c>
      <c r="M269" s="41">
        <v>194781.3</v>
      </c>
      <c r="N269" s="42">
        <v>0.39230630351800266</v>
      </c>
      <c r="O269" s="41">
        <v>0</v>
      </c>
      <c r="P269" s="41">
        <v>69271.190719999999</v>
      </c>
      <c r="Q269" s="41">
        <v>53957.4</v>
      </c>
      <c r="R269" s="41">
        <v>254860.4</v>
      </c>
      <c r="S269" s="42">
        <v>0.20022734257989919</v>
      </c>
      <c r="T269" s="41">
        <v>25521.159370000001</v>
      </c>
      <c r="U269" s="41">
        <v>1930580.2454299999</v>
      </c>
      <c r="V269" s="41">
        <v>38439.5</v>
      </c>
      <c r="W269" s="41">
        <v>55581.2</v>
      </c>
      <c r="X269" s="42">
        <v>0.66025684276814423</v>
      </c>
      <c r="Y269" s="43">
        <v>2</v>
      </c>
      <c r="Z269" s="43" t="s">
        <v>2090</v>
      </c>
      <c r="AA269" s="43" t="s">
        <v>2091</v>
      </c>
      <c r="AB269" s="43" t="s">
        <v>2090</v>
      </c>
      <c r="AC269" s="43" t="s">
        <v>2090</v>
      </c>
      <c r="AD269" s="43">
        <v>0</v>
      </c>
      <c r="AE269" s="43">
        <v>0</v>
      </c>
      <c r="AF269" s="43">
        <v>0</v>
      </c>
      <c r="AG269" s="43">
        <v>0</v>
      </c>
      <c r="AH269" s="43">
        <v>0</v>
      </c>
      <c r="AI269" s="43">
        <v>0</v>
      </c>
      <c r="AJ269" s="43">
        <v>0</v>
      </c>
      <c r="AK269" s="43">
        <v>0</v>
      </c>
      <c r="AL269" s="43">
        <v>0</v>
      </c>
      <c r="AM269" s="43">
        <v>0</v>
      </c>
      <c r="AN269" s="43">
        <v>0</v>
      </c>
      <c r="AO269" s="43">
        <v>0</v>
      </c>
      <c r="AP269" s="43">
        <v>0</v>
      </c>
      <c r="AQ269" s="43">
        <v>0</v>
      </c>
      <c r="AR269" s="43">
        <v>1</v>
      </c>
      <c r="AS269" s="43">
        <v>0</v>
      </c>
      <c r="AT269" s="43">
        <v>0</v>
      </c>
      <c r="AU269" s="43">
        <v>0</v>
      </c>
      <c r="AV269" s="43">
        <v>0</v>
      </c>
      <c r="AW269" s="43">
        <v>0</v>
      </c>
      <c r="AX269" s="43">
        <v>0</v>
      </c>
      <c r="AY269" s="43">
        <v>0</v>
      </c>
      <c r="AZ269" s="43">
        <v>0</v>
      </c>
      <c r="BA269" s="43">
        <v>0</v>
      </c>
      <c r="BB269" s="43">
        <v>0</v>
      </c>
      <c r="BC269" s="43">
        <v>0</v>
      </c>
      <c r="BD269" s="43">
        <v>0</v>
      </c>
      <c r="BE269" s="43">
        <v>0</v>
      </c>
      <c r="BF269" s="43">
        <v>0</v>
      </c>
      <c r="BG269" s="43">
        <v>0</v>
      </c>
      <c r="BH269" s="43">
        <v>0</v>
      </c>
      <c r="BI269" s="43">
        <v>0</v>
      </c>
      <c r="BJ269" s="43" t="s">
        <v>2090</v>
      </c>
      <c r="BK269" s="43" t="s">
        <v>2090</v>
      </c>
      <c r="BL269" s="43" t="s">
        <v>2090</v>
      </c>
      <c r="BM269" s="43" t="s">
        <v>2090</v>
      </c>
      <c r="BN269" s="43" t="s">
        <v>2090</v>
      </c>
      <c r="BO269" s="43" t="s">
        <v>2091</v>
      </c>
      <c r="BP269" s="43" t="s">
        <v>2090</v>
      </c>
      <c r="BQ269" s="43" t="s">
        <v>2091</v>
      </c>
      <c r="BR269" s="43" t="s">
        <v>2090</v>
      </c>
      <c r="BS269" s="43" t="s">
        <v>2090</v>
      </c>
      <c r="BT269" s="43" t="s">
        <v>2090</v>
      </c>
      <c r="BU269" s="43" t="s">
        <v>2090</v>
      </c>
      <c r="BV269" s="43" t="s">
        <v>2090</v>
      </c>
      <c r="BW269" s="43" t="s">
        <v>2090</v>
      </c>
    </row>
    <row r="270" spans="1:75" ht="114.95" customHeight="1" x14ac:dyDescent="0.25">
      <c r="A270" s="38" t="s">
        <v>1274</v>
      </c>
      <c r="B270" s="38" t="s">
        <v>1846</v>
      </c>
      <c r="C270" s="39" t="s">
        <v>1275</v>
      </c>
      <c r="D270" s="40" t="s">
        <v>869</v>
      </c>
      <c r="E270" s="41">
        <v>66516.014349999998</v>
      </c>
      <c r="F270" s="41">
        <v>2910523.3119299999</v>
      </c>
      <c r="G270" s="41">
        <v>260769.6</v>
      </c>
      <c r="H270" s="41">
        <v>191549.6</v>
      </c>
      <c r="I270" s="42">
        <v>1.3314466135304763</v>
      </c>
      <c r="J270" s="41">
        <v>2138.5317799999998</v>
      </c>
      <c r="K270" s="41">
        <v>363109.62615999999</v>
      </c>
      <c r="L270" s="41">
        <v>33013.9</v>
      </c>
      <c r="M270" s="41">
        <v>114814.5</v>
      </c>
      <c r="N270" s="42">
        <v>0.27739131384390253</v>
      </c>
      <c r="O270" s="41">
        <v>0</v>
      </c>
      <c r="P270" s="41">
        <v>38983.639739999999</v>
      </c>
      <c r="Q270" s="41">
        <v>60156.5</v>
      </c>
      <c r="R270" s="41">
        <v>144342</v>
      </c>
      <c r="S270" s="42">
        <v>0.39208222959476724</v>
      </c>
      <c r="T270" s="41">
        <v>7636.3948499999997</v>
      </c>
      <c r="U270" s="41">
        <v>920231.06264999998</v>
      </c>
      <c r="V270" s="41">
        <v>22828</v>
      </c>
      <c r="W270" s="41">
        <v>64456.4</v>
      </c>
      <c r="X270" s="42">
        <v>0.33693078147443611</v>
      </c>
      <c r="Y270" s="43">
        <v>2</v>
      </c>
      <c r="Z270" s="43" t="s">
        <v>2090</v>
      </c>
      <c r="AA270" s="43" t="s">
        <v>2091</v>
      </c>
      <c r="AB270" s="43" t="s">
        <v>2090</v>
      </c>
      <c r="AC270" s="43" t="s">
        <v>2090</v>
      </c>
      <c r="AD270" s="43">
        <v>0</v>
      </c>
      <c r="AE270" s="43">
        <v>0</v>
      </c>
      <c r="AF270" s="43">
        <v>0</v>
      </c>
      <c r="AG270" s="43">
        <v>0</v>
      </c>
      <c r="AH270" s="43">
        <v>0</v>
      </c>
      <c r="AI270" s="43">
        <v>1</v>
      </c>
      <c r="AJ270" s="43">
        <v>0</v>
      </c>
      <c r="AK270" s="43">
        <v>0</v>
      </c>
      <c r="AL270" s="43">
        <v>0</v>
      </c>
      <c r="AM270" s="43">
        <v>0</v>
      </c>
      <c r="AN270" s="43">
        <v>0</v>
      </c>
      <c r="AO270" s="43">
        <v>0</v>
      </c>
      <c r="AP270" s="43">
        <v>0</v>
      </c>
      <c r="AQ270" s="43">
        <v>0</v>
      </c>
      <c r="AR270" s="43">
        <v>0</v>
      </c>
      <c r="AS270" s="43">
        <v>0</v>
      </c>
      <c r="AT270" s="43">
        <v>0</v>
      </c>
      <c r="AU270" s="43">
        <v>0</v>
      </c>
      <c r="AV270" s="43">
        <v>0</v>
      </c>
      <c r="AW270" s="43">
        <v>0</v>
      </c>
      <c r="AX270" s="43">
        <v>0</v>
      </c>
      <c r="AY270" s="43">
        <v>0</v>
      </c>
      <c r="AZ270" s="43">
        <v>0</v>
      </c>
      <c r="BA270" s="43">
        <v>0</v>
      </c>
      <c r="BB270" s="43">
        <v>0</v>
      </c>
      <c r="BC270" s="43">
        <v>0</v>
      </c>
      <c r="BD270" s="43">
        <v>0</v>
      </c>
      <c r="BE270" s="43">
        <v>0</v>
      </c>
      <c r="BF270" s="43">
        <v>0</v>
      </c>
      <c r="BG270" s="43">
        <v>0</v>
      </c>
      <c r="BH270" s="43">
        <v>0</v>
      </c>
      <c r="BI270" s="43">
        <v>0</v>
      </c>
      <c r="BJ270" s="43" t="s">
        <v>2090</v>
      </c>
      <c r="BK270" s="43" t="s">
        <v>2090</v>
      </c>
      <c r="BL270" s="43" t="s">
        <v>2090</v>
      </c>
      <c r="BM270" s="43" t="s">
        <v>2090</v>
      </c>
      <c r="BN270" s="43" t="s">
        <v>2090</v>
      </c>
      <c r="BO270" s="43" t="s">
        <v>2090</v>
      </c>
      <c r="BP270" s="43" t="s">
        <v>2090</v>
      </c>
      <c r="BQ270" s="43" t="s">
        <v>2090</v>
      </c>
      <c r="BR270" s="43" t="s">
        <v>2091</v>
      </c>
      <c r="BS270" s="43" t="s">
        <v>2090</v>
      </c>
      <c r="BT270" s="43" t="s">
        <v>2091</v>
      </c>
      <c r="BU270" s="43" t="s">
        <v>2090</v>
      </c>
      <c r="BV270" s="43" t="s">
        <v>2091</v>
      </c>
      <c r="BW270" s="43" t="s">
        <v>2090</v>
      </c>
    </row>
    <row r="271" spans="1:75" ht="120.2" customHeight="1" x14ac:dyDescent="0.25">
      <c r="A271" s="38" t="s">
        <v>1276</v>
      </c>
      <c r="B271" s="38" t="s">
        <v>1847</v>
      </c>
      <c r="C271" s="39" t="s">
        <v>1277</v>
      </c>
      <c r="D271" s="40" t="s">
        <v>1278</v>
      </c>
      <c r="E271" s="41">
        <v>54985.986389999998</v>
      </c>
      <c r="F271" s="41">
        <v>2687626.2048399998</v>
      </c>
      <c r="G271" s="41">
        <v>49018.1</v>
      </c>
      <c r="H271" s="41">
        <v>40307.599999999999</v>
      </c>
      <c r="I271" s="42">
        <v>1.1781104175504515</v>
      </c>
      <c r="J271" s="41">
        <v>4624.1115600000003</v>
      </c>
      <c r="K271" s="41">
        <v>640981.42637999996</v>
      </c>
      <c r="L271" s="41">
        <v>61555.1</v>
      </c>
      <c r="M271" s="41">
        <v>204090.4</v>
      </c>
      <c r="N271" s="42">
        <v>0.29273842624340735</v>
      </c>
      <c r="O271" s="41">
        <v>0</v>
      </c>
      <c r="P271" s="41">
        <v>115378.53264</v>
      </c>
      <c r="Q271" s="41">
        <v>21831.7</v>
      </c>
      <c r="R271" s="41">
        <v>125383.9</v>
      </c>
      <c r="S271" s="42">
        <v>0.16858540141550987</v>
      </c>
      <c r="T271" s="41">
        <v>9024.3080900000004</v>
      </c>
      <c r="U271" s="41">
        <v>960280.70288999996</v>
      </c>
      <c r="V271" s="41">
        <v>22900.5</v>
      </c>
      <c r="W271" s="41">
        <v>58524.5</v>
      </c>
      <c r="X271" s="42">
        <v>0.37809584393553858</v>
      </c>
      <c r="Y271" s="43">
        <v>2</v>
      </c>
      <c r="Z271" s="43" t="s">
        <v>2090</v>
      </c>
      <c r="AA271" s="43" t="s">
        <v>2091</v>
      </c>
      <c r="AB271" s="43" t="s">
        <v>2090</v>
      </c>
      <c r="AC271" s="43" t="s">
        <v>2090</v>
      </c>
      <c r="AD271" s="43">
        <v>0</v>
      </c>
      <c r="AE271" s="43">
        <v>0</v>
      </c>
      <c r="AF271" s="43">
        <v>0</v>
      </c>
      <c r="AG271" s="43">
        <v>0</v>
      </c>
      <c r="AH271" s="43">
        <v>0</v>
      </c>
      <c r="AI271" s="43">
        <v>1</v>
      </c>
      <c r="AJ271" s="43">
        <v>0</v>
      </c>
      <c r="AK271" s="43">
        <v>0</v>
      </c>
      <c r="AL271" s="43">
        <v>0</v>
      </c>
      <c r="AM271" s="43">
        <v>0</v>
      </c>
      <c r="AN271" s="43">
        <v>0</v>
      </c>
      <c r="AO271" s="43">
        <v>0</v>
      </c>
      <c r="AP271" s="43">
        <v>0</v>
      </c>
      <c r="AQ271" s="43">
        <v>0</v>
      </c>
      <c r="AR271" s="43">
        <v>0</v>
      </c>
      <c r="AS271" s="43">
        <v>0</v>
      </c>
      <c r="AT271" s="43">
        <v>0</v>
      </c>
      <c r="AU271" s="43">
        <v>0</v>
      </c>
      <c r="AV271" s="43">
        <v>0</v>
      </c>
      <c r="AW271" s="43">
        <v>0</v>
      </c>
      <c r="AX271" s="43">
        <v>0</v>
      </c>
      <c r="AY271" s="43">
        <v>0</v>
      </c>
      <c r="AZ271" s="43">
        <v>0</v>
      </c>
      <c r="BA271" s="43">
        <v>0</v>
      </c>
      <c r="BB271" s="43">
        <v>0</v>
      </c>
      <c r="BC271" s="43">
        <v>0</v>
      </c>
      <c r="BD271" s="43">
        <v>0</v>
      </c>
      <c r="BE271" s="43">
        <v>0</v>
      </c>
      <c r="BF271" s="43">
        <v>0</v>
      </c>
      <c r="BG271" s="43">
        <v>0</v>
      </c>
      <c r="BH271" s="43">
        <v>0</v>
      </c>
      <c r="BI271" s="43">
        <v>0</v>
      </c>
      <c r="BJ271" s="43" t="s">
        <v>2090</v>
      </c>
      <c r="BK271" s="43" t="s">
        <v>2090</v>
      </c>
      <c r="BL271" s="43" t="s">
        <v>2090</v>
      </c>
      <c r="BM271" s="43" t="s">
        <v>2090</v>
      </c>
      <c r="BN271" s="43" t="s">
        <v>2090</v>
      </c>
      <c r="BO271" s="43" t="s">
        <v>2090</v>
      </c>
      <c r="BP271" s="43" t="s">
        <v>2090</v>
      </c>
      <c r="BQ271" s="43" t="s">
        <v>2090</v>
      </c>
      <c r="BR271" s="43" t="s">
        <v>2091</v>
      </c>
      <c r="BS271" s="43" t="s">
        <v>2090</v>
      </c>
      <c r="BT271" s="43" t="s">
        <v>2091</v>
      </c>
      <c r="BU271" s="43" t="s">
        <v>2090</v>
      </c>
      <c r="BV271" s="43" t="s">
        <v>2091</v>
      </c>
      <c r="BW271" s="43" t="s">
        <v>2090</v>
      </c>
    </row>
    <row r="272" spans="1:75" ht="121.7" customHeight="1" x14ac:dyDescent="0.25">
      <c r="A272" s="38" t="s">
        <v>1279</v>
      </c>
      <c r="B272" s="38" t="s">
        <v>1848</v>
      </c>
      <c r="C272" s="39" t="s">
        <v>1280</v>
      </c>
      <c r="D272" s="40" t="s">
        <v>1281</v>
      </c>
      <c r="E272" s="41">
        <v>60231.437940000003</v>
      </c>
      <c r="F272" s="41">
        <v>2792322.0709199999</v>
      </c>
      <c r="G272" s="41">
        <v>456506.6</v>
      </c>
      <c r="H272" s="41">
        <v>380036.4</v>
      </c>
      <c r="I272" s="42">
        <v>1.1779030561496391</v>
      </c>
      <c r="J272" s="41">
        <v>4151.1558800000003</v>
      </c>
      <c r="K272" s="41">
        <v>614188.89593</v>
      </c>
      <c r="L272" s="41">
        <v>174079.8</v>
      </c>
      <c r="M272" s="41">
        <v>510485.6</v>
      </c>
      <c r="N272" s="42">
        <v>0.3108647663804458</v>
      </c>
      <c r="O272" s="41">
        <v>5545.35779</v>
      </c>
      <c r="P272" s="41">
        <v>766163.61331000004</v>
      </c>
      <c r="Q272" s="41">
        <v>178936.9</v>
      </c>
      <c r="R272" s="41">
        <v>321333.2</v>
      </c>
      <c r="S272" s="42">
        <v>0.52613444872412141</v>
      </c>
      <c r="T272" s="41">
        <v>18946.311949999999</v>
      </c>
      <c r="U272" s="41">
        <v>1617072.0475099999</v>
      </c>
      <c r="V272" s="41">
        <v>45207.8</v>
      </c>
      <c r="W272" s="41">
        <v>81517.3</v>
      </c>
      <c r="X272" s="42">
        <v>0.52772252991034552</v>
      </c>
      <c r="Y272" s="43">
        <v>2</v>
      </c>
      <c r="Z272" s="43" t="s">
        <v>2091</v>
      </c>
      <c r="AA272" s="43" t="s">
        <v>2090</v>
      </c>
      <c r="AB272" s="43" t="s">
        <v>2090</v>
      </c>
      <c r="AC272" s="43" t="s">
        <v>2090</v>
      </c>
      <c r="AD272" s="43">
        <v>0</v>
      </c>
      <c r="AE272" s="43">
        <v>0</v>
      </c>
      <c r="AF272" s="43">
        <v>0</v>
      </c>
      <c r="AG272" s="43">
        <v>0</v>
      </c>
      <c r="AH272" s="43">
        <v>0</v>
      </c>
      <c r="AI272" s="43">
        <v>1</v>
      </c>
      <c r="AJ272" s="43">
        <v>0</v>
      </c>
      <c r="AK272" s="43">
        <v>0</v>
      </c>
      <c r="AL272" s="43">
        <v>0</v>
      </c>
      <c r="AM272" s="43">
        <v>0</v>
      </c>
      <c r="AN272" s="43">
        <v>0</v>
      </c>
      <c r="AO272" s="43">
        <v>0</v>
      </c>
      <c r="AP272" s="43">
        <v>0</v>
      </c>
      <c r="AQ272" s="43">
        <v>0</v>
      </c>
      <c r="AR272" s="43">
        <v>0</v>
      </c>
      <c r="AS272" s="43">
        <v>0</v>
      </c>
      <c r="AT272" s="43">
        <v>0</v>
      </c>
      <c r="AU272" s="43">
        <v>0</v>
      </c>
      <c r="AV272" s="43">
        <v>0</v>
      </c>
      <c r="AW272" s="43">
        <v>0</v>
      </c>
      <c r="AX272" s="43">
        <v>0</v>
      </c>
      <c r="AY272" s="43">
        <v>0</v>
      </c>
      <c r="AZ272" s="43">
        <v>0</v>
      </c>
      <c r="BA272" s="43">
        <v>0</v>
      </c>
      <c r="BB272" s="43">
        <v>0</v>
      </c>
      <c r="BC272" s="43">
        <v>0</v>
      </c>
      <c r="BD272" s="43">
        <v>0</v>
      </c>
      <c r="BE272" s="43">
        <v>0</v>
      </c>
      <c r="BF272" s="43">
        <v>0</v>
      </c>
      <c r="BG272" s="43">
        <v>0</v>
      </c>
      <c r="BH272" s="43">
        <v>0</v>
      </c>
      <c r="BI272" s="43">
        <v>0</v>
      </c>
      <c r="BJ272" s="43" t="s">
        <v>2090</v>
      </c>
      <c r="BK272" s="43" t="s">
        <v>2090</v>
      </c>
      <c r="BL272" s="43" t="s">
        <v>2090</v>
      </c>
      <c r="BM272" s="43" t="s">
        <v>2090</v>
      </c>
      <c r="BN272" s="43" t="s">
        <v>2090</v>
      </c>
      <c r="BO272" s="43" t="s">
        <v>2090</v>
      </c>
      <c r="BP272" s="43" t="s">
        <v>2090</v>
      </c>
      <c r="BQ272" s="43" t="s">
        <v>2090</v>
      </c>
      <c r="BR272" s="43" t="s">
        <v>2090</v>
      </c>
      <c r="BS272" s="43" t="s">
        <v>2090</v>
      </c>
      <c r="BT272" s="43" t="s">
        <v>2090</v>
      </c>
      <c r="BU272" s="43" t="s">
        <v>2090</v>
      </c>
      <c r="BV272" s="43" t="s">
        <v>2091</v>
      </c>
      <c r="BW272" s="43" t="s">
        <v>2090</v>
      </c>
    </row>
    <row r="273" spans="1:75" ht="141.19999999999999" customHeight="1" x14ac:dyDescent="0.25">
      <c r="A273" s="38" t="s">
        <v>1282</v>
      </c>
      <c r="B273" s="38" t="s">
        <v>1849</v>
      </c>
      <c r="C273" s="39" t="s">
        <v>1283</v>
      </c>
      <c r="D273" s="40" t="s">
        <v>1284</v>
      </c>
      <c r="E273" s="41">
        <v>64075.103690000004</v>
      </c>
      <c r="F273" s="41">
        <v>2942542.0015500002</v>
      </c>
      <c r="G273" s="41">
        <v>233835.4</v>
      </c>
      <c r="H273" s="41">
        <v>198716.3</v>
      </c>
      <c r="I273" s="42">
        <v>1.1526020000377604</v>
      </c>
      <c r="J273" s="41">
        <v>0</v>
      </c>
      <c r="K273" s="41">
        <v>179700.98017</v>
      </c>
      <c r="L273" s="41">
        <v>26426.3</v>
      </c>
      <c r="M273" s="41">
        <v>129091.9</v>
      </c>
      <c r="N273" s="42">
        <v>0.18992735070996022</v>
      </c>
      <c r="O273" s="41">
        <v>3299.6248500000002</v>
      </c>
      <c r="P273" s="41">
        <v>244599.12705000001</v>
      </c>
      <c r="Q273" s="41">
        <v>62154.6</v>
      </c>
      <c r="R273" s="41">
        <v>257410.9</v>
      </c>
      <c r="S273" s="42">
        <v>0.22636363204386811</v>
      </c>
      <c r="T273" s="41">
        <v>5516.4522999999999</v>
      </c>
      <c r="U273" s="41">
        <v>763904.65043000004</v>
      </c>
      <c r="V273" s="41">
        <v>26893.599999999999</v>
      </c>
      <c r="W273" s="41">
        <v>74368.5</v>
      </c>
      <c r="X273" s="42">
        <v>0.3434724091520861</v>
      </c>
      <c r="Y273" s="43">
        <v>2</v>
      </c>
      <c r="Z273" s="43" t="s">
        <v>2091</v>
      </c>
      <c r="AA273" s="43" t="s">
        <v>2090</v>
      </c>
      <c r="AB273" s="43" t="s">
        <v>2090</v>
      </c>
      <c r="AC273" s="43" t="s">
        <v>2090</v>
      </c>
      <c r="AD273" s="43">
        <v>0</v>
      </c>
      <c r="AE273" s="43">
        <v>0</v>
      </c>
      <c r="AF273" s="43">
        <v>0</v>
      </c>
      <c r="AG273" s="43">
        <v>0</v>
      </c>
      <c r="AH273" s="43">
        <v>0</v>
      </c>
      <c r="AI273" s="43">
        <v>1</v>
      </c>
      <c r="AJ273" s="43">
        <v>0</v>
      </c>
      <c r="AK273" s="43">
        <v>0</v>
      </c>
      <c r="AL273" s="43">
        <v>0</v>
      </c>
      <c r="AM273" s="43">
        <v>0</v>
      </c>
      <c r="AN273" s="43">
        <v>0</v>
      </c>
      <c r="AO273" s="43">
        <v>0</v>
      </c>
      <c r="AP273" s="43">
        <v>0</v>
      </c>
      <c r="AQ273" s="43">
        <v>0</v>
      </c>
      <c r="AR273" s="43">
        <v>0</v>
      </c>
      <c r="AS273" s="43">
        <v>0</v>
      </c>
      <c r="AT273" s="43">
        <v>0</v>
      </c>
      <c r="AU273" s="43">
        <v>0</v>
      </c>
      <c r="AV273" s="43">
        <v>0</v>
      </c>
      <c r="AW273" s="43">
        <v>0</v>
      </c>
      <c r="AX273" s="43">
        <v>0</v>
      </c>
      <c r="AY273" s="43">
        <v>0</v>
      </c>
      <c r="AZ273" s="43">
        <v>0</v>
      </c>
      <c r="BA273" s="43">
        <v>0</v>
      </c>
      <c r="BB273" s="43">
        <v>0</v>
      </c>
      <c r="BC273" s="43">
        <v>0</v>
      </c>
      <c r="BD273" s="43">
        <v>0</v>
      </c>
      <c r="BE273" s="43">
        <v>0</v>
      </c>
      <c r="BF273" s="43">
        <v>0</v>
      </c>
      <c r="BG273" s="43">
        <v>0</v>
      </c>
      <c r="BH273" s="43">
        <v>0</v>
      </c>
      <c r="BI273" s="43">
        <v>0</v>
      </c>
      <c r="BJ273" s="43" t="s">
        <v>2090</v>
      </c>
      <c r="BK273" s="43" t="s">
        <v>2090</v>
      </c>
      <c r="BL273" s="43" t="s">
        <v>2090</v>
      </c>
      <c r="BM273" s="43" t="s">
        <v>2090</v>
      </c>
      <c r="BN273" s="43" t="s">
        <v>2090</v>
      </c>
      <c r="BO273" s="43" t="s">
        <v>2090</v>
      </c>
      <c r="BP273" s="43" t="s">
        <v>2090</v>
      </c>
      <c r="BQ273" s="43" t="s">
        <v>2090</v>
      </c>
      <c r="BR273" s="43" t="s">
        <v>2090</v>
      </c>
      <c r="BS273" s="43" t="s">
        <v>2090</v>
      </c>
      <c r="BT273" s="43" t="s">
        <v>2090</v>
      </c>
      <c r="BU273" s="43" t="s">
        <v>2090</v>
      </c>
      <c r="BV273" s="43" t="s">
        <v>2091</v>
      </c>
      <c r="BW273" s="43" t="s">
        <v>2090</v>
      </c>
    </row>
    <row r="274" spans="1:75" ht="153.94999999999999" customHeight="1" x14ac:dyDescent="0.25">
      <c r="A274" s="38" t="s">
        <v>1285</v>
      </c>
      <c r="B274" s="38" t="s">
        <v>1850</v>
      </c>
      <c r="C274" s="39" t="s">
        <v>1286</v>
      </c>
      <c r="D274" s="40" t="s">
        <v>1287</v>
      </c>
      <c r="E274" s="41">
        <v>52956.141819999997</v>
      </c>
      <c r="F274" s="41">
        <v>2681930.9720700001</v>
      </c>
      <c r="G274" s="41">
        <v>371000.3</v>
      </c>
      <c r="H274" s="41">
        <v>357026.4</v>
      </c>
      <c r="I274" s="42">
        <v>0.98826545163407453</v>
      </c>
      <c r="J274" s="41">
        <v>13083.4463</v>
      </c>
      <c r="K274" s="41">
        <v>1255106.37001</v>
      </c>
      <c r="L274" s="41">
        <v>4496</v>
      </c>
      <c r="M274" s="41">
        <v>9899.7999999999993</v>
      </c>
      <c r="N274" s="42">
        <v>0.44081364829396325</v>
      </c>
      <c r="O274" s="41">
        <v>2740.2012500000001</v>
      </c>
      <c r="P274" s="41">
        <v>553586.52180999995</v>
      </c>
      <c r="Q274" s="41">
        <v>69805.600000000006</v>
      </c>
      <c r="R274" s="41">
        <v>175990.9</v>
      </c>
      <c r="S274" s="42">
        <v>0.38330740644715233</v>
      </c>
      <c r="T274" s="41">
        <v>27122.79175</v>
      </c>
      <c r="U274" s="41">
        <v>1863214.3570000001</v>
      </c>
      <c r="V274" s="41">
        <v>3043</v>
      </c>
      <c r="W274" s="41">
        <v>4367.1000000000004</v>
      </c>
      <c r="X274" s="42">
        <v>0.66599248772031205</v>
      </c>
      <c r="Y274" s="43">
        <v>2</v>
      </c>
      <c r="Z274" s="43" t="s">
        <v>2090</v>
      </c>
      <c r="AA274" s="43" t="s">
        <v>2091</v>
      </c>
      <c r="AB274" s="43" t="s">
        <v>2090</v>
      </c>
      <c r="AC274" s="43" t="s">
        <v>2090</v>
      </c>
      <c r="AD274" s="43">
        <v>0</v>
      </c>
      <c r="AE274" s="43">
        <v>0</v>
      </c>
      <c r="AF274" s="43">
        <v>0</v>
      </c>
      <c r="AG274" s="43">
        <v>0</v>
      </c>
      <c r="AH274" s="43">
        <v>0</v>
      </c>
      <c r="AI274" s="43">
        <v>1</v>
      </c>
      <c r="AJ274" s="43">
        <v>0</v>
      </c>
      <c r="AK274" s="43">
        <v>0</v>
      </c>
      <c r="AL274" s="43">
        <v>0</v>
      </c>
      <c r="AM274" s="43">
        <v>0</v>
      </c>
      <c r="AN274" s="43">
        <v>0</v>
      </c>
      <c r="AO274" s="43">
        <v>0</v>
      </c>
      <c r="AP274" s="43">
        <v>0</v>
      </c>
      <c r="AQ274" s="43">
        <v>0</v>
      </c>
      <c r="AR274" s="43">
        <v>0</v>
      </c>
      <c r="AS274" s="43">
        <v>0</v>
      </c>
      <c r="AT274" s="43">
        <v>0</v>
      </c>
      <c r="AU274" s="43">
        <v>0</v>
      </c>
      <c r="AV274" s="43">
        <v>0</v>
      </c>
      <c r="AW274" s="43">
        <v>0</v>
      </c>
      <c r="AX274" s="43">
        <v>0</v>
      </c>
      <c r="AY274" s="43">
        <v>0</v>
      </c>
      <c r="AZ274" s="43">
        <v>0</v>
      </c>
      <c r="BA274" s="43">
        <v>0</v>
      </c>
      <c r="BB274" s="43">
        <v>0</v>
      </c>
      <c r="BC274" s="43">
        <v>0</v>
      </c>
      <c r="BD274" s="43">
        <v>0</v>
      </c>
      <c r="BE274" s="43">
        <v>0</v>
      </c>
      <c r="BF274" s="43">
        <v>0</v>
      </c>
      <c r="BG274" s="43">
        <v>0</v>
      </c>
      <c r="BH274" s="43">
        <v>0</v>
      </c>
      <c r="BI274" s="43">
        <v>0</v>
      </c>
      <c r="BJ274" s="43" t="s">
        <v>2090</v>
      </c>
      <c r="BK274" s="43" t="s">
        <v>2090</v>
      </c>
      <c r="BL274" s="43" t="s">
        <v>2090</v>
      </c>
      <c r="BM274" s="43" t="s">
        <v>2090</v>
      </c>
      <c r="BN274" s="43" t="s">
        <v>2090</v>
      </c>
      <c r="BO274" s="43" t="s">
        <v>2090</v>
      </c>
      <c r="BP274" s="43" t="s">
        <v>2090</v>
      </c>
      <c r="BQ274" s="43" t="s">
        <v>2090</v>
      </c>
      <c r="BR274" s="43" t="s">
        <v>2091</v>
      </c>
      <c r="BS274" s="43" t="s">
        <v>2090</v>
      </c>
      <c r="BT274" s="43" t="s">
        <v>2091</v>
      </c>
      <c r="BU274" s="43" t="s">
        <v>2091</v>
      </c>
      <c r="BV274" s="43" t="s">
        <v>2090</v>
      </c>
      <c r="BW274" s="43" t="s">
        <v>2090</v>
      </c>
    </row>
    <row r="275" spans="1:75" ht="144.19999999999999" customHeight="1" x14ac:dyDescent="0.25">
      <c r="A275" s="38" t="s">
        <v>1288</v>
      </c>
      <c r="B275" s="38" t="s">
        <v>1851</v>
      </c>
      <c r="C275" s="39" t="s">
        <v>1289</v>
      </c>
      <c r="D275" s="40" t="s">
        <v>1290</v>
      </c>
      <c r="E275" s="41">
        <v>52233.421999999999</v>
      </c>
      <c r="F275" s="41">
        <v>2576826.42955</v>
      </c>
      <c r="G275" s="41">
        <v>476673.4</v>
      </c>
      <c r="H275" s="41">
        <v>423001.3</v>
      </c>
      <c r="I275" s="42">
        <v>1.0989394697059478</v>
      </c>
      <c r="J275" s="41">
        <v>1518.8341800000001</v>
      </c>
      <c r="K275" s="41">
        <v>262570.57822999998</v>
      </c>
      <c r="L275" s="41">
        <v>61494</v>
      </c>
      <c r="M275" s="41">
        <v>327876.59999999998</v>
      </c>
      <c r="N275" s="42">
        <v>0.17932996759623313</v>
      </c>
      <c r="O275" s="41">
        <v>0</v>
      </c>
      <c r="P275" s="41">
        <v>61068.212679999997</v>
      </c>
      <c r="Q275" s="41">
        <v>121129.8</v>
      </c>
      <c r="R275" s="41">
        <v>351459.4</v>
      </c>
      <c r="S275" s="42">
        <v>0.32441472739651889</v>
      </c>
      <c r="T275" s="41">
        <v>4886.2061999999996</v>
      </c>
      <c r="U275" s="41">
        <v>688973.06143</v>
      </c>
      <c r="V275" s="41">
        <v>97112.8</v>
      </c>
      <c r="W275" s="41">
        <v>283307.09999999998</v>
      </c>
      <c r="X275" s="42">
        <v>0.32676351274390403</v>
      </c>
      <c r="Y275" s="43">
        <v>2</v>
      </c>
      <c r="Z275" s="43" t="s">
        <v>2090</v>
      </c>
      <c r="AA275" s="43" t="s">
        <v>2090</v>
      </c>
      <c r="AB275" s="43" t="s">
        <v>2090</v>
      </c>
      <c r="AC275" s="43" t="s">
        <v>2090</v>
      </c>
      <c r="AD275" s="43">
        <v>0</v>
      </c>
      <c r="AE275" s="43">
        <v>0</v>
      </c>
      <c r="AF275" s="43">
        <v>0</v>
      </c>
      <c r="AG275" s="43">
        <v>0</v>
      </c>
      <c r="AH275" s="43">
        <v>0</v>
      </c>
      <c r="AI275" s="43">
        <v>2</v>
      </c>
      <c r="AJ275" s="43">
        <v>0</v>
      </c>
      <c r="AK275" s="43">
        <v>0</v>
      </c>
      <c r="AL275" s="43">
        <v>0</v>
      </c>
      <c r="AM275" s="43">
        <v>0</v>
      </c>
      <c r="AN275" s="43">
        <v>0</v>
      </c>
      <c r="AO275" s="43">
        <v>0</v>
      </c>
      <c r="AP275" s="43">
        <v>0</v>
      </c>
      <c r="AQ275" s="43">
        <v>0</v>
      </c>
      <c r="AR275" s="43">
        <v>0</v>
      </c>
      <c r="AS275" s="43">
        <v>0</v>
      </c>
      <c r="AT275" s="43">
        <v>0</v>
      </c>
      <c r="AU275" s="43">
        <v>0</v>
      </c>
      <c r="AV275" s="43">
        <v>0</v>
      </c>
      <c r="AW275" s="43">
        <v>0</v>
      </c>
      <c r="AX275" s="43">
        <v>0</v>
      </c>
      <c r="AY275" s="43">
        <v>0</v>
      </c>
      <c r="AZ275" s="43">
        <v>0</v>
      </c>
      <c r="BA275" s="43">
        <v>0</v>
      </c>
      <c r="BB275" s="43">
        <v>0</v>
      </c>
      <c r="BC275" s="43">
        <v>0</v>
      </c>
      <c r="BD275" s="43">
        <v>0</v>
      </c>
      <c r="BE275" s="43">
        <v>0</v>
      </c>
      <c r="BF275" s="43">
        <v>0</v>
      </c>
      <c r="BG275" s="43">
        <v>0</v>
      </c>
      <c r="BH275" s="43">
        <v>0</v>
      </c>
      <c r="BI275" s="43">
        <v>0</v>
      </c>
      <c r="BJ275" s="43" t="s">
        <v>2090</v>
      </c>
      <c r="BK275" s="43" t="s">
        <v>2090</v>
      </c>
      <c r="BL275" s="43" t="s">
        <v>2090</v>
      </c>
      <c r="BM275" s="43" t="s">
        <v>2090</v>
      </c>
      <c r="BN275" s="43" t="s">
        <v>2090</v>
      </c>
      <c r="BO275" s="43" t="s">
        <v>2090</v>
      </c>
      <c r="BP275" s="43" t="s">
        <v>2090</v>
      </c>
      <c r="BQ275" s="43" t="s">
        <v>2090</v>
      </c>
      <c r="BR275" s="43" t="s">
        <v>2090</v>
      </c>
      <c r="BS275" s="43" t="s">
        <v>2090</v>
      </c>
      <c r="BT275" s="43" t="s">
        <v>2090</v>
      </c>
      <c r="BU275" s="43" t="s">
        <v>2090</v>
      </c>
      <c r="BV275" s="43" t="s">
        <v>2090</v>
      </c>
      <c r="BW275" s="43" t="s">
        <v>2090</v>
      </c>
    </row>
    <row r="276" spans="1:75" ht="163.69999999999999" customHeight="1" x14ac:dyDescent="0.25">
      <c r="A276" s="38" t="s">
        <v>1291</v>
      </c>
      <c r="B276" s="38" t="s">
        <v>1852</v>
      </c>
      <c r="C276" s="39" t="s">
        <v>1292</v>
      </c>
      <c r="D276" s="40" t="s">
        <v>1293</v>
      </c>
      <c r="E276" s="41">
        <v>66793.249240000005</v>
      </c>
      <c r="F276" s="41">
        <v>2892762.6354</v>
      </c>
      <c r="G276" s="41">
        <v>123914.3</v>
      </c>
      <c r="H276" s="41">
        <v>95511.3</v>
      </c>
      <c r="I276" s="42">
        <v>1.2420401541269519</v>
      </c>
      <c r="J276" s="41">
        <v>1059.0193400000001</v>
      </c>
      <c r="K276" s="41">
        <v>152942.10949999999</v>
      </c>
      <c r="L276" s="41">
        <v>23811.3</v>
      </c>
      <c r="M276" s="41">
        <v>97900.7</v>
      </c>
      <c r="N276" s="42">
        <v>0.23400117704255266</v>
      </c>
      <c r="O276" s="41">
        <v>62344.801079999997</v>
      </c>
      <c r="P276" s="41">
        <v>2903563.17716</v>
      </c>
      <c r="Q276" s="41">
        <v>97456.2</v>
      </c>
      <c r="R276" s="41">
        <v>83612.899999999994</v>
      </c>
      <c r="S276" s="42">
        <v>1.1150111150111151</v>
      </c>
      <c r="T276" s="41">
        <v>5178.9898999999996</v>
      </c>
      <c r="U276" s="41">
        <v>0</v>
      </c>
      <c r="V276" s="41">
        <v>12982.8</v>
      </c>
      <c r="W276" s="41">
        <v>37857.4</v>
      </c>
      <c r="X276" s="42">
        <v>0.33063257512867344</v>
      </c>
      <c r="Y276" s="43">
        <v>2</v>
      </c>
      <c r="Z276" s="43" t="s">
        <v>2090</v>
      </c>
      <c r="AA276" s="43" t="s">
        <v>2091</v>
      </c>
      <c r="AB276" s="43" t="s">
        <v>2090</v>
      </c>
      <c r="AC276" s="43" t="s">
        <v>2090</v>
      </c>
      <c r="AD276" s="43">
        <v>0</v>
      </c>
      <c r="AE276" s="43">
        <v>0</v>
      </c>
      <c r="AF276" s="43">
        <v>0</v>
      </c>
      <c r="AG276" s="43">
        <v>0</v>
      </c>
      <c r="AH276" s="43">
        <v>0</v>
      </c>
      <c r="AI276" s="43">
        <v>0</v>
      </c>
      <c r="AJ276" s="43">
        <v>0</v>
      </c>
      <c r="AK276" s="43">
        <v>0</v>
      </c>
      <c r="AL276" s="43">
        <v>0</v>
      </c>
      <c r="AM276" s="43">
        <v>0</v>
      </c>
      <c r="AN276" s="43">
        <v>0</v>
      </c>
      <c r="AO276" s="43">
        <v>0</v>
      </c>
      <c r="AP276" s="43">
        <v>0</v>
      </c>
      <c r="AQ276" s="43">
        <v>0</v>
      </c>
      <c r="AR276" s="43">
        <v>0</v>
      </c>
      <c r="AS276" s="43">
        <v>0</v>
      </c>
      <c r="AT276" s="43">
        <v>0</v>
      </c>
      <c r="AU276" s="43">
        <v>0</v>
      </c>
      <c r="AV276" s="43">
        <v>0</v>
      </c>
      <c r="AW276" s="43">
        <v>0</v>
      </c>
      <c r="AX276" s="43">
        <v>0</v>
      </c>
      <c r="AY276" s="43">
        <v>1</v>
      </c>
      <c r="AZ276" s="43">
        <v>0</v>
      </c>
      <c r="BA276" s="43">
        <v>0</v>
      </c>
      <c r="BB276" s="43">
        <v>0</v>
      </c>
      <c r="BC276" s="43">
        <v>0</v>
      </c>
      <c r="BD276" s="43">
        <v>0</v>
      </c>
      <c r="BE276" s="43">
        <v>0</v>
      </c>
      <c r="BF276" s="43">
        <v>0</v>
      </c>
      <c r="BG276" s="43">
        <v>0</v>
      </c>
      <c r="BH276" s="43">
        <v>0</v>
      </c>
      <c r="BI276" s="43">
        <v>0</v>
      </c>
      <c r="BJ276" s="43" t="s">
        <v>2090</v>
      </c>
      <c r="BK276" s="43" t="s">
        <v>2090</v>
      </c>
      <c r="BL276" s="43" t="s">
        <v>2090</v>
      </c>
      <c r="BM276" s="43" t="s">
        <v>2090</v>
      </c>
      <c r="BN276" s="43" t="s">
        <v>2090</v>
      </c>
      <c r="BO276" s="43" t="s">
        <v>2090</v>
      </c>
      <c r="BP276" s="43" t="s">
        <v>2090</v>
      </c>
      <c r="BQ276" s="43" t="s">
        <v>2090</v>
      </c>
      <c r="BR276" s="43" t="s">
        <v>2091</v>
      </c>
      <c r="BS276" s="43" t="s">
        <v>2090</v>
      </c>
      <c r="BT276" s="43" t="s">
        <v>2091</v>
      </c>
      <c r="BU276" s="43" t="s">
        <v>2090</v>
      </c>
      <c r="BV276" s="43" t="s">
        <v>2090</v>
      </c>
      <c r="BW276" s="43" t="s">
        <v>2090</v>
      </c>
    </row>
    <row r="277" spans="1:75" ht="148.69999999999999" customHeight="1" x14ac:dyDescent="0.25">
      <c r="A277" s="38" t="s">
        <v>1294</v>
      </c>
      <c r="B277" s="38" t="s">
        <v>1853</v>
      </c>
      <c r="C277" s="39" t="s">
        <v>1295</v>
      </c>
      <c r="D277" s="40" t="s">
        <v>1296</v>
      </c>
      <c r="E277" s="41">
        <v>26241.327499999999</v>
      </c>
      <c r="F277" s="41">
        <v>2013425.3205500001</v>
      </c>
      <c r="G277" s="41">
        <v>183848</v>
      </c>
      <c r="H277" s="41">
        <v>205771.5</v>
      </c>
      <c r="I277" s="42">
        <v>0.8599192193166072</v>
      </c>
      <c r="J277" s="41">
        <v>0</v>
      </c>
      <c r="K277" s="41">
        <v>26557.20393</v>
      </c>
      <c r="L277" s="41">
        <v>119031.4</v>
      </c>
      <c r="M277" s="41">
        <v>244867.8</v>
      </c>
      <c r="N277" s="42">
        <v>0.46325802855831461</v>
      </c>
      <c r="O277" s="41">
        <v>8764.6843000000008</v>
      </c>
      <c r="P277" s="41">
        <v>1129910.8640000001</v>
      </c>
      <c r="Q277" s="41">
        <v>147037.9</v>
      </c>
      <c r="R277" s="41">
        <v>219040.5</v>
      </c>
      <c r="S277" s="42">
        <v>0.64853054823165734</v>
      </c>
      <c r="T277" s="41">
        <v>2842.4487199999999</v>
      </c>
      <c r="U277" s="41">
        <v>442986.87208</v>
      </c>
      <c r="V277" s="41">
        <v>53382.1</v>
      </c>
      <c r="W277" s="41">
        <v>119833.5</v>
      </c>
      <c r="X277" s="42">
        <v>0.43257519717444071</v>
      </c>
      <c r="Y277" s="43">
        <v>2</v>
      </c>
      <c r="Z277" s="43" t="s">
        <v>2090</v>
      </c>
      <c r="AA277" s="43" t="s">
        <v>2091</v>
      </c>
      <c r="AB277" s="43" t="s">
        <v>2090</v>
      </c>
      <c r="AC277" s="43" t="s">
        <v>2090</v>
      </c>
      <c r="AD277" s="43">
        <v>0</v>
      </c>
      <c r="AE277" s="43">
        <v>0</v>
      </c>
      <c r="AF277" s="43">
        <v>0</v>
      </c>
      <c r="AG277" s="43">
        <v>0</v>
      </c>
      <c r="AH277" s="43">
        <v>0</v>
      </c>
      <c r="AI277" s="43">
        <v>0</v>
      </c>
      <c r="AJ277" s="43">
        <v>0</v>
      </c>
      <c r="AK277" s="43">
        <v>0</v>
      </c>
      <c r="AL277" s="43">
        <v>0</v>
      </c>
      <c r="AM277" s="43">
        <v>0</v>
      </c>
      <c r="AN277" s="43">
        <v>0</v>
      </c>
      <c r="AO277" s="43">
        <v>0</v>
      </c>
      <c r="AP277" s="43">
        <v>0</v>
      </c>
      <c r="AQ277" s="43">
        <v>0</v>
      </c>
      <c r="AR277" s="43">
        <v>0</v>
      </c>
      <c r="AS277" s="43">
        <v>0</v>
      </c>
      <c r="AT277" s="43">
        <v>0</v>
      </c>
      <c r="AU277" s="43">
        <v>0</v>
      </c>
      <c r="AV277" s="43">
        <v>0</v>
      </c>
      <c r="AW277" s="43">
        <v>0</v>
      </c>
      <c r="AX277" s="43">
        <v>0</v>
      </c>
      <c r="AY277" s="43">
        <v>1</v>
      </c>
      <c r="AZ277" s="43">
        <v>0</v>
      </c>
      <c r="BA277" s="43">
        <v>0</v>
      </c>
      <c r="BB277" s="43">
        <v>0</v>
      </c>
      <c r="BC277" s="43">
        <v>0</v>
      </c>
      <c r="BD277" s="43">
        <v>0</v>
      </c>
      <c r="BE277" s="43">
        <v>0</v>
      </c>
      <c r="BF277" s="43">
        <v>0</v>
      </c>
      <c r="BG277" s="43">
        <v>0</v>
      </c>
      <c r="BH277" s="43">
        <v>0</v>
      </c>
      <c r="BI277" s="43">
        <v>0</v>
      </c>
      <c r="BJ277" s="43" t="s">
        <v>2090</v>
      </c>
      <c r="BK277" s="43" t="s">
        <v>2090</v>
      </c>
      <c r="BL277" s="43" t="s">
        <v>2090</v>
      </c>
      <c r="BM277" s="43" t="s">
        <v>2090</v>
      </c>
      <c r="BN277" s="43" t="s">
        <v>2090</v>
      </c>
      <c r="BO277" s="43" t="s">
        <v>2090</v>
      </c>
      <c r="BP277" s="43" t="s">
        <v>2090</v>
      </c>
      <c r="BQ277" s="43" t="s">
        <v>2090</v>
      </c>
      <c r="BR277" s="43" t="s">
        <v>2091</v>
      </c>
      <c r="BS277" s="43" t="s">
        <v>2090</v>
      </c>
      <c r="BT277" s="43" t="s">
        <v>2091</v>
      </c>
      <c r="BU277" s="43" t="s">
        <v>2090</v>
      </c>
      <c r="BV277" s="43" t="s">
        <v>2090</v>
      </c>
      <c r="BW277" s="43" t="s">
        <v>2090</v>
      </c>
    </row>
    <row r="278" spans="1:75" x14ac:dyDescent="0.25">
      <c r="A278" s="38" t="s">
        <v>1297</v>
      </c>
      <c r="B278" s="38" t="s">
        <v>1854</v>
      </c>
      <c r="C278" s="39" t="s">
        <v>1298</v>
      </c>
      <c r="D278" s="40"/>
      <c r="E278" s="41">
        <v>62680.844729999997</v>
      </c>
      <c r="F278" s="41">
        <v>2910887.1036100001</v>
      </c>
      <c r="G278" s="41">
        <v>382643.7</v>
      </c>
      <c r="H278" s="41">
        <v>320539.5</v>
      </c>
      <c r="I278" s="42">
        <v>1.1770519788051257</v>
      </c>
      <c r="J278" s="41">
        <v>90077.997860000003</v>
      </c>
      <c r="K278" s="41">
        <v>3107043.0177600002</v>
      </c>
      <c r="L278" s="41">
        <v>178206.4</v>
      </c>
      <c r="M278" s="41">
        <v>103874.5</v>
      </c>
      <c r="N278" s="42">
        <v>1.4992516823687752</v>
      </c>
      <c r="O278" s="41">
        <v>73611.219209999996</v>
      </c>
      <c r="P278" s="41">
        <v>3084328.7665900001</v>
      </c>
      <c r="Q278" s="41">
        <v>76395.7</v>
      </c>
      <c r="R278" s="41">
        <v>50793.2</v>
      </c>
      <c r="S278" s="42">
        <v>1.4718164397879698</v>
      </c>
      <c r="T278" s="41">
        <v>107217.25874</v>
      </c>
      <c r="U278" s="41">
        <v>3435580.7365799998</v>
      </c>
      <c r="V278" s="41">
        <v>132788.9</v>
      </c>
      <c r="W278" s="41">
        <v>71592</v>
      </c>
      <c r="X278" s="42">
        <v>1.5541576657437552</v>
      </c>
      <c r="Y278" s="43">
        <v>0</v>
      </c>
      <c r="Z278" s="43" t="s">
        <v>2090</v>
      </c>
      <c r="AA278" s="43" t="s">
        <v>2090</v>
      </c>
      <c r="AB278" s="43" t="s">
        <v>2090</v>
      </c>
      <c r="AC278" s="43" t="s">
        <v>2090</v>
      </c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 t="s">
        <v>2090</v>
      </c>
      <c r="BK278" s="43" t="s">
        <v>2090</v>
      </c>
      <c r="BL278" s="43" t="s">
        <v>2090</v>
      </c>
      <c r="BM278" s="43" t="s">
        <v>2090</v>
      </c>
      <c r="BN278" s="43" t="s">
        <v>2090</v>
      </c>
      <c r="BO278" s="43" t="s">
        <v>2090</v>
      </c>
      <c r="BP278" s="43" t="s">
        <v>2090</v>
      </c>
      <c r="BQ278" s="43" t="s">
        <v>2090</v>
      </c>
      <c r="BR278" s="43" t="s">
        <v>2090</v>
      </c>
      <c r="BS278" s="43" t="s">
        <v>2090</v>
      </c>
      <c r="BT278" s="43" t="s">
        <v>2090</v>
      </c>
      <c r="BU278" s="43" t="s">
        <v>2090</v>
      </c>
      <c r="BV278" s="43" t="s">
        <v>2090</v>
      </c>
      <c r="BW278" s="43" t="s">
        <v>2090</v>
      </c>
    </row>
    <row r="279" spans="1:75" ht="150.94999999999999" customHeight="1" x14ac:dyDescent="0.25">
      <c r="A279" s="38" t="s">
        <v>1299</v>
      </c>
      <c r="B279" s="38" t="s">
        <v>1855</v>
      </c>
      <c r="C279" s="39" t="s">
        <v>1300</v>
      </c>
      <c r="D279" s="40" t="s">
        <v>1301</v>
      </c>
      <c r="E279" s="41">
        <v>0</v>
      </c>
      <c r="F279" s="41">
        <v>215513.66209</v>
      </c>
      <c r="G279" s="41">
        <v>63773</v>
      </c>
      <c r="H279" s="41">
        <v>213975</v>
      </c>
      <c r="I279" s="42">
        <v>0.28473728808466392</v>
      </c>
      <c r="J279" s="41">
        <v>0</v>
      </c>
      <c r="K279" s="41">
        <v>5006.2143900000001</v>
      </c>
      <c r="L279" s="41">
        <v>7980</v>
      </c>
      <c r="M279" s="41">
        <v>65159.4</v>
      </c>
      <c r="N279" s="42">
        <v>0.11842105263157894</v>
      </c>
      <c r="O279" s="41">
        <v>0</v>
      </c>
      <c r="P279" s="41">
        <v>136774.80723999999</v>
      </c>
      <c r="Q279" s="41">
        <v>13122.1</v>
      </c>
      <c r="R279" s="41">
        <v>54505.2</v>
      </c>
      <c r="S279" s="42">
        <v>0.23069210017427841</v>
      </c>
      <c r="T279" s="41">
        <v>2563.05296</v>
      </c>
      <c r="U279" s="41">
        <v>435766.15985</v>
      </c>
      <c r="V279" s="41">
        <v>48295.9</v>
      </c>
      <c r="W279" s="41">
        <v>138994.4</v>
      </c>
      <c r="X279" s="42">
        <v>0.33128330551365248</v>
      </c>
      <c r="Y279" s="43">
        <v>3</v>
      </c>
      <c r="Z279" s="43" t="s">
        <v>2091</v>
      </c>
      <c r="AA279" s="43" t="s">
        <v>2091</v>
      </c>
      <c r="AB279" s="43" t="s">
        <v>2090</v>
      </c>
      <c r="AC279" s="43" t="s">
        <v>2090</v>
      </c>
      <c r="AD279" s="43">
        <v>0</v>
      </c>
      <c r="AE279" s="43">
        <v>0</v>
      </c>
      <c r="AF279" s="43">
        <v>0</v>
      </c>
      <c r="AG279" s="43">
        <v>0</v>
      </c>
      <c r="AH279" s="43">
        <v>0</v>
      </c>
      <c r="AI279" s="43">
        <v>0</v>
      </c>
      <c r="AJ279" s="43">
        <v>0</v>
      </c>
      <c r="AK279" s="43">
        <v>1</v>
      </c>
      <c r="AL279" s="43">
        <v>0</v>
      </c>
      <c r="AM279" s="43">
        <v>0</v>
      </c>
      <c r="AN279" s="43">
        <v>0</v>
      </c>
      <c r="AO279" s="43">
        <v>0</v>
      </c>
      <c r="AP279" s="43">
        <v>0</v>
      </c>
      <c r="AQ279" s="43">
        <v>0</v>
      </c>
      <c r="AR279" s="43">
        <v>0</v>
      </c>
      <c r="AS279" s="43">
        <v>0</v>
      </c>
      <c r="AT279" s="43">
        <v>0</v>
      </c>
      <c r="AU279" s="43">
        <v>0</v>
      </c>
      <c r="AV279" s="43">
        <v>0</v>
      </c>
      <c r="AW279" s="43">
        <v>0</v>
      </c>
      <c r="AX279" s="43">
        <v>0</v>
      </c>
      <c r="AY279" s="43">
        <v>0</v>
      </c>
      <c r="AZ279" s="43">
        <v>0</v>
      </c>
      <c r="BA279" s="43">
        <v>0</v>
      </c>
      <c r="BB279" s="43">
        <v>0</v>
      </c>
      <c r="BC279" s="43">
        <v>0</v>
      </c>
      <c r="BD279" s="43">
        <v>0</v>
      </c>
      <c r="BE279" s="43">
        <v>0</v>
      </c>
      <c r="BF279" s="43">
        <v>0</v>
      </c>
      <c r="BG279" s="43">
        <v>0</v>
      </c>
      <c r="BH279" s="43">
        <v>0</v>
      </c>
      <c r="BI279" s="43">
        <v>0</v>
      </c>
      <c r="BJ279" s="43" t="s">
        <v>2091</v>
      </c>
      <c r="BK279" s="43" t="s">
        <v>2090</v>
      </c>
      <c r="BL279" s="43" t="s">
        <v>2090</v>
      </c>
      <c r="BM279" s="43" t="s">
        <v>2090</v>
      </c>
      <c r="BN279" s="43" t="s">
        <v>2090</v>
      </c>
      <c r="BO279" s="43" t="s">
        <v>2090</v>
      </c>
      <c r="BP279" s="43" t="s">
        <v>2090</v>
      </c>
      <c r="BQ279" s="43" t="s">
        <v>2090</v>
      </c>
      <c r="BR279" s="43" t="s">
        <v>2091</v>
      </c>
      <c r="BS279" s="43" t="s">
        <v>2091</v>
      </c>
      <c r="BT279" s="43" t="s">
        <v>2090</v>
      </c>
      <c r="BU279" s="43" t="s">
        <v>2090</v>
      </c>
      <c r="BV279" s="43" t="s">
        <v>2090</v>
      </c>
      <c r="BW279" s="43" t="s">
        <v>2090</v>
      </c>
    </row>
    <row r="280" spans="1:75" ht="177.95" customHeight="1" x14ac:dyDescent="0.25">
      <c r="A280" s="38" t="s">
        <v>1302</v>
      </c>
      <c r="B280" s="38" t="s">
        <v>1856</v>
      </c>
      <c r="C280" s="45" t="s">
        <v>622</v>
      </c>
      <c r="D280" s="46" t="s">
        <v>1303</v>
      </c>
      <c r="E280" s="41">
        <v>52121.08023</v>
      </c>
      <c r="F280" s="41">
        <v>2657117.02911</v>
      </c>
      <c r="G280" s="41">
        <v>136264.20000000001</v>
      </c>
      <c r="H280" s="41">
        <v>168905.1</v>
      </c>
      <c r="I280" s="42">
        <v>0.76973684210526316</v>
      </c>
      <c r="J280" s="41">
        <v>30896.918249999999</v>
      </c>
      <c r="K280" s="41">
        <v>1967513.34293</v>
      </c>
      <c r="L280" s="41">
        <v>187727.7</v>
      </c>
      <c r="M280" s="41">
        <v>207247.3</v>
      </c>
      <c r="N280" s="42">
        <v>0.84144565116062264</v>
      </c>
      <c r="O280" s="41">
        <v>49811.724430000002</v>
      </c>
      <c r="P280" s="41">
        <v>2603114.1977599999</v>
      </c>
      <c r="Q280" s="41">
        <v>103629.3</v>
      </c>
      <c r="R280" s="41">
        <v>95135.3</v>
      </c>
      <c r="S280" s="42">
        <v>1.0613421715640705</v>
      </c>
      <c r="T280" s="41">
        <v>57599.006789999999</v>
      </c>
      <c r="U280" s="41">
        <v>2719895.15588</v>
      </c>
      <c r="V280" s="41">
        <v>164058.5</v>
      </c>
      <c r="W280" s="41">
        <v>141623.5</v>
      </c>
      <c r="X280" s="42">
        <v>1.0588339775524187</v>
      </c>
      <c r="Y280" s="43">
        <v>2</v>
      </c>
      <c r="Z280" s="43" t="s">
        <v>2090</v>
      </c>
      <c r="AA280" s="43" t="s">
        <v>2090</v>
      </c>
      <c r="AB280" s="43" t="s">
        <v>2090</v>
      </c>
      <c r="AC280" s="43" t="s">
        <v>2090</v>
      </c>
      <c r="AD280" s="43">
        <v>0</v>
      </c>
      <c r="AE280" s="43">
        <v>1</v>
      </c>
      <c r="AF280" s="43">
        <v>0</v>
      </c>
      <c r="AG280" s="43">
        <v>0</v>
      </c>
      <c r="AH280" s="43">
        <v>0</v>
      </c>
      <c r="AI280" s="43">
        <v>1</v>
      </c>
      <c r="AJ280" s="43">
        <v>0</v>
      </c>
      <c r="AK280" s="43">
        <v>0</v>
      </c>
      <c r="AL280" s="43">
        <v>0</v>
      </c>
      <c r="AM280" s="43">
        <v>0</v>
      </c>
      <c r="AN280" s="43">
        <v>0</v>
      </c>
      <c r="AO280" s="43">
        <v>0</v>
      </c>
      <c r="AP280" s="43">
        <v>0</v>
      </c>
      <c r="AQ280" s="43">
        <v>0</v>
      </c>
      <c r="AR280" s="43">
        <v>0</v>
      </c>
      <c r="AS280" s="43">
        <v>0</v>
      </c>
      <c r="AT280" s="43">
        <v>0</v>
      </c>
      <c r="AU280" s="43">
        <v>0</v>
      </c>
      <c r="AV280" s="43">
        <v>0</v>
      </c>
      <c r="AW280" s="43">
        <v>0</v>
      </c>
      <c r="AX280" s="43">
        <v>0</v>
      </c>
      <c r="AY280" s="43">
        <v>0</v>
      </c>
      <c r="AZ280" s="43">
        <v>0</v>
      </c>
      <c r="BA280" s="43">
        <v>0</v>
      </c>
      <c r="BB280" s="43">
        <v>0</v>
      </c>
      <c r="BC280" s="43">
        <v>0</v>
      </c>
      <c r="BD280" s="43">
        <v>0</v>
      </c>
      <c r="BE280" s="43">
        <v>0</v>
      </c>
      <c r="BF280" s="43">
        <v>0</v>
      </c>
      <c r="BG280" s="43">
        <v>0</v>
      </c>
      <c r="BH280" s="43">
        <v>0</v>
      </c>
      <c r="BI280" s="43">
        <v>0</v>
      </c>
      <c r="BJ280" s="43" t="s">
        <v>2090</v>
      </c>
      <c r="BK280" s="43" t="s">
        <v>2090</v>
      </c>
      <c r="BL280" s="43" t="s">
        <v>2090</v>
      </c>
      <c r="BM280" s="43" t="s">
        <v>2090</v>
      </c>
      <c r="BN280" s="43" t="s">
        <v>2090</v>
      </c>
      <c r="BO280" s="43" t="s">
        <v>2090</v>
      </c>
      <c r="BP280" s="43" t="s">
        <v>2090</v>
      </c>
      <c r="BQ280" s="43" t="s">
        <v>2090</v>
      </c>
      <c r="BR280" s="43" t="s">
        <v>2090</v>
      </c>
      <c r="BS280" s="43" t="s">
        <v>2090</v>
      </c>
      <c r="BT280" s="43" t="s">
        <v>2090</v>
      </c>
      <c r="BU280" s="43" t="s">
        <v>2090</v>
      </c>
      <c r="BV280" s="43" t="s">
        <v>2091</v>
      </c>
      <c r="BW280" s="43" t="s">
        <v>2090</v>
      </c>
    </row>
    <row r="281" spans="1:75" ht="165.2" customHeight="1" x14ac:dyDescent="0.25">
      <c r="A281" s="38" t="s">
        <v>1304</v>
      </c>
      <c r="B281" s="38" t="s">
        <v>1857</v>
      </c>
      <c r="C281" s="39" t="s">
        <v>1305</v>
      </c>
      <c r="D281" s="40" t="s">
        <v>1306</v>
      </c>
      <c r="E281" s="41">
        <v>49875.061520000003</v>
      </c>
      <c r="F281" s="41">
        <v>2541027.1550199999</v>
      </c>
      <c r="G281" s="41">
        <v>215041.5</v>
      </c>
      <c r="H281" s="41">
        <v>181619.4</v>
      </c>
      <c r="I281" s="42">
        <v>1.1599577762139339</v>
      </c>
      <c r="J281" s="41">
        <v>7204.2530100000004</v>
      </c>
      <c r="K281" s="41">
        <v>879755.77442999999</v>
      </c>
      <c r="L281" s="41">
        <v>102497.4</v>
      </c>
      <c r="M281" s="41">
        <v>227473.2</v>
      </c>
      <c r="N281" s="42">
        <v>0.42684524108103289</v>
      </c>
      <c r="O281" s="41">
        <v>15479.591249999999</v>
      </c>
      <c r="P281" s="41">
        <v>1681327.66414</v>
      </c>
      <c r="Q281" s="41">
        <v>52938.8</v>
      </c>
      <c r="R281" s="41">
        <v>108701.5</v>
      </c>
      <c r="S281" s="42">
        <v>0.46088579277410086</v>
      </c>
      <c r="T281" s="41">
        <v>10592.877109999999</v>
      </c>
      <c r="U281" s="41">
        <v>1136700.71141</v>
      </c>
      <c r="V281" s="41">
        <v>41586.6</v>
      </c>
      <c r="W281" s="41">
        <v>97017.2</v>
      </c>
      <c r="X281" s="42">
        <v>0.40371591853175903</v>
      </c>
      <c r="Y281" s="43">
        <v>2</v>
      </c>
      <c r="Z281" s="43" t="s">
        <v>2090</v>
      </c>
      <c r="AA281" s="43" t="s">
        <v>2091</v>
      </c>
      <c r="AB281" s="43" t="s">
        <v>2090</v>
      </c>
      <c r="AC281" s="43" t="s">
        <v>2090</v>
      </c>
      <c r="AD281" s="43">
        <v>0</v>
      </c>
      <c r="AE281" s="43">
        <v>0</v>
      </c>
      <c r="AF281" s="43">
        <v>0</v>
      </c>
      <c r="AG281" s="43">
        <v>0</v>
      </c>
      <c r="AH281" s="43">
        <v>0</v>
      </c>
      <c r="AI281" s="43">
        <v>0</v>
      </c>
      <c r="AJ281" s="43">
        <v>0</v>
      </c>
      <c r="AK281" s="43">
        <v>1</v>
      </c>
      <c r="AL281" s="43">
        <v>0</v>
      </c>
      <c r="AM281" s="43">
        <v>0</v>
      </c>
      <c r="AN281" s="43">
        <v>0</v>
      </c>
      <c r="AO281" s="43">
        <v>0</v>
      </c>
      <c r="AP281" s="43">
        <v>0</v>
      </c>
      <c r="AQ281" s="43">
        <v>0</v>
      </c>
      <c r="AR281" s="43">
        <v>0</v>
      </c>
      <c r="AS281" s="43">
        <v>0</v>
      </c>
      <c r="AT281" s="43">
        <v>0</v>
      </c>
      <c r="AU281" s="43">
        <v>0</v>
      </c>
      <c r="AV281" s="43">
        <v>0</v>
      </c>
      <c r="AW281" s="43">
        <v>0</v>
      </c>
      <c r="AX281" s="43">
        <v>0</v>
      </c>
      <c r="AY281" s="43">
        <v>0</v>
      </c>
      <c r="AZ281" s="43">
        <v>0</v>
      </c>
      <c r="BA281" s="43">
        <v>0</v>
      </c>
      <c r="BB281" s="43">
        <v>0</v>
      </c>
      <c r="BC281" s="43">
        <v>0</v>
      </c>
      <c r="BD281" s="43">
        <v>0</v>
      </c>
      <c r="BE281" s="43">
        <v>0</v>
      </c>
      <c r="BF281" s="43">
        <v>0</v>
      </c>
      <c r="BG281" s="43">
        <v>0</v>
      </c>
      <c r="BH281" s="43">
        <v>0</v>
      </c>
      <c r="BI281" s="43">
        <v>0</v>
      </c>
      <c r="BJ281" s="43" t="s">
        <v>2091</v>
      </c>
      <c r="BK281" s="43" t="s">
        <v>2090</v>
      </c>
      <c r="BL281" s="43" t="s">
        <v>2090</v>
      </c>
      <c r="BM281" s="43" t="s">
        <v>2090</v>
      </c>
      <c r="BN281" s="43" t="s">
        <v>2090</v>
      </c>
      <c r="BO281" s="43" t="s">
        <v>2090</v>
      </c>
      <c r="BP281" s="43" t="s">
        <v>2090</v>
      </c>
      <c r="BQ281" s="43" t="s">
        <v>2090</v>
      </c>
      <c r="BR281" s="43" t="s">
        <v>2091</v>
      </c>
      <c r="BS281" s="43" t="s">
        <v>2090</v>
      </c>
      <c r="BT281" s="43" t="s">
        <v>2091</v>
      </c>
      <c r="BU281" s="43" t="s">
        <v>2090</v>
      </c>
      <c r="BV281" s="43" t="s">
        <v>2090</v>
      </c>
      <c r="BW281" s="43" t="s">
        <v>2090</v>
      </c>
    </row>
    <row r="282" spans="1:75" ht="262.7" customHeight="1" x14ac:dyDescent="0.25">
      <c r="A282" s="38" t="s">
        <v>1307</v>
      </c>
      <c r="B282" s="38" t="s">
        <v>1858</v>
      </c>
      <c r="C282" s="39" t="s">
        <v>1308</v>
      </c>
      <c r="D282" s="40" t="s">
        <v>1309</v>
      </c>
      <c r="E282" s="41">
        <v>77635.084130000003</v>
      </c>
      <c r="F282" s="41">
        <v>3136545.7711800002</v>
      </c>
      <c r="G282" s="41">
        <v>159599.1</v>
      </c>
      <c r="H282" s="41">
        <v>112562.6</v>
      </c>
      <c r="I282" s="42">
        <v>1.3748506673038194</v>
      </c>
      <c r="J282" s="41">
        <v>3056.7824700000001</v>
      </c>
      <c r="K282" s="41">
        <v>499482.79441999999</v>
      </c>
      <c r="L282" s="41">
        <v>91102.7</v>
      </c>
      <c r="M282" s="41">
        <v>202705.9</v>
      </c>
      <c r="N282" s="42">
        <v>0.41918111398008112</v>
      </c>
      <c r="O282" s="41">
        <v>13108.76202</v>
      </c>
      <c r="P282" s="41">
        <v>1616814.05088</v>
      </c>
      <c r="Q282" s="41">
        <v>26931.1</v>
      </c>
      <c r="R282" s="41">
        <v>47972.1</v>
      </c>
      <c r="S282" s="42">
        <v>0.54005997159240349</v>
      </c>
      <c r="T282" s="41">
        <v>35337.07735</v>
      </c>
      <c r="U282" s="41">
        <v>2209546.28798</v>
      </c>
      <c r="V282" s="41">
        <v>21833.3</v>
      </c>
      <c r="W282" s="41">
        <v>24007</v>
      </c>
      <c r="X282" s="42">
        <v>0.84966393614786806</v>
      </c>
      <c r="Y282" s="43">
        <v>2</v>
      </c>
      <c r="Z282" s="43" t="s">
        <v>2090</v>
      </c>
      <c r="AA282" s="43" t="s">
        <v>2091</v>
      </c>
      <c r="AB282" s="43" t="s">
        <v>2090</v>
      </c>
      <c r="AC282" s="43" t="s">
        <v>2090</v>
      </c>
      <c r="AD282" s="43">
        <v>0</v>
      </c>
      <c r="AE282" s="43">
        <v>0</v>
      </c>
      <c r="AF282" s="43">
        <v>0</v>
      </c>
      <c r="AG282" s="43">
        <v>0</v>
      </c>
      <c r="AH282" s="43">
        <v>0</v>
      </c>
      <c r="AI282" s="43">
        <v>0</v>
      </c>
      <c r="AJ282" s="43">
        <v>0</v>
      </c>
      <c r="AK282" s="43">
        <v>1</v>
      </c>
      <c r="AL282" s="43">
        <v>0</v>
      </c>
      <c r="AM282" s="43">
        <v>0</v>
      </c>
      <c r="AN282" s="43">
        <v>0</v>
      </c>
      <c r="AO282" s="43">
        <v>0</v>
      </c>
      <c r="AP282" s="43">
        <v>0</v>
      </c>
      <c r="AQ282" s="43">
        <v>0</v>
      </c>
      <c r="AR282" s="43">
        <v>0</v>
      </c>
      <c r="AS282" s="43">
        <v>0</v>
      </c>
      <c r="AT282" s="43">
        <v>0</v>
      </c>
      <c r="AU282" s="43">
        <v>0</v>
      </c>
      <c r="AV282" s="43">
        <v>0</v>
      </c>
      <c r="AW282" s="43">
        <v>0</v>
      </c>
      <c r="AX282" s="43">
        <v>0</v>
      </c>
      <c r="AY282" s="43">
        <v>0</v>
      </c>
      <c r="AZ282" s="43">
        <v>0</v>
      </c>
      <c r="BA282" s="43">
        <v>0</v>
      </c>
      <c r="BB282" s="43">
        <v>0</v>
      </c>
      <c r="BC282" s="43">
        <v>0</v>
      </c>
      <c r="BD282" s="43">
        <v>0</v>
      </c>
      <c r="BE282" s="43">
        <v>0</v>
      </c>
      <c r="BF282" s="43">
        <v>0</v>
      </c>
      <c r="BG282" s="43">
        <v>0</v>
      </c>
      <c r="BH282" s="43">
        <v>0</v>
      </c>
      <c r="BI282" s="43">
        <v>0</v>
      </c>
      <c r="BJ282" s="43" t="s">
        <v>2091</v>
      </c>
      <c r="BK282" s="43" t="s">
        <v>2090</v>
      </c>
      <c r="BL282" s="43" t="s">
        <v>2090</v>
      </c>
      <c r="BM282" s="43" t="s">
        <v>2090</v>
      </c>
      <c r="BN282" s="43" t="s">
        <v>2090</v>
      </c>
      <c r="BO282" s="43" t="s">
        <v>2090</v>
      </c>
      <c r="BP282" s="43" t="s">
        <v>2090</v>
      </c>
      <c r="BQ282" s="43" t="s">
        <v>2090</v>
      </c>
      <c r="BR282" s="43" t="s">
        <v>2091</v>
      </c>
      <c r="BS282" s="43" t="s">
        <v>2090</v>
      </c>
      <c r="BT282" s="43" t="s">
        <v>2091</v>
      </c>
      <c r="BU282" s="43" t="s">
        <v>2090</v>
      </c>
      <c r="BV282" s="43" t="s">
        <v>2090</v>
      </c>
      <c r="BW282" s="43" t="s">
        <v>2090</v>
      </c>
    </row>
    <row r="283" spans="1:75" ht="165.95" customHeight="1" x14ac:dyDescent="0.25">
      <c r="A283" s="38" t="s">
        <v>1310</v>
      </c>
      <c r="B283" s="38" t="s">
        <v>1859</v>
      </c>
      <c r="C283" s="45" t="s">
        <v>481</v>
      </c>
      <c r="D283" s="46" t="s">
        <v>1311</v>
      </c>
      <c r="E283" s="41">
        <v>97208.149399999995</v>
      </c>
      <c r="F283" s="41">
        <v>3385253.6518100002</v>
      </c>
      <c r="G283" s="41">
        <v>221691.5</v>
      </c>
      <c r="H283" s="41">
        <v>138892.9</v>
      </c>
      <c r="I283" s="42">
        <v>1.5374501456419447</v>
      </c>
      <c r="J283" s="41">
        <v>11981.34078</v>
      </c>
      <c r="K283" s="41">
        <v>1206532.7763199999</v>
      </c>
      <c r="L283" s="41">
        <v>58167.199999999997</v>
      </c>
      <c r="M283" s="41">
        <v>113660.5</v>
      </c>
      <c r="N283" s="42">
        <v>0.49068981290372965</v>
      </c>
      <c r="O283" s="41">
        <v>104534.67219</v>
      </c>
      <c r="P283" s="41">
        <v>3351398.0655499999</v>
      </c>
      <c r="Q283" s="41">
        <v>41265.1</v>
      </c>
      <c r="R283" s="41">
        <v>34797.5</v>
      </c>
      <c r="S283" s="42">
        <v>1.1381161718074373</v>
      </c>
      <c r="T283" s="41">
        <v>52082.544150000002</v>
      </c>
      <c r="U283" s="41">
        <v>2587838.8825099999</v>
      </c>
      <c r="V283" s="41">
        <v>11776</v>
      </c>
      <c r="W283" s="41">
        <v>14388.7</v>
      </c>
      <c r="X283" s="42">
        <v>0.769781072228926</v>
      </c>
      <c r="Y283" s="43">
        <v>2</v>
      </c>
      <c r="Z283" s="43" t="s">
        <v>2090</v>
      </c>
      <c r="AA283" s="43" t="s">
        <v>2090</v>
      </c>
      <c r="AB283" s="43" t="s">
        <v>2090</v>
      </c>
      <c r="AC283" s="43" t="s">
        <v>2090</v>
      </c>
      <c r="AD283" s="43">
        <v>0</v>
      </c>
      <c r="AE283" s="43">
        <v>0</v>
      </c>
      <c r="AF283" s="43">
        <v>0</v>
      </c>
      <c r="AG283" s="43">
        <v>0</v>
      </c>
      <c r="AH283" s="43">
        <v>0</v>
      </c>
      <c r="AI283" s="43">
        <v>2</v>
      </c>
      <c r="AJ283" s="43">
        <v>0</v>
      </c>
      <c r="AK283" s="43">
        <v>0</v>
      </c>
      <c r="AL283" s="43">
        <v>0</v>
      </c>
      <c r="AM283" s="43">
        <v>0</v>
      </c>
      <c r="AN283" s="43">
        <v>0</v>
      </c>
      <c r="AO283" s="43">
        <v>0</v>
      </c>
      <c r="AP283" s="43">
        <v>0</v>
      </c>
      <c r="AQ283" s="43">
        <v>0</v>
      </c>
      <c r="AR283" s="43">
        <v>0</v>
      </c>
      <c r="AS283" s="43">
        <v>0</v>
      </c>
      <c r="AT283" s="43">
        <v>0</v>
      </c>
      <c r="AU283" s="43">
        <v>0</v>
      </c>
      <c r="AV283" s="43">
        <v>0</v>
      </c>
      <c r="AW283" s="43">
        <v>0</v>
      </c>
      <c r="AX283" s="43">
        <v>0</v>
      </c>
      <c r="AY283" s="43">
        <v>0</v>
      </c>
      <c r="AZ283" s="43">
        <v>0</v>
      </c>
      <c r="BA283" s="43">
        <v>0</v>
      </c>
      <c r="BB283" s="43">
        <v>0</v>
      </c>
      <c r="BC283" s="43">
        <v>0</v>
      </c>
      <c r="BD283" s="43">
        <v>0</v>
      </c>
      <c r="BE283" s="43">
        <v>0</v>
      </c>
      <c r="BF283" s="43">
        <v>0</v>
      </c>
      <c r="BG283" s="43">
        <v>0</v>
      </c>
      <c r="BH283" s="43">
        <v>0</v>
      </c>
      <c r="BI283" s="43">
        <v>0</v>
      </c>
      <c r="BJ283" s="43" t="s">
        <v>2090</v>
      </c>
      <c r="BK283" s="43" t="s">
        <v>2090</v>
      </c>
      <c r="BL283" s="43" t="s">
        <v>2090</v>
      </c>
      <c r="BM283" s="43" t="s">
        <v>2090</v>
      </c>
      <c r="BN283" s="43" t="s">
        <v>2090</v>
      </c>
      <c r="BO283" s="43" t="s">
        <v>2090</v>
      </c>
      <c r="BP283" s="43" t="s">
        <v>2090</v>
      </c>
      <c r="BQ283" s="43" t="s">
        <v>2090</v>
      </c>
      <c r="BR283" s="43" t="s">
        <v>2090</v>
      </c>
      <c r="BS283" s="43" t="s">
        <v>2090</v>
      </c>
      <c r="BT283" s="43" t="s">
        <v>2090</v>
      </c>
      <c r="BU283" s="43" t="s">
        <v>2090</v>
      </c>
      <c r="BV283" s="43" t="s">
        <v>2091</v>
      </c>
      <c r="BW283" s="43" t="s">
        <v>2091</v>
      </c>
    </row>
    <row r="284" spans="1:75" ht="126.95" customHeight="1" x14ac:dyDescent="0.25">
      <c r="A284" s="38" t="s">
        <v>1312</v>
      </c>
      <c r="B284" s="38" t="s">
        <v>1860</v>
      </c>
      <c r="C284" s="45" t="s">
        <v>508</v>
      </c>
      <c r="D284" s="46" t="s">
        <v>1313</v>
      </c>
      <c r="E284" s="41">
        <v>48315.637470000001</v>
      </c>
      <c r="F284" s="41">
        <v>2576947.5150100002</v>
      </c>
      <c r="G284" s="41">
        <v>53595.6</v>
      </c>
      <c r="H284" s="41">
        <v>49455.7</v>
      </c>
      <c r="I284" s="42">
        <v>1.0286953703472863</v>
      </c>
      <c r="J284" s="41">
        <v>0</v>
      </c>
      <c r="K284" s="41">
        <v>0</v>
      </c>
      <c r="L284" s="41">
        <v>32431.7</v>
      </c>
      <c r="M284" s="41">
        <v>135640</v>
      </c>
      <c r="N284" s="42">
        <v>0.2354962995814508</v>
      </c>
      <c r="O284" s="41">
        <v>80813.498649999994</v>
      </c>
      <c r="P284" s="41">
        <v>3190012.5431599999</v>
      </c>
      <c r="Q284" s="41">
        <v>49774.2</v>
      </c>
      <c r="R284" s="41">
        <v>43794</v>
      </c>
      <c r="S284" s="42">
        <v>0.87466121548991682</v>
      </c>
      <c r="T284" s="41"/>
      <c r="U284" s="41">
        <v>420816.23731</v>
      </c>
      <c r="V284" s="41">
        <v>26563.200000000001</v>
      </c>
      <c r="W284" s="41">
        <v>72518.399999999994</v>
      </c>
      <c r="X284" s="42">
        <v>0.36768108828272916</v>
      </c>
      <c r="Y284" s="43">
        <v>1</v>
      </c>
      <c r="Z284" s="43" t="s">
        <v>2090</v>
      </c>
      <c r="AA284" s="43" t="s">
        <v>2090</v>
      </c>
      <c r="AB284" s="43" t="s">
        <v>2090</v>
      </c>
      <c r="AC284" s="43" t="s">
        <v>2090</v>
      </c>
      <c r="AD284" s="43">
        <v>0</v>
      </c>
      <c r="AE284" s="43">
        <v>0</v>
      </c>
      <c r="AF284" s="43">
        <v>0</v>
      </c>
      <c r="AG284" s="43">
        <v>0</v>
      </c>
      <c r="AH284" s="43">
        <v>0</v>
      </c>
      <c r="AI284" s="43">
        <v>0</v>
      </c>
      <c r="AJ284" s="43">
        <v>0</v>
      </c>
      <c r="AK284" s="43">
        <v>0</v>
      </c>
      <c r="AL284" s="43">
        <v>0</v>
      </c>
      <c r="AM284" s="43">
        <v>0</v>
      </c>
      <c r="AN284" s="43">
        <v>0</v>
      </c>
      <c r="AO284" s="43">
        <v>0</v>
      </c>
      <c r="AP284" s="43">
        <v>0</v>
      </c>
      <c r="AQ284" s="43">
        <v>0</v>
      </c>
      <c r="AR284" s="43">
        <v>0</v>
      </c>
      <c r="AS284" s="43">
        <v>0</v>
      </c>
      <c r="AT284" s="43">
        <v>1</v>
      </c>
      <c r="AU284" s="43">
        <v>0</v>
      </c>
      <c r="AV284" s="43">
        <v>0</v>
      </c>
      <c r="AW284" s="43">
        <v>0</v>
      </c>
      <c r="AX284" s="43">
        <v>0</v>
      </c>
      <c r="AY284" s="43">
        <v>0</v>
      </c>
      <c r="AZ284" s="43">
        <v>0</v>
      </c>
      <c r="BA284" s="43">
        <v>0</v>
      </c>
      <c r="BB284" s="43">
        <v>0</v>
      </c>
      <c r="BC284" s="43">
        <v>0</v>
      </c>
      <c r="BD284" s="43">
        <v>0</v>
      </c>
      <c r="BE284" s="43">
        <v>0</v>
      </c>
      <c r="BF284" s="43">
        <v>0</v>
      </c>
      <c r="BG284" s="43">
        <v>0</v>
      </c>
      <c r="BH284" s="43">
        <v>0</v>
      </c>
      <c r="BI284" s="43">
        <v>0</v>
      </c>
      <c r="BJ284" s="43" t="s">
        <v>2090</v>
      </c>
      <c r="BK284" s="43" t="s">
        <v>2090</v>
      </c>
      <c r="BL284" s="43" t="s">
        <v>2090</v>
      </c>
      <c r="BM284" s="43" t="s">
        <v>2090</v>
      </c>
      <c r="BN284" s="43" t="s">
        <v>2090</v>
      </c>
      <c r="BO284" s="43" t="s">
        <v>2090</v>
      </c>
      <c r="BP284" s="43" t="s">
        <v>2090</v>
      </c>
      <c r="BQ284" s="43" t="s">
        <v>2090</v>
      </c>
      <c r="BR284" s="43" t="s">
        <v>2090</v>
      </c>
      <c r="BS284" s="43" t="s">
        <v>2090</v>
      </c>
      <c r="BT284" s="43" t="s">
        <v>2090</v>
      </c>
      <c r="BU284" s="43" t="s">
        <v>2090</v>
      </c>
      <c r="BV284" s="43" t="s">
        <v>2090</v>
      </c>
      <c r="BW284" s="43" t="s">
        <v>2090</v>
      </c>
    </row>
    <row r="285" spans="1:75" ht="236.45" customHeight="1" x14ac:dyDescent="0.25">
      <c r="A285" s="38" t="s">
        <v>1314</v>
      </c>
      <c r="B285" s="38" t="s">
        <v>1861</v>
      </c>
      <c r="C285" s="45" t="s">
        <v>526</v>
      </c>
      <c r="D285" s="46" t="s">
        <v>1315</v>
      </c>
      <c r="E285" s="41">
        <v>246219.13458000001</v>
      </c>
      <c r="F285" s="41">
        <v>2248176.7800699999</v>
      </c>
      <c r="G285" s="41">
        <v>40934.199999999997</v>
      </c>
      <c r="H285" s="41">
        <v>43646.6</v>
      </c>
      <c r="I285" s="42">
        <v>0.88963771825058302</v>
      </c>
      <c r="J285" s="41">
        <v>248733.58254</v>
      </c>
      <c r="K285" s="41">
        <v>1177328.6027500001</v>
      </c>
      <c r="L285" s="41">
        <v>101713.7</v>
      </c>
      <c r="M285" s="41">
        <v>154813</v>
      </c>
      <c r="N285" s="42">
        <v>0.63420375317651656</v>
      </c>
      <c r="O285" s="41">
        <v>0</v>
      </c>
      <c r="P285" s="41">
        <v>101634.56736</v>
      </c>
      <c r="Q285" s="41">
        <v>28587.3</v>
      </c>
      <c r="R285" s="41">
        <v>154928.4</v>
      </c>
      <c r="S285" s="42">
        <v>0.17875975359342916</v>
      </c>
      <c r="T285" s="41">
        <v>289984.19569999998</v>
      </c>
      <c r="U285" s="41">
        <v>2616994.2042</v>
      </c>
      <c r="V285" s="41">
        <v>94343.2</v>
      </c>
      <c r="W285" s="41">
        <v>74488.899999999994</v>
      </c>
      <c r="X285" s="42">
        <v>1.1767970186658856</v>
      </c>
      <c r="Y285" s="43">
        <v>2</v>
      </c>
      <c r="Z285" s="43" t="s">
        <v>2090</v>
      </c>
      <c r="AA285" s="43" t="s">
        <v>2090</v>
      </c>
      <c r="AB285" s="43" t="s">
        <v>2090</v>
      </c>
      <c r="AC285" s="43" t="s">
        <v>2090</v>
      </c>
      <c r="AD285" s="43">
        <v>0</v>
      </c>
      <c r="AE285" s="43">
        <v>0</v>
      </c>
      <c r="AF285" s="43">
        <v>0</v>
      </c>
      <c r="AG285" s="43">
        <v>0</v>
      </c>
      <c r="AH285" s="43">
        <v>0</v>
      </c>
      <c r="AI285" s="43">
        <v>1</v>
      </c>
      <c r="AJ285" s="43">
        <v>0</v>
      </c>
      <c r="AK285" s="43">
        <v>1</v>
      </c>
      <c r="AL285" s="43">
        <v>0</v>
      </c>
      <c r="AM285" s="43">
        <v>0</v>
      </c>
      <c r="AN285" s="43">
        <v>0</v>
      </c>
      <c r="AO285" s="43">
        <v>0</v>
      </c>
      <c r="AP285" s="43">
        <v>0</v>
      </c>
      <c r="AQ285" s="43">
        <v>0</v>
      </c>
      <c r="AR285" s="43">
        <v>0</v>
      </c>
      <c r="AS285" s="43">
        <v>0</v>
      </c>
      <c r="AT285" s="43">
        <v>0</v>
      </c>
      <c r="AU285" s="43">
        <v>0</v>
      </c>
      <c r="AV285" s="43">
        <v>0</v>
      </c>
      <c r="AW285" s="43">
        <v>0</v>
      </c>
      <c r="AX285" s="43">
        <v>0</v>
      </c>
      <c r="AY285" s="43">
        <v>0</v>
      </c>
      <c r="AZ285" s="43">
        <v>0</v>
      </c>
      <c r="BA285" s="43">
        <v>0</v>
      </c>
      <c r="BB285" s="43">
        <v>0</v>
      </c>
      <c r="BC285" s="43">
        <v>0</v>
      </c>
      <c r="BD285" s="43">
        <v>0</v>
      </c>
      <c r="BE285" s="43">
        <v>0</v>
      </c>
      <c r="BF285" s="43">
        <v>0</v>
      </c>
      <c r="BG285" s="43">
        <v>0</v>
      </c>
      <c r="BH285" s="43">
        <v>0</v>
      </c>
      <c r="BI285" s="43">
        <v>0</v>
      </c>
      <c r="BJ285" s="43" t="s">
        <v>2090</v>
      </c>
      <c r="BK285" s="43" t="s">
        <v>2091</v>
      </c>
      <c r="BL285" s="43" t="s">
        <v>2090</v>
      </c>
      <c r="BM285" s="43" t="s">
        <v>2090</v>
      </c>
      <c r="BN285" s="43" t="s">
        <v>2090</v>
      </c>
      <c r="BO285" s="43" t="s">
        <v>2090</v>
      </c>
      <c r="BP285" s="43" t="s">
        <v>2090</v>
      </c>
      <c r="BQ285" s="43" t="s">
        <v>2090</v>
      </c>
      <c r="BR285" s="43" t="s">
        <v>2090</v>
      </c>
      <c r="BS285" s="43" t="s">
        <v>2090</v>
      </c>
      <c r="BT285" s="43" t="s">
        <v>2090</v>
      </c>
      <c r="BU285" s="43" t="s">
        <v>2091</v>
      </c>
      <c r="BV285" s="43" t="s">
        <v>2090</v>
      </c>
      <c r="BW285" s="43" t="s">
        <v>2090</v>
      </c>
    </row>
    <row r="286" spans="1:75" ht="144.19999999999999" customHeight="1" x14ac:dyDescent="0.25">
      <c r="A286" s="38" t="s">
        <v>1316</v>
      </c>
      <c r="B286" s="38" t="s">
        <v>1862</v>
      </c>
      <c r="C286" s="39" t="s">
        <v>1317</v>
      </c>
      <c r="D286" s="40" t="s">
        <v>1318</v>
      </c>
      <c r="E286" s="41">
        <v>59183.297530000003</v>
      </c>
      <c r="F286" s="41">
        <v>2772129.7768700002</v>
      </c>
      <c r="G286" s="41">
        <v>103607.2</v>
      </c>
      <c r="H286" s="41">
        <v>89389</v>
      </c>
      <c r="I286" s="42">
        <v>1.1153598160971097</v>
      </c>
      <c r="J286" s="41">
        <v>1789.4764600000001</v>
      </c>
      <c r="K286" s="41">
        <v>325544.09756000002</v>
      </c>
      <c r="L286" s="41">
        <v>53092.3</v>
      </c>
      <c r="M286" s="41">
        <v>225978.5</v>
      </c>
      <c r="N286" s="42">
        <v>0.22509789152456011</v>
      </c>
      <c r="O286" s="41">
        <v>0</v>
      </c>
      <c r="P286" s="41">
        <v>7218.3274000000001</v>
      </c>
      <c r="Q286" s="41">
        <v>92500.2</v>
      </c>
      <c r="R286" s="41">
        <v>238152.8</v>
      </c>
      <c r="S286" s="42">
        <v>0.36482156952777961</v>
      </c>
      <c r="T286" s="41">
        <v>27607.275130000002</v>
      </c>
      <c r="U286" s="41">
        <v>1937128.9259599999</v>
      </c>
      <c r="V286" s="41">
        <v>77007.8</v>
      </c>
      <c r="W286" s="41">
        <v>126934.2</v>
      </c>
      <c r="X286" s="42">
        <v>0.56307843118410816</v>
      </c>
      <c r="Y286" s="43">
        <v>2</v>
      </c>
      <c r="Z286" s="43" t="s">
        <v>2090</v>
      </c>
      <c r="AA286" s="43" t="s">
        <v>2091</v>
      </c>
      <c r="AB286" s="43" t="s">
        <v>2090</v>
      </c>
      <c r="AC286" s="43" t="s">
        <v>2090</v>
      </c>
      <c r="AD286" s="43">
        <v>0</v>
      </c>
      <c r="AE286" s="43">
        <v>0</v>
      </c>
      <c r="AF286" s="43">
        <v>0</v>
      </c>
      <c r="AG286" s="43">
        <v>0</v>
      </c>
      <c r="AH286" s="43">
        <v>0</v>
      </c>
      <c r="AI286" s="43">
        <v>0</v>
      </c>
      <c r="AJ286" s="43">
        <v>0</v>
      </c>
      <c r="AK286" s="43">
        <v>1</v>
      </c>
      <c r="AL286" s="43">
        <v>0</v>
      </c>
      <c r="AM286" s="43">
        <v>0</v>
      </c>
      <c r="AN286" s="43">
        <v>0</v>
      </c>
      <c r="AO286" s="43">
        <v>0</v>
      </c>
      <c r="AP286" s="43">
        <v>0</v>
      </c>
      <c r="AQ286" s="43">
        <v>0</v>
      </c>
      <c r="AR286" s="43">
        <v>0</v>
      </c>
      <c r="AS286" s="43">
        <v>0</v>
      </c>
      <c r="AT286" s="43">
        <v>0</v>
      </c>
      <c r="AU286" s="43">
        <v>0</v>
      </c>
      <c r="AV286" s="43">
        <v>0</v>
      </c>
      <c r="AW286" s="43">
        <v>0</v>
      </c>
      <c r="AX286" s="43">
        <v>0</v>
      </c>
      <c r="AY286" s="43">
        <v>0</v>
      </c>
      <c r="AZ286" s="43">
        <v>0</v>
      </c>
      <c r="BA286" s="43">
        <v>0</v>
      </c>
      <c r="BB286" s="43">
        <v>0</v>
      </c>
      <c r="BC286" s="43">
        <v>0</v>
      </c>
      <c r="BD286" s="43">
        <v>0</v>
      </c>
      <c r="BE286" s="43">
        <v>0</v>
      </c>
      <c r="BF286" s="43">
        <v>0</v>
      </c>
      <c r="BG286" s="43">
        <v>0</v>
      </c>
      <c r="BH286" s="43">
        <v>0</v>
      </c>
      <c r="BI286" s="43">
        <v>0</v>
      </c>
      <c r="BJ286" s="43" t="s">
        <v>2091</v>
      </c>
      <c r="BK286" s="43" t="s">
        <v>2090</v>
      </c>
      <c r="BL286" s="43" t="s">
        <v>2090</v>
      </c>
      <c r="BM286" s="43" t="s">
        <v>2090</v>
      </c>
      <c r="BN286" s="43" t="s">
        <v>2090</v>
      </c>
      <c r="BO286" s="43" t="s">
        <v>2090</v>
      </c>
      <c r="BP286" s="43" t="s">
        <v>2090</v>
      </c>
      <c r="BQ286" s="43" t="s">
        <v>2090</v>
      </c>
      <c r="BR286" s="43" t="s">
        <v>2091</v>
      </c>
      <c r="BS286" s="43" t="s">
        <v>2090</v>
      </c>
      <c r="BT286" s="43" t="s">
        <v>2091</v>
      </c>
      <c r="BU286" s="43" t="s">
        <v>2090</v>
      </c>
      <c r="BV286" s="43" t="s">
        <v>2090</v>
      </c>
      <c r="BW286" s="43" t="s">
        <v>2090</v>
      </c>
    </row>
    <row r="287" spans="1:75" ht="126.95" customHeight="1" x14ac:dyDescent="0.25">
      <c r="A287" s="38" t="s">
        <v>1319</v>
      </c>
      <c r="B287" s="38" t="s">
        <v>1863</v>
      </c>
      <c r="C287" s="39" t="s">
        <v>1320</v>
      </c>
      <c r="D287" s="40" t="s">
        <v>1321</v>
      </c>
      <c r="E287" s="41">
        <v>65151.954169999997</v>
      </c>
      <c r="F287" s="41">
        <v>2883787.5655800002</v>
      </c>
      <c r="G287" s="41">
        <v>106710.8</v>
      </c>
      <c r="H287" s="41">
        <v>74296.5</v>
      </c>
      <c r="I287" s="42">
        <v>1.3948185130211848</v>
      </c>
      <c r="J287" s="41">
        <v>31212.11896</v>
      </c>
      <c r="K287" s="41">
        <v>2010150.7077899999</v>
      </c>
      <c r="L287" s="41">
        <v>124833.2</v>
      </c>
      <c r="M287" s="41">
        <v>156260.20000000001</v>
      </c>
      <c r="N287" s="42">
        <v>0.74925273738171583</v>
      </c>
      <c r="O287" s="41">
        <v>4042.0888100000002</v>
      </c>
      <c r="P287" s="41">
        <v>544352.42286000005</v>
      </c>
      <c r="Q287" s="41">
        <v>35143.800000000003</v>
      </c>
      <c r="R287" s="41">
        <v>110786.8</v>
      </c>
      <c r="S287" s="42">
        <v>0.30155417406749557</v>
      </c>
      <c r="T287" s="41">
        <v>55713.148410000002</v>
      </c>
      <c r="U287" s="41">
        <v>2731070.1800600002</v>
      </c>
      <c r="V287" s="41">
        <v>95603.7</v>
      </c>
      <c r="W287" s="41">
        <v>86983</v>
      </c>
      <c r="X287" s="42">
        <v>0.90037524832609805</v>
      </c>
      <c r="Y287" s="43">
        <v>2</v>
      </c>
      <c r="Z287" s="43" t="s">
        <v>2090</v>
      </c>
      <c r="AA287" s="43" t="s">
        <v>2091</v>
      </c>
      <c r="AB287" s="43" t="s">
        <v>2090</v>
      </c>
      <c r="AC287" s="43" t="s">
        <v>2090</v>
      </c>
      <c r="AD287" s="43">
        <v>0</v>
      </c>
      <c r="AE287" s="43">
        <v>0</v>
      </c>
      <c r="AF287" s="43">
        <v>0</v>
      </c>
      <c r="AG287" s="43">
        <v>0</v>
      </c>
      <c r="AH287" s="43">
        <v>0</v>
      </c>
      <c r="AI287" s="43">
        <v>0</v>
      </c>
      <c r="AJ287" s="43">
        <v>0</v>
      </c>
      <c r="AK287" s="43">
        <v>1</v>
      </c>
      <c r="AL287" s="43">
        <v>0</v>
      </c>
      <c r="AM287" s="43">
        <v>0</v>
      </c>
      <c r="AN287" s="43">
        <v>0</v>
      </c>
      <c r="AO287" s="43">
        <v>0</v>
      </c>
      <c r="AP287" s="43">
        <v>0</v>
      </c>
      <c r="AQ287" s="43">
        <v>0</v>
      </c>
      <c r="AR287" s="43">
        <v>0</v>
      </c>
      <c r="AS287" s="43">
        <v>0</v>
      </c>
      <c r="AT287" s="43">
        <v>0</v>
      </c>
      <c r="AU287" s="43">
        <v>0</v>
      </c>
      <c r="AV287" s="43">
        <v>0</v>
      </c>
      <c r="AW287" s="43">
        <v>0</v>
      </c>
      <c r="AX287" s="43">
        <v>0</v>
      </c>
      <c r="AY287" s="43">
        <v>0</v>
      </c>
      <c r="AZ287" s="43">
        <v>0</v>
      </c>
      <c r="BA287" s="43">
        <v>0</v>
      </c>
      <c r="BB287" s="43">
        <v>0</v>
      </c>
      <c r="BC287" s="43">
        <v>0</v>
      </c>
      <c r="BD287" s="43">
        <v>0</v>
      </c>
      <c r="BE287" s="43">
        <v>0</v>
      </c>
      <c r="BF287" s="43">
        <v>0</v>
      </c>
      <c r="BG287" s="43">
        <v>0</v>
      </c>
      <c r="BH287" s="43">
        <v>0</v>
      </c>
      <c r="BI287" s="43">
        <v>0</v>
      </c>
      <c r="BJ287" s="43" t="s">
        <v>2090</v>
      </c>
      <c r="BK287" s="43" t="s">
        <v>2091</v>
      </c>
      <c r="BL287" s="43" t="s">
        <v>2090</v>
      </c>
      <c r="BM287" s="43" t="s">
        <v>2090</v>
      </c>
      <c r="BN287" s="43" t="s">
        <v>2090</v>
      </c>
      <c r="BO287" s="43" t="s">
        <v>2090</v>
      </c>
      <c r="BP287" s="43" t="s">
        <v>2090</v>
      </c>
      <c r="BQ287" s="43" t="s">
        <v>2090</v>
      </c>
      <c r="BR287" s="43" t="s">
        <v>2091</v>
      </c>
      <c r="BS287" s="43" t="s">
        <v>2091</v>
      </c>
      <c r="BT287" s="43" t="s">
        <v>2090</v>
      </c>
      <c r="BU287" s="43" t="s">
        <v>2090</v>
      </c>
      <c r="BV287" s="43" t="s">
        <v>2090</v>
      </c>
      <c r="BW287" s="43" t="s">
        <v>2090</v>
      </c>
    </row>
    <row r="288" spans="1:75" ht="173.45" customHeight="1" x14ac:dyDescent="0.25">
      <c r="A288" s="38" t="s">
        <v>1322</v>
      </c>
      <c r="B288" s="38" t="s">
        <v>1864</v>
      </c>
      <c r="C288" s="39" t="s">
        <v>1323</v>
      </c>
      <c r="D288" s="40" t="s">
        <v>1324</v>
      </c>
      <c r="E288" s="41">
        <v>51635.27781</v>
      </c>
      <c r="F288" s="41">
        <v>2666856.8451200002</v>
      </c>
      <c r="G288" s="41">
        <v>306130.7</v>
      </c>
      <c r="H288" s="41">
        <v>265506.90000000002</v>
      </c>
      <c r="I288" s="42">
        <v>1.1245878722944418</v>
      </c>
      <c r="J288" s="41">
        <v>11025.9403</v>
      </c>
      <c r="K288" s="41">
        <v>1171554.67062</v>
      </c>
      <c r="L288" s="41">
        <v>121850.4</v>
      </c>
      <c r="M288" s="41">
        <v>271090</v>
      </c>
      <c r="N288" s="42">
        <v>0.42521772744843894</v>
      </c>
      <c r="O288" s="41">
        <v>0</v>
      </c>
      <c r="P288" s="41">
        <v>9891.3623900000002</v>
      </c>
      <c r="Q288" s="41">
        <v>31569.599999999999</v>
      </c>
      <c r="R288" s="41">
        <v>343955.5</v>
      </c>
      <c r="S288" s="42">
        <v>8.7285061073782283E-2</v>
      </c>
      <c r="T288" s="41">
        <v>18504.35109</v>
      </c>
      <c r="U288" s="41">
        <v>1636088.99789</v>
      </c>
      <c r="V288" s="41">
        <v>33031.199999999997</v>
      </c>
      <c r="W288" s="41">
        <v>75443.399999999994</v>
      </c>
      <c r="X288" s="42">
        <v>0.41382775434897207</v>
      </c>
      <c r="Y288" s="43">
        <v>2</v>
      </c>
      <c r="Z288" s="43" t="s">
        <v>2090</v>
      </c>
      <c r="AA288" s="43" t="s">
        <v>2091</v>
      </c>
      <c r="AB288" s="43" t="s">
        <v>2090</v>
      </c>
      <c r="AC288" s="43" t="s">
        <v>2090</v>
      </c>
      <c r="AD288" s="43">
        <v>0</v>
      </c>
      <c r="AE288" s="43">
        <v>0</v>
      </c>
      <c r="AF288" s="43">
        <v>0</v>
      </c>
      <c r="AG288" s="43">
        <v>0</v>
      </c>
      <c r="AH288" s="43">
        <v>0</v>
      </c>
      <c r="AI288" s="43">
        <v>0</v>
      </c>
      <c r="AJ288" s="43">
        <v>0</v>
      </c>
      <c r="AK288" s="43">
        <v>1</v>
      </c>
      <c r="AL288" s="43">
        <v>0</v>
      </c>
      <c r="AM288" s="43">
        <v>0</v>
      </c>
      <c r="AN288" s="43">
        <v>0</v>
      </c>
      <c r="AO288" s="43">
        <v>0</v>
      </c>
      <c r="AP288" s="43">
        <v>0</v>
      </c>
      <c r="AQ288" s="43">
        <v>0</v>
      </c>
      <c r="AR288" s="43">
        <v>0</v>
      </c>
      <c r="AS288" s="43">
        <v>0</v>
      </c>
      <c r="AT288" s="43">
        <v>0</v>
      </c>
      <c r="AU288" s="43">
        <v>0</v>
      </c>
      <c r="AV288" s="43">
        <v>0</v>
      </c>
      <c r="AW288" s="43">
        <v>0</v>
      </c>
      <c r="AX288" s="43">
        <v>0</v>
      </c>
      <c r="AY288" s="43">
        <v>0</v>
      </c>
      <c r="AZ288" s="43">
        <v>0</v>
      </c>
      <c r="BA288" s="43">
        <v>0</v>
      </c>
      <c r="BB288" s="43">
        <v>0</v>
      </c>
      <c r="BC288" s="43">
        <v>0</v>
      </c>
      <c r="BD288" s="43">
        <v>0</v>
      </c>
      <c r="BE288" s="43">
        <v>0</v>
      </c>
      <c r="BF288" s="43">
        <v>0</v>
      </c>
      <c r="BG288" s="43">
        <v>0</v>
      </c>
      <c r="BH288" s="43">
        <v>0</v>
      </c>
      <c r="BI288" s="43">
        <v>0</v>
      </c>
      <c r="BJ288" s="43" t="s">
        <v>2091</v>
      </c>
      <c r="BK288" s="43" t="s">
        <v>2090</v>
      </c>
      <c r="BL288" s="43" t="s">
        <v>2090</v>
      </c>
      <c r="BM288" s="43" t="s">
        <v>2090</v>
      </c>
      <c r="BN288" s="43" t="s">
        <v>2090</v>
      </c>
      <c r="BO288" s="43" t="s">
        <v>2090</v>
      </c>
      <c r="BP288" s="43" t="s">
        <v>2090</v>
      </c>
      <c r="BQ288" s="43" t="s">
        <v>2090</v>
      </c>
      <c r="BR288" s="43" t="s">
        <v>2091</v>
      </c>
      <c r="BS288" s="43" t="s">
        <v>2091</v>
      </c>
      <c r="BT288" s="43" t="s">
        <v>2090</v>
      </c>
      <c r="BU288" s="43" t="s">
        <v>2090</v>
      </c>
      <c r="BV288" s="43" t="s">
        <v>2090</v>
      </c>
      <c r="BW288" s="43" t="s">
        <v>2090</v>
      </c>
    </row>
    <row r="289" spans="1:75" ht="227.45" customHeight="1" x14ac:dyDescent="0.25">
      <c r="A289" s="38" t="s">
        <v>1325</v>
      </c>
      <c r="B289" s="38" t="s">
        <v>1865</v>
      </c>
      <c r="C289" s="45" t="s">
        <v>583</v>
      </c>
      <c r="D289" s="46" t="s">
        <v>1326</v>
      </c>
      <c r="E289" s="41">
        <v>56881.851979999999</v>
      </c>
      <c r="F289" s="41">
        <v>2746607.89671</v>
      </c>
      <c r="G289" s="41">
        <v>200</v>
      </c>
      <c r="H289" s="41">
        <v>247.9</v>
      </c>
      <c r="I289" s="42">
        <v>0.64840182648401823</v>
      </c>
      <c r="J289" s="41">
        <v>0</v>
      </c>
      <c r="K289" s="41">
        <v>210935.15890000001</v>
      </c>
      <c r="L289" s="41">
        <v>5213.3</v>
      </c>
      <c r="M289" s="41">
        <v>19439.900000000001</v>
      </c>
      <c r="N289" s="42">
        <v>0.26916459567960238</v>
      </c>
      <c r="O289" s="41">
        <v>92303.270770000003</v>
      </c>
      <c r="P289" s="41">
        <v>3328120.3916500001</v>
      </c>
      <c r="Q289" s="41">
        <v>30878</v>
      </c>
      <c r="R289" s="41">
        <v>47250.6</v>
      </c>
      <c r="S289" s="42">
        <v>0.59331636218428674</v>
      </c>
      <c r="T289" s="41">
        <v>21647.968209999999</v>
      </c>
      <c r="U289" s="41">
        <v>1715107.26844</v>
      </c>
      <c r="V289" s="41">
        <v>2211</v>
      </c>
      <c r="W289" s="41">
        <v>2727.6</v>
      </c>
      <c r="X289" s="42">
        <v>0.59978843441466845</v>
      </c>
      <c r="Y289" s="43">
        <v>3</v>
      </c>
      <c r="Z289" s="43" t="s">
        <v>2090</v>
      </c>
      <c r="AA289" s="43" t="s">
        <v>2090</v>
      </c>
      <c r="AB289" s="43" t="s">
        <v>2090</v>
      </c>
      <c r="AC289" s="43" t="s">
        <v>2090</v>
      </c>
      <c r="AD289" s="43">
        <v>0</v>
      </c>
      <c r="AE289" s="43">
        <v>0</v>
      </c>
      <c r="AF289" s="43">
        <v>0</v>
      </c>
      <c r="AG289" s="43">
        <v>0</v>
      </c>
      <c r="AH289" s="43">
        <v>0</v>
      </c>
      <c r="AI289" s="43">
        <v>0</v>
      </c>
      <c r="AJ289" s="43">
        <v>0</v>
      </c>
      <c r="AK289" s="43">
        <v>1</v>
      </c>
      <c r="AL289" s="43">
        <v>0</v>
      </c>
      <c r="AM289" s="43">
        <v>0</v>
      </c>
      <c r="AN289" s="43">
        <v>1</v>
      </c>
      <c r="AO289" s="43">
        <v>0</v>
      </c>
      <c r="AP289" s="43">
        <v>0</v>
      </c>
      <c r="AQ289" s="43">
        <v>0</v>
      </c>
      <c r="AR289" s="43">
        <v>1</v>
      </c>
      <c r="AS289" s="43">
        <v>0</v>
      </c>
      <c r="AT289" s="43">
        <v>0</v>
      </c>
      <c r="AU289" s="43">
        <v>0</v>
      </c>
      <c r="AV289" s="43">
        <v>0</v>
      </c>
      <c r="AW289" s="43">
        <v>0</v>
      </c>
      <c r="AX289" s="43">
        <v>0</v>
      </c>
      <c r="AY289" s="43">
        <v>0</v>
      </c>
      <c r="AZ289" s="43">
        <v>0</v>
      </c>
      <c r="BA289" s="43">
        <v>0</v>
      </c>
      <c r="BB289" s="43">
        <v>0</v>
      </c>
      <c r="BC289" s="43">
        <v>0</v>
      </c>
      <c r="BD289" s="43">
        <v>0</v>
      </c>
      <c r="BE289" s="43">
        <v>0</v>
      </c>
      <c r="BF289" s="43">
        <v>0</v>
      </c>
      <c r="BG289" s="43">
        <v>0</v>
      </c>
      <c r="BH289" s="43">
        <v>0</v>
      </c>
      <c r="BI289" s="43">
        <v>0</v>
      </c>
      <c r="BJ289" s="43" t="s">
        <v>2090</v>
      </c>
      <c r="BK289" s="43" t="s">
        <v>2091</v>
      </c>
      <c r="BL289" s="43" t="s">
        <v>2090</v>
      </c>
      <c r="BM289" s="43" t="s">
        <v>2090</v>
      </c>
      <c r="BN289" s="43" t="s">
        <v>2090</v>
      </c>
      <c r="BO289" s="43" t="s">
        <v>2090</v>
      </c>
      <c r="BP289" s="43" t="s">
        <v>2090</v>
      </c>
      <c r="BQ289" s="43" t="s">
        <v>2090</v>
      </c>
      <c r="BR289" s="43" t="s">
        <v>2090</v>
      </c>
      <c r="BS289" s="43" t="s">
        <v>2090</v>
      </c>
      <c r="BT289" s="43" t="s">
        <v>2090</v>
      </c>
      <c r="BU289" s="43" t="s">
        <v>2090</v>
      </c>
      <c r="BV289" s="43" t="s">
        <v>2090</v>
      </c>
      <c r="BW289" s="43" t="s">
        <v>2090</v>
      </c>
    </row>
    <row r="290" spans="1:75" ht="120.95" customHeight="1" x14ac:dyDescent="0.25">
      <c r="A290" s="38" t="s">
        <v>1327</v>
      </c>
      <c r="B290" s="38" t="s">
        <v>1866</v>
      </c>
      <c r="C290" s="39" t="s">
        <v>1328</v>
      </c>
      <c r="D290" s="40" t="s">
        <v>1329</v>
      </c>
      <c r="E290" s="41">
        <v>49297.59001</v>
      </c>
      <c r="F290" s="41">
        <v>2611687.6934799999</v>
      </c>
      <c r="G290" s="41">
        <v>117771.6</v>
      </c>
      <c r="H290" s="41">
        <v>103054</v>
      </c>
      <c r="I290" s="42">
        <v>1.0859052749065852</v>
      </c>
      <c r="J290" s="41">
        <v>59862.983690000001</v>
      </c>
      <c r="K290" s="41">
        <v>2684643.8708600001</v>
      </c>
      <c r="L290" s="41">
        <v>10581.8</v>
      </c>
      <c r="M290" s="41">
        <v>8513.4</v>
      </c>
      <c r="N290" s="42">
        <v>1.1272059861640549</v>
      </c>
      <c r="O290" s="41">
        <v>2776.63643</v>
      </c>
      <c r="P290" s="41">
        <v>365091.92472000001</v>
      </c>
      <c r="Q290" s="41">
        <v>38584.5</v>
      </c>
      <c r="R290" s="41">
        <v>99472.2</v>
      </c>
      <c r="S290" s="42">
        <v>0.37523564477505478</v>
      </c>
      <c r="T290" s="41">
        <v>56290.003040000003</v>
      </c>
      <c r="U290" s="41">
        <v>2727215.7787000001</v>
      </c>
      <c r="V290" s="41">
        <v>7619.4</v>
      </c>
      <c r="W290" s="41">
        <v>5531.1</v>
      </c>
      <c r="X290" s="42">
        <v>1.1897676314716674</v>
      </c>
      <c r="Y290" s="43">
        <v>2</v>
      </c>
      <c r="Z290" s="43" t="s">
        <v>2090</v>
      </c>
      <c r="AA290" s="43" t="s">
        <v>2091</v>
      </c>
      <c r="AB290" s="43" t="s">
        <v>2090</v>
      </c>
      <c r="AC290" s="43" t="s">
        <v>2090</v>
      </c>
      <c r="AD290" s="43">
        <v>0</v>
      </c>
      <c r="AE290" s="43">
        <v>0</v>
      </c>
      <c r="AF290" s="43">
        <v>0</v>
      </c>
      <c r="AG290" s="43">
        <v>0</v>
      </c>
      <c r="AH290" s="43">
        <v>0</v>
      </c>
      <c r="AI290" s="43">
        <v>0</v>
      </c>
      <c r="AJ290" s="43">
        <v>0</v>
      </c>
      <c r="AK290" s="43">
        <v>1</v>
      </c>
      <c r="AL290" s="43">
        <v>0</v>
      </c>
      <c r="AM290" s="43">
        <v>0</v>
      </c>
      <c r="AN290" s="43">
        <v>0</v>
      </c>
      <c r="AO290" s="43">
        <v>0</v>
      </c>
      <c r="AP290" s="43">
        <v>0</v>
      </c>
      <c r="AQ290" s="43">
        <v>0</v>
      </c>
      <c r="AR290" s="43">
        <v>0</v>
      </c>
      <c r="AS290" s="43">
        <v>0</v>
      </c>
      <c r="AT290" s="43">
        <v>0</v>
      </c>
      <c r="AU290" s="43">
        <v>0</v>
      </c>
      <c r="AV290" s="43">
        <v>0</v>
      </c>
      <c r="AW290" s="43">
        <v>0</v>
      </c>
      <c r="AX290" s="43">
        <v>0</v>
      </c>
      <c r="AY290" s="43">
        <v>0</v>
      </c>
      <c r="AZ290" s="43">
        <v>0</v>
      </c>
      <c r="BA290" s="43">
        <v>0</v>
      </c>
      <c r="BB290" s="43">
        <v>0</v>
      </c>
      <c r="BC290" s="43">
        <v>0</v>
      </c>
      <c r="BD290" s="43">
        <v>0</v>
      </c>
      <c r="BE290" s="43">
        <v>0</v>
      </c>
      <c r="BF290" s="43">
        <v>0</v>
      </c>
      <c r="BG290" s="43">
        <v>0</v>
      </c>
      <c r="BH290" s="43">
        <v>0</v>
      </c>
      <c r="BI290" s="43">
        <v>0</v>
      </c>
      <c r="BJ290" s="43" t="s">
        <v>2091</v>
      </c>
      <c r="BK290" s="43" t="s">
        <v>2090</v>
      </c>
      <c r="BL290" s="43" t="s">
        <v>2090</v>
      </c>
      <c r="BM290" s="43" t="s">
        <v>2090</v>
      </c>
      <c r="BN290" s="43" t="s">
        <v>2090</v>
      </c>
      <c r="BO290" s="43" t="s">
        <v>2090</v>
      </c>
      <c r="BP290" s="43" t="s">
        <v>2090</v>
      </c>
      <c r="BQ290" s="43" t="s">
        <v>2090</v>
      </c>
      <c r="BR290" s="43" t="s">
        <v>2091</v>
      </c>
      <c r="BS290" s="43" t="s">
        <v>2091</v>
      </c>
      <c r="BT290" s="43" t="s">
        <v>2090</v>
      </c>
      <c r="BU290" s="43" t="s">
        <v>2090</v>
      </c>
      <c r="BV290" s="43" t="s">
        <v>2090</v>
      </c>
      <c r="BW290" s="43" t="s">
        <v>2090</v>
      </c>
    </row>
    <row r="291" spans="1:75" ht="177.2" customHeight="1" x14ac:dyDescent="0.25">
      <c r="A291" s="38" t="s">
        <v>1330</v>
      </c>
      <c r="B291" s="38" t="s">
        <v>1867</v>
      </c>
      <c r="C291" s="39" t="s">
        <v>1331</v>
      </c>
      <c r="D291" s="40" t="s">
        <v>1332</v>
      </c>
      <c r="E291" s="41">
        <v>50384.99108</v>
      </c>
      <c r="F291" s="41">
        <v>2534777.5853499998</v>
      </c>
      <c r="G291" s="41">
        <v>265757.09999999998</v>
      </c>
      <c r="H291" s="41">
        <v>227316.5</v>
      </c>
      <c r="I291" s="42">
        <v>1.1228325104525663</v>
      </c>
      <c r="J291" s="41">
        <v>58209.777750000001</v>
      </c>
      <c r="K291" s="41">
        <v>2607715.4229700002</v>
      </c>
      <c r="L291" s="41">
        <v>35901</v>
      </c>
      <c r="M291" s="41">
        <v>26533.1</v>
      </c>
      <c r="N291" s="42">
        <v>1.1875545470413686</v>
      </c>
      <c r="O291" s="41">
        <v>10146.27735</v>
      </c>
      <c r="P291" s="41">
        <v>1379839.1682899999</v>
      </c>
      <c r="Q291" s="41">
        <v>123619.4</v>
      </c>
      <c r="R291" s="41">
        <v>161410.9</v>
      </c>
      <c r="S291" s="42">
        <v>0.7370194351068351</v>
      </c>
      <c r="T291" s="41">
        <v>52705.117720000002</v>
      </c>
      <c r="U291" s="41">
        <v>2633786.77415</v>
      </c>
      <c r="V291" s="41">
        <v>73861.8</v>
      </c>
      <c r="W291" s="41">
        <v>66903.199999999997</v>
      </c>
      <c r="X291" s="42">
        <v>0.98053633217993075</v>
      </c>
      <c r="Y291" s="43">
        <v>2</v>
      </c>
      <c r="Z291" s="43" t="s">
        <v>2090</v>
      </c>
      <c r="AA291" s="43" t="s">
        <v>2091</v>
      </c>
      <c r="AB291" s="43" t="s">
        <v>2090</v>
      </c>
      <c r="AC291" s="43" t="s">
        <v>2090</v>
      </c>
      <c r="AD291" s="43">
        <v>0</v>
      </c>
      <c r="AE291" s="43">
        <v>0</v>
      </c>
      <c r="AF291" s="43">
        <v>0</v>
      </c>
      <c r="AG291" s="43">
        <v>0</v>
      </c>
      <c r="AH291" s="43">
        <v>0</v>
      </c>
      <c r="AI291" s="43">
        <v>0</v>
      </c>
      <c r="AJ291" s="43">
        <v>0</v>
      </c>
      <c r="AK291" s="43">
        <v>1</v>
      </c>
      <c r="AL291" s="43">
        <v>0</v>
      </c>
      <c r="AM291" s="43">
        <v>0</v>
      </c>
      <c r="AN291" s="43">
        <v>0</v>
      </c>
      <c r="AO291" s="43">
        <v>0</v>
      </c>
      <c r="AP291" s="43">
        <v>0</v>
      </c>
      <c r="AQ291" s="43">
        <v>0</v>
      </c>
      <c r="AR291" s="43">
        <v>0</v>
      </c>
      <c r="AS291" s="43">
        <v>0</v>
      </c>
      <c r="AT291" s="43">
        <v>0</v>
      </c>
      <c r="AU291" s="43">
        <v>0</v>
      </c>
      <c r="AV291" s="43">
        <v>0</v>
      </c>
      <c r="AW291" s="43">
        <v>0</v>
      </c>
      <c r="AX291" s="43">
        <v>0</v>
      </c>
      <c r="AY291" s="43">
        <v>0</v>
      </c>
      <c r="AZ291" s="43">
        <v>0</v>
      </c>
      <c r="BA291" s="43">
        <v>0</v>
      </c>
      <c r="BB291" s="43">
        <v>0</v>
      </c>
      <c r="BC291" s="43">
        <v>0</v>
      </c>
      <c r="BD291" s="43">
        <v>0</v>
      </c>
      <c r="BE291" s="43">
        <v>0</v>
      </c>
      <c r="BF291" s="43">
        <v>0</v>
      </c>
      <c r="BG291" s="43">
        <v>0</v>
      </c>
      <c r="BH291" s="43">
        <v>0</v>
      </c>
      <c r="BI291" s="43">
        <v>0</v>
      </c>
      <c r="BJ291" s="43" t="s">
        <v>2091</v>
      </c>
      <c r="BK291" s="43" t="s">
        <v>2090</v>
      </c>
      <c r="BL291" s="43" t="s">
        <v>2090</v>
      </c>
      <c r="BM291" s="43" t="s">
        <v>2090</v>
      </c>
      <c r="BN291" s="43" t="s">
        <v>2090</v>
      </c>
      <c r="BO291" s="43" t="s">
        <v>2090</v>
      </c>
      <c r="BP291" s="43" t="s">
        <v>2090</v>
      </c>
      <c r="BQ291" s="43" t="s">
        <v>2090</v>
      </c>
      <c r="BR291" s="43" t="s">
        <v>2091</v>
      </c>
      <c r="BS291" s="43" t="s">
        <v>2091</v>
      </c>
      <c r="BT291" s="43" t="s">
        <v>2090</v>
      </c>
      <c r="BU291" s="43" t="s">
        <v>2090</v>
      </c>
      <c r="BV291" s="43" t="s">
        <v>2090</v>
      </c>
      <c r="BW291" s="43" t="s">
        <v>2090</v>
      </c>
    </row>
    <row r="292" spans="1:75" ht="138.94999999999999" customHeight="1" x14ac:dyDescent="0.25">
      <c r="A292" s="38" t="s">
        <v>1333</v>
      </c>
      <c r="B292" s="38" t="s">
        <v>1868</v>
      </c>
      <c r="C292" s="45" t="s">
        <v>499</v>
      </c>
      <c r="D292" s="46" t="s">
        <v>1334</v>
      </c>
      <c r="E292" s="41">
        <v>61501.520949999998</v>
      </c>
      <c r="F292" s="41">
        <v>2860200.0528600002</v>
      </c>
      <c r="G292" s="41">
        <v>295744.3</v>
      </c>
      <c r="H292" s="41">
        <v>243236.5</v>
      </c>
      <c r="I292" s="42">
        <v>1.1981159006565802</v>
      </c>
      <c r="J292" s="41">
        <v>82088.07015</v>
      </c>
      <c r="K292" s="41">
        <v>2977320.0180100002</v>
      </c>
      <c r="L292" s="41">
        <v>124580</v>
      </c>
      <c r="M292" s="41">
        <v>70549.899999999994</v>
      </c>
      <c r="N292" s="42">
        <v>1.5990965842765064</v>
      </c>
      <c r="O292" s="41">
        <v>74134.47004</v>
      </c>
      <c r="P292" s="41">
        <v>3121633.1451699999</v>
      </c>
      <c r="Q292" s="41">
        <v>126534.3</v>
      </c>
      <c r="R292" s="41">
        <v>143368.5</v>
      </c>
      <c r="S292" s="42">
        <v>0.85350785980793931</v>
      </c>
      <c r="T292" s="41">
        <v>86859.249599999996</v>
      </c>
      <c r="U292" s="41">
        <v>3264557.55761</v>
      </c>
      <c r="V292" s="41">
        <v>149954.6</v>
      </c>
      <c r="W292" s="41">
        <v>82192.600000000006</v>
      </c>
      <c r="X292" s="42">
        <v>1.4465483936559578</v>
      </c>
      <c r="Y292" s="43">
        <v>2</v>
      </c>
      <c r="Z292" s="43" t="s">
        <v>2090</v>
      </c>
      <c r="AA292" s="43" t="s">
        <v>2090</v>
      </c>
      <c r="AB292" s="43" t="s">
        <v>2090</v>
      </c>
      <c r="AC292" s="43" t="s">
        <v>2090</v>
      </c>
      <c r="AD292" s="43">
        <v>0</v>
      </c>
      <c r="AE292" s="43">
        <v>1</v>
      </c>
      <c r="AF292" s="43">
        <v>0</v>
      </c>
      <c r="AG292" s="43">
        <v>0</v>
      </c>
      <c r="AH292" s="43">
        <v>0</v>
      </c>
      <c r="AI292" s="43">
        <v>1</v>
      </c>
      <c r="AJ292" s="43">
        <v>0</v>
      </c>
      <c r="AK292" s="43">
        <v>0</v>
      </c>
      <c r="AL292" s="43">
        <v>0</v>
      </c>
      <c r="AM292" s="43">
        <v>0</v>
      </c>
      <c r="AN292" s="43">
        <v>0</v>
      </c>
      <c r="AO292" s="43">
        <v>0</v>
      </c>
      <c r="AP292" s="43">
        <v>0</v>
      </c>
      <c r="AQ292" s="43">
        <v>0</v>
      </c>
      <c r="AR292" s="43">
        <v>0</v>
      </c>
      <c r="AS292" s="43">
        <v>0</v>
      </c>
      <c r="AT292" s="43">
        <v>0</v>
      </c>
      <c r="AU292" s="43">
        <v>0</v>
      </c>
      <c r="AV292" s="43">
        <v>0</v>
      </c>
      <c r="AW292" s="43">
        <v>0</v>
      </c>
      <c r="AX292" s="43">
        <v>0</v>
      </c>
      <c r="AY292" s="43">
        <v>0</v>
      </c>
      <c r="AZ292" s="43">
        <v>0</v>
      </c>
      <c r="BA292" s="43">
        <v>0</v>
      </c>
      <c r="BB292" s="43">
        <v>0</v>
      </c>
      <c r="BC292" s="43">
        <v>0</v>
      </c>
      <c r="BD292" s="43">
        <v>0</v>
      </c>
      <c r="BE292" s="43">
        <v>0</v>
      </c>
      <c r="BF292" s="43">
        <v>0</v>
      </c>
      <c r="BG292" s="43">
        <v>0</v>
      </c>
      <c r="BH292" s="43">
        <v>0</v>
      </c>
      <c r="BI292" s="43">
        <v>0</v>
      </c>
      <c r="BJ292" s="43" t="s">
        <v>2090</v>
      </c>
      <c r="BK292" s="43" t="s">
        <v>2090</v>
      </c>
      <c r="BL292" s="43" t="s">
        <v>2090</v>
      </c>
      <c r="BM292" s="43" t="s">
        <v>2090</v>
      </c>
      <c r="BN292" s="43" t="s">
        <v>2090</v>
      </c>
      <c r="BO292" s="43" t="s">
        <v>2090</v>
      </c>
      <c r="BP292" s="43" t="s">
        <v>2090</v>
      </c>
      <c r="BQ292" s="43" t="s">
        <v>2090</v>
      </c>
      <c r="BR292" s="43" t="s">
        <v>2090</v>
      </c>
      <c r="BS292" s="43" t="s">
        <v>2090</v>
      </c>
      <c r="BT292" s="43" t="s">
        <v>2090</v>
      </c>
      <c r="BU292" s="43" t="s">
        <v>2090</v>
      </c>
      <c r="BV292" s="43" t="s">
        <v>2091</v>
      </c>
      <c r="BW292" s="43" t="s">
        <v>2090</v>
      </c>
    </row>
    <row r="293" spans="1:75" ht="121.7" customHeight="1" x14ac:dyDescent="0.25">
      <c r="A293" s="38" t="s">
        <v>1335</v>
      </c>
      <c r="B293" s="38" t="s">
        <v>1869</v>
      </c>
      <c r="C293" s="45" t="s">
        <v>577</v>
      </c>
      <c r="D293" s="46" t="s">
        <v>1336</v>
      </c>
      <c r="E293" s="41">
        <v>64580.251730000004</v>
      </c>
      <c r="F293" s="41">
        <v>2891084.6216500001</v>
      </c>
      <c r="G293" s="41">
        <v>436467.3</v>
      </c>
      <c r="H293" s="41">
        <v>360976</v>
      </c>
      <c r="I293" s="42">
        <v>1.1811075917032798</v>
      </c>
      <c r="J293" s="41">
        <v>55012.10254</v>
      </c>
      <c r="K293" s="41">
        <v>2553970.2441500002</v>
      </c>
      <c r="L293" s="41">
        <v>345120.3</v>
      </c>
      <c r="M293" s="41">
        <v>325437.8</v>
      </c>
      <c r="N293" s="42">
        <v>1.0189963711919463</v>
      </c>
      <c r="O293" s="41">
        <v>10607.04673</v>
      </c>
      <c r="P293" s="41">
        <v>1282702.93438</v>
      </c>
      <c r="Q293" s="41">
        <v>43349.5</v>
      </c>
      <c r="R293" s="41">
        <v>76394.7</v>
      </c>
      <c r="S293" s="42">
        <v>0.54598530460599426</v>
      </c>
      <c r="T293" s="41">
        <v>39203.319560000004</v>
      </c>
      <c r="U293" s="41">
        <v>2305006.9408200001</v>
      </c>
      <c r="V293" s="41">
        <v>163277.70000000001</v>
      </c>
      <c r="W293" s="41">
        <v>167329.79999999999</v>
      </c>
      <c r="X293" s="42">
        <v>0.91842085934630913</v>
      </c>
      <c r="Y293" s="43">
        <v>2</v>
      </c>
      <c r="Z293" s="43" t="s">
        <v>2091</v>
      </c>
      <c r="AA293" s="43" t="s">
        <v>2090</v>
      </c>
      <c r="AB293" s="43" t="s">
        <v>2090</v>
      </c>
      <c r="AC293" s="43" t="s">
        <v>2090</v>
      </c>
      <c r="AD293" s="43">
        <v>0</v>
      </c>
      <c r="AE293" s="43">
        <v>0</v>
      </c>
      <c r="AF293" s="43">
        <v>0</v>
      </c>
      <c r="AG293" s="43">
        <v>1</v>
      </c>
      <c r="AH293" s="43">
        <v>0</v>
      </c>
      <c r="AI293" s="43">
        <v>0</v>
      </c>
      <c r="AJ293" s="43">
        <v>0</v>
      </c>
      <c r="AK293" s="43">
        <v>0</v>
      </c>
      <c r="AL293" s="43">
        <v>0</v>
      </c>
      <c r="AM293" s="43">
        <v>0</v>
      </c>
      <c r="AN293" s="43">
        <v>0</v>
      </c>
      <c r="AO293" s="43">
        <v>0</v>
      </c>
      <c r="AP293" s="43">
        <v>0</v>
      </c>
      <c r="AQ293" s="43">
        <v>0</v>
      </c>
      <c r="AR293" s="43">
        <v>0</v>
      </c>
      <c r="AS293" s="43">
        <v>0</v>
      </c>
      <c r="AT293" s="43">
        <v>0</v>
      </c>
      <c r="AU293" s="43">
        <v>0</v>
      </c>
      <c r="AV293" s="43">
        <v>0</v>
      </c>
      <c r="AW293" s="43">
        <v>0</v>
      </c>
      <c r="AX293" s="43">
        <v>0</v>
      </c>
      <c r="AY293" s="43">
        <v>0</v>
      </c>
      <c r="AZ293" s="43">
        <v>0</v>
      </c>
      <c r="BA293" s="43">
        <v>0</v>
      </c>
      <c r="BB293" s="43">
        <v>0</v>
      </c>
      <c r="BC293" s="43">
        <v>0</v>
      </c>
      <c r="BD293" s="43">
        <v>0</v>
      </c>
      <c r="BE293" s="43">
        <v>0</v>
      </c>
      <c r="BF293" s="43">
        <v>0</v>
      </c>
      <c r="BG293" s="43">
        <v>0</v>
      </c>
      <c r="BH293" s="43">
        <v>0</v>
      </c>
      <c r="BI293" s="43">
        <v>0</v>
      </c>
      <c r="BJ293" s="43" t="s">
        <v>2090</v>
      </c>
      <c r="BK293" s="43" t="s">
        <v>2090</v>
      </c>
      <c r="BL293" s="43" t="s">
        <v>2090</v>
      </c>
      <c r="BM293" s="43" t="s">
        <v>2090</v>
      </c>
      <c r="BN293" s="43" t="s">
        <v>2090</v>
      </c>
      <c r="BO293" s="43" t="s">
        <v>2090</v>
      </c>
      <c r="BP293" s="43" t="s">
        <v>2090</v>
      </c>
      <c r="BQ293" s="43" t="s">
        <v>2090</v>
      </c>
      <c r="BR293" s="43" t="s">
        <v>2090</v>
      </c>
      <c r="BS293" s="43" t="s">
        <v>2090</v>
      </c>
      <c r="BT293" s="43" t="s">
        <v>2090</v>
      </c>
      <c r="BU293" s="43" t="s">
        <v>2090</v>
      </c>
      <c r="BV293" s="43" t="s">
        <v>2090</v>
      </c>
      <c r="BW293" s="43" t="s">
        <v>2090</v>
      </c>
    </row>
    <row r="294" spans="1:75" ht="135.94999999999999" customHeight="1" x14ac:dyDescent="0.25">
      <c r="A294" s="38" t="s">
        <v>1337</v>
      </c>
      <c r="B294" s="38" t="s">
        <v>1870</v>
      </c>
      <c r="C294" s="39" t="s">
        <v>1338</v>
      </c>
      <c r="D294" s="40" t="s">
        <v>1339</v>
      </c>
      <c r="E294" s="41">
        <v>62178.621959999997</v>
      </c>
      <c r="F294" s="41">
        <v>2921480.90289</v>
      </c>
      <c r="G294" s="41">
        <v>289550</v>
      </c>
      <c r="H294" s="41">
        <v>228480.6</v>
      </c>
      <c r="I294" s="42">
        <v>1.2245246627375344</v>
      </c>
      <c r="J294" s="41">
        <v>45096.695959999997</v>
      </c>
      <c r="K294" s="41">
        <v>2278546.2374800001</v>
      </c>
      <c r="L294" s="41">
        <v>137584.6</v>
      </c>
      <c r="M294" s="41">
        <v>123781.5</v>
      </c>
      <c r="N294" s="42">
        <v>1.0640919716266324</v>
      </c>
      <c r="O294" s="41">
        <v>3615.29484</v>
      </c>
      <c r="P294" s="41">
        <v>500832.52292999998</v>
      </c>
      <c r="Q294" s="41">
        <v>47423.3</v>
      </c>
      <c r="R294" s="41">
        <v>108925.6</v>
      </c>
      <c r="S294" s="42">
        <v>0.4053041571634769</v>
      </c>
      <c r="T294" s="41">
        <v>49358.997109999997</v>
      </c>
      <c r="U294" s="41">
        <v>2510448.9099599998</v>
      </c>
      <c r="V294" s="41">
        <v>87748.800000000003</v>
      </c>
      <c r="W294" s="41">
        <v>93189.9</v>
      </c>
      <c r="X294" s="42">
        <v>0.86685253947655816</v>
      </c>
      <c r="Y294" s="43">
        <v>2</v>
      </c>
      <c r="Z294" s="43" t="s">
        <v>2090</v>
      </c>
      <c r="AA294" s="43" t="s">
        <v>2091</v>
      </c>
      <c r="AB294" s="43" t="s">
        <v>2090</v>
      </c>
      <c r="AC294" s="43" t="s">
        <v>2090</v>
      </c>
      <c r="AD294" s="43">
        <v>0</v>
      </c>
      <c r="AE294" s="43">
        <v>0</v>
      </c>
      <c r="AF294" s="43">
        <v>0</v>
      </c>
      <c r="AG294" s="43">
        <v>0</v>
      </c>
      <c r="AH294" s="43">
        <v>0</v>
      </c>
      <c r="AI294" s="43">
        <v>0</v>
      </c>
      <c r="AJ294" s="43">
        <v>0</v>
      </c>
      <c r="AK294" s="43">
        <v>1</v>
      </c>
      <c r="AL294" s="43">
        <v>0</v>
      </c>
      <c r="AM294" s="43">
        <v>0</v>
      </c>
      <c r="AN294" s="43">
        <v>0</v>
      </c>
      <c r="AO294" s="43">
        <v>0</v>
      </c>
      <c r="AP294" s="43">
        <v>0</v>
      </c>
      <c r="AQ294" s="43">
        <v>0</v>
      </c>
      <c r="AR294" s="43">
        <v>0</v>
      </c>
      <c r="AS294" s="43">
        <v>0</v>
      </c>
      <c r="AT294" s="43">
        <v>0</v>
      </c>
      <c r="AU294" s="43">
        <v>0</v>
      </c>
      <c r="AV294" s="43">
        <v>0</v>
      </c>
      <c r="AW294" s="43">
        <v>0</v>
      </c>
      <c r="AX294" s="43">
        <v>0</v>
      </c>
      <c r="AY294" s="43">
        <v>0</v>
      </c>
      <c r="AZ294" s="43">
        <v>0</v>
      </c>
      <c r="BA294" s="43">
        <v>0</v>
      </c>
      <c r="BB294" s="43">
        <v>0</v>
      </c>
      <c r="BC294" s="43">
        <v>0</v>
      </c>
      <c r="BD294" s="43">
        <v>0</v>
      </c>
      <c r="BE294" s="43">
        <v>0</v>
      </c>
      <c r="BF294" s="43">
        <v>0</v>
      </c>
      <c r="BG294" s="43">
        <v>0</v>
      </c>
      <c r="BH294" s="43">
        <v>0</v>
      </c>
      <c r="BI294" s="43">
        <v>0</v>
      </c>
      <c r="BJ294" s="43" t="s">
        <v>2090</v>
      </c>
      <c r="BK294" s="43" t="s">
        <v>2091</v>
      </c>
      <c r="BL294" s="43" t="s">
        <v>2090</v>
      </c>
      <c r="BM294" s="43" t="s">
        <v>2090</v>
      </c>
      <c r="BN294" s="43" t="s">
        <v>2090</v>
      </c>
      <c r="BO294" s="43" t="s">
        <v>2090</v>
      </c>
      <c r="BP294" s="43" t="s">
        <v>2090</v>
      </c>
      <c r="BQ294" s="43" t="s">
        <v>2090</v>
      </c>
      <c r="BR294" s="43" t="s">
        <v>2091</v>
      </c>
      <c r="BS294" s="43" t="s">
        <v>2090</v>
      </c>
      <c r="BT294" s="43" t="s">
        <v>2091</v>
      </c>
      <c r="BU294" s="43" t="s">
        <v>2090</v>
      </c>
      <c r="BV294" s="43" t="s">
        <v>2090</v>
      </c>
      <c r="BW294" s="43" t="s">
        <v>2090</v>
      </c>
    </row>
    <row r="295" spans="1:75" ht="111.95" customHeight="1" x14ac:dyDescent="0.25">
      <c r="A295" s="38" t="s">
        <v>1340</v>
      </c>
      <c r="B295" s="38" t="s">
        <v>1871</v>
      </c>
      <c r="C295" s="39" t="s">
        <v>1341</v>
      </c>
      <c r="D295" s="40" t="s">
        <v>1342</v>
      </c>
      <c r="E295" s="41">
        <v>59140.42067</v>
      </c>
      <c r="F295" s="41">
        <v>2828372.3456299999</v>
      </c>
      <c r="G295" s="41">
        <v>81417.100000000006</v>
      </c>
      <c r="H295" s="41">
        <v>70292.2</v>
      </c>
      <c r="I295" s="42">
        <v>1.1201762272972486</v>
      </c>
      <c r="J295" s="41">
        <v>11948.366309999999</v>
      </c>
      <c r="K295" s="41">
        <v>10242.891019999999</v>
      </c>
      <c r="L295" s="41">
        <v>61324.2</v>
      </c>
      <c r="M295" s="41">
        <v>168407.6</v>
      </c>
      <c r="N295" s="42">
        <v>0.34920788974661432</v>
      </c>
      <c r="O295" s="41">
        <v>3449.6024499999999</v>
      </c>
      <c r="P295" s="41">
        <v>408219.66554999998</v>
      </c>
      <c r="Q295" s="41">
        <v>76461.5</v>
      </c>
      <c r="R295" s="41">
        <v>241261.1</v>
      </c>
      <c r="S295" s="42">
        <v>0.29029708422995726</v>
      </c>
      <c r="T295" s="41">
        <v>12213.052739999999</v>
      </c>
      <c r="U295" s="41">
        <v>17267.479589999999</v>
      </c>
      <c r="V295" s="41">
        <v>121698</v>
      </c>
      <c r="W295" s="41">
        <v>264365.7</v>
      </c>
      <c r="X295" s="42">
        <v>0.44084338760688768</v>
      </c>
      <c r="Y295" s="43">
        <v>2</v>
      </c>
      <c r="Z295" s="43" t="s">
        <v>2090</v>
      </c>
      <c r="AA295" s="43" t="s">
        <v>2091</v>
      </c>
      <c r="AB295" s="43" t="s">
        <v>2090</v>
      </c>
      <c r="AC295" s="43" t="s">
        <v>2090</v>
      </c>
      <c r="AD295" s="43">
        <v>0</v>
      </c>
      <c r="AE295" s="43">
        <v>0</v>
      </c>
      <c r="AF295" s="43">
        <v>0</v>
      </c>
      <c r="AG295" s="43">
        <v>0</v>
      </c>
      <c r="AH295" s="43">
        <v>0</v>
      </c>
      <c r="AI295" s="43">
        <v>0</v>
      </c>
      <c r="AJ295" s="43">
        <v>0</v>
      </c>
      <c r="AK295" s="43">
        <v>1</v>
      </c>
      <c r="AL295" s="43">
        <v>0</v>
      </c>
      <c r="AM295" s="43">
        <v>0</v>
      </c>
      <c r="AN295" s="43">
        <v>0</v>
      </c>
      <c r="AO295" s="43">
        <v>0</v>
      </c>
      <c r="AP295" s="43">
        <v>0</v>
      </c>
      <c r="AQ295" s="43">
        <v>0</v>
      </c>
      <c r="AR295" s="43">
        <v>0</v>
      </c>
      <c r="AS295" s="43">
        <v>0</v>
      </c>
      <c r="AT295" s="43">
        <v>0</v>
      </c>
      <c r="AU295" s="43">
        <v>0</v>
      </c>
      <c r="AV295" s="43">
        <v>0</v>
      </c>
      <c r="AW295" s="43">
        <v>0</v>
      </c>
      <c r="AX295" s="43">
        <v>0</v>
      </c>
      <c r="AY295" s="43">
        <v>0</v>
      </c>
      <c r="AZ295" s="43">
        <v>0</v>
      </c>
      <c r="BA295" s="43">
        <v>0</v>
      </c>
      <c r="BB295" s="43">
        <v>0</v>
      </c>
      <c r="BC295" s="43">
        <v>0</v>
      </c>
      <c r="BD295" s="43">
        <v>0</v>
      </c>
      <c r="BE295" s="43">
        <v>0</v>
      </c>
      <c r="BF295" s="43">
        <v>0</v>
      </c>
      <c r="BG295" s="43">
        <v>0</v>
      </c>
      <c r="BH295" s="43">
        <v>0</v>
      </c>
      <c r="BI295" s="43">
        <v>0</v>
      </c>
      <c r="BJ295" s="43" t="s">
        <v>2091</v>
      </c>
      <c r="BK295" s="43" t="s">
        <v>2090</v>
      </c>
      <c r="BL295" s="43" t="s">
        <v>2090</v>
      </c>
      <c r="BM295" s="43" t="s">
        <v>2090</v>
      </c>
      <c r="BN295" s="43" t="s">
        <v>2090</v>
      </c>
      <c r="BO295" s="43" t="s">
        <v>2090</v>
      </c>
      <c r="BP295" s="43" t="s">
        <v>2090</v>
      </c>
      <c r="BQ295" s="43" t="s">
        <v>2090</v>
      </c>
      <c r="BR295" s="43" t="s">
        <v>2091</v>
      </c>
      <c r="BS295" s="43" t="s">
        <v>2090</v>
      </c>
      <c r="BT295" s="43" t="s">
        <v>2091</v>
      </c>
      <c r="BU295" s="43" t="s">
        <v>2090</v>
      </c>
      <c r="BV295" s="43" t="s">
        <v>2090</v>
      </c>
      <c r="BW295" s="43" t="s">
        <v>2090</v>
      </c>
    </row>
    <row r="296" spans="1:75" ht="114.95" customHeight="1" x14ac:dyDescent="0.25">
      <c r="A296" s="38" t="s">
        <v>1343</v>
      </c>
      <c r="B296" s="38" t="s">
        <v>1872</v>
      </c>
      <c r="C296" s="39" t="s">
        <v>1344</v>
      </c>
      <c r="D296" s="40" t="s">
        <v>1345</v>
      </c>
      <c r="E296" s="41">
        <v>2317.7699899999998</v>
      </c>
      <c r="F296" s="41">
        <v>435343.79418000003</v>
      </c>
      <c r="G296" s="41">
        <v>16801.400000000001</v>
      </c>
      <c r="H296" s="41">
        <v>68644</v>
      </c>
      <c r="I296" s="42">
        <v>0.23469912566432366</v>
      </c>
      <c r="J296" s="41">
        <v>0</v>
      </c>
      <c r="K296" s="41">
        <v>19194.199229999998</v>
      </c>
      <c r="L296" s="41">
        <v>36252.400000000001</v>
      </c>
      <c r="M296" s="41">
        <v>158703.29999999999</v>
      </c>
      <c r="N296" s="42">
        <v>0.22016789288051197</v>
      </c>
      <c r="O296" s="41">
        <v>0</v>
      </c>
      <c r="P296" s="41">
        <v>104075.77204</v>
      </c>
      <c r="Q296" s="41">
        <v>19967.7</v>
      </c>
      <c r="R296" s="41">
        <v>71021.600000000006</v>
      </c>
      <c r="S296" s="42">
        <v>0.25758892868319483</v>
      </c>
      <c r="T296" s="41">
        <v>5210.5879699999996</v>
      </c>
      <c r="U296" s="41">
        <v>757353.09152999998</v>
      </c>
      <c r="V296" s="41">
        <v>12346.2</v>
      </c>
      <c r="W296" s="41">
        <v>42264.7</v>
      </c>
      <c r="X296" s="42">
        <v>0.28649969456322544</v>
      </c>
      <c r="Y296" s="43">
        <v>2</v>
      </c>
      <c r="Z296" s="43" t="s">
        <v>2090</v>
      </c>
      <c r="AA296" s="43" t="s">
        <v>2091</v>
      </c>
      <c r="AB296" s="43" t="s">
        <v>2090</v>
      </c>
      <c r="AC296" s="43" t="s">
        <v>2090</v>
      </c>
      <c r="AD296" s="43">
        <v>0</v>
      </c>
      <c r="AE296" s="43">
        <v>0</v>
      </c>
      <c r="AF296" s="43">
        <v>0</v>
      </c>
      <c r="AG296" s="43">
        <v>0</v>
      </c>
      <c r="AH296" s="43">
        <v>0</v>
      </c>
      <c r="AI296" s="43">
        <v>0</v>
      </c>
      <c r="AJ296" s="43">
        <v>0</v>
      </c>
      <c r="AK296" s="43">
        <v>1</v>
      </c>
      <c r="AL296" s="43">
        <v>0</v>
      </c>
      <c r="AM296" s="43">
        <v>0</v>
      </c>
      <c r="AN296" s="43">
        <v>0</v>
      </c>
      <c r="AO296" s="43">
        <v>0</v>
      </c>
      <c r="AP296" s="43">
        <v>0</v>
      </c>
      <c r="AQ296" s="43">
        <v>0</v>
      </c>
      <c r="AR296" s="43">
        <v>0</v>
      </c>
      <c r="AS296" s="43">
        <v>0</v>
      </c>
      <c r="AT296" s="43">
        <v>0</v>
      </c>
      <c r="AU296" s="43">
        <v>0</v>
      </c>
      <c r="AV296" s="43">
        <v>0</v>
      </c>
      <c r="AW296" s="43">
        <v>0</v>
      </c>
      <c r="AX296" s="43">
        <v>0</v>
      </c>
      <c r="AY296" s="43">
        <v>0</v>
      </c>
      <c r="AZ296" s="43">
        <v>0</v>
      </c>
      <c r="BA296" s="43">
        <v>0</v>
      </c>
      <c r="BB296" s="43">
        <v>0</v>
      </c>
      <c r="BC296" s="43">
        <v>0</v>
      </c>
      <c r="BD296" s="43">
        <v>0</v>
      </c>
      <c r="BE296" s="43">
        <v>0</v>
      </c>
      <c r="BF296" s="43">
        <v>0</v>
      </c>
      <c r="BG296" s="43">
        <v>0</v>
      </c>
      <c r="BH296" s="43">
        <v>0</v>
      </c>
      <c r="BI296" s="43">
        <v>0</v>
      </c>
      <c r="BJ296" s="43" t="s">
        <v>2091</v>
      </c>
      <c r="BK296" s="43" t="s">
        <v>2090</v>
      </c>
      <c r="BL296" s="43" t="s">
        <v>2090</v>
      </c>
      <c r="BM296" s="43" t="s">
        <v>2090</v>
      </c>
      <c r="BN296" s="43" t="s">
        <v>2090</v>
      </c>
      <c r="BO296" s="43" t="s">
        <v>2091</v>
      </c>
      <c r="BP296" s="43" t="s">
        <v>2090</v>
      </c>
      <c r="BQ296" s="43" t="s">
        <v>2091</v>
      </c>
      <c r="BR296" s="43" t="s">
        <v>2090</v>
      </c>
      <c r="BS296" s="43" t="s">
        <v>2090</v>
      </c>
      <c r="BT296" s="43" t="s">
        <v>2090</v>
      </c>
      <c r="BU296" s="43" t="s">
        <v>2090</v>
      </c>
      <c r="BV296" s="43" t="s">
        <v>2090</v>
      </c>
      <c r="BW296" s="43" t="s">
        <v>2090</v>
      </c>
    </row>
    <row r="297" spans="1:75" ht="114.2" customHeight="1" x14ac:dyDescent="0.25">
      <c r="A297" s="38" t="s">
        <v>1346</v>
      </c>
      <c r="B297" s="38" t="s">
        <v>1873</v>
      </c>
      <c r="C297" s="45" t="s">
        <v>487</v>
      </c>
      <c r="D297" s="46" t="s">
        <v>1347</v>
      </c>
      <c r="E297" s="41">
        <v>61099.636420000003</v>
      </c>
      <c r="F297" s="41">
        <v>2840395.03217</v>
      </c>
      <c r="G297" s="41">
        <v>302176.8</v>
      </c>
      <c r="H297" s="41">
        <v>260000.5</v>
      </c>
      <c r="I297" s="42">
        <v>1.1378100151570936</v>
      </c>
      <c r="J297" s="41">
        <v>23965.61536</v>
      </c>
      <c r="K297" s="41">
        <v>1746339.4044999999</v>
      </c>
      <c r="L297" s="41">
        <v>154636.5</v>
      </c>
      <c r="M297" s="41">
        <v>188235.3</v>
      </c>
      <c r="N297" s="42">
        <v>0.79709130657921923</v>
      </c>
      <c r="O297" s="41">
        <v>14359.47604</v>
      </c>
      <c r="P297" s="41">
        <v>1491557.9079100001</v>
      </c>
      <c r="Q297" s="41">
        <v>124593.2</v>
      </c>
      <c r="R297" s="41">
        <v>177609.4</v>
      </c>
      <c r="S297" s="42">
        <v>0.66947641321792573</v>
      </c>
      <c r="T297" s="41">
        <v>53058.774980000002</v>
      </c>
      <c r="U297" s="41">
        <v>2652265.2244799999</v>
      </c>
      <c r="V297" s="41">
        <v>99612.6</v>
      </c>
      <c r="W297" s="41">
        <v>83444.3</v>
      </c>
      <c r="X297" s="42">
        <v>1.0307945368010896</v>
      </c>
      <c r="Y297" s="43">
        <v>2</v>
      </c>
      <c r="Z297" s="43" t="s">
        <v>2090</v>
      </c>
      <c r="AA297" s="43" t="s">
        <v>2090</v>
      </c>
      <c r="AB297" s="43" t="s">
        <v>2090</v>
      </c>
      <c r="AC297" s="43" t="s">
        <v>2090</v>
      </c>
      <c r="AD297" s="43">
        <v>0</v>
      </c>
      <c r="AE297" s="43">
        <v>0</v>
      </c>
      <c r="AF297" s="43">
        <v>0</v>
      </c>
      <c r="AG297" s="43">
        <v>0</v>
      </c>
      <c r="AH297" s="43">
        <v>0</v>
      </c>
      <c r="AI297" s="43">
        <v>1</v>
      </c>
      <c r="AJ297" s="43">
        <v>0</v>
      </c>
      <c r="AK297" s="43">
        <v>0</v>
      </c>
      <c r="AL297" s="43">
        <v>0</v>
      </c>
      <c r="AM297" s="43">
        <v>0</v>
      </c>
      <c r="AN297" s="43">
        <v>0</v>
      </c>
      <c r="AO297" s="43">
        <v>0</v>
      </c>
      <c r="AP297" s="43">
        <v>0</v>
      </c>
      <c r="AQ297" s="43">
        <v>0</v>
      </c>
      <c r="AR297" s="43">
        <v>0</v>
      </c>
      <c r="AS297" s="43">
        <v>1</v>
      </c>
      <c r="AT297" s="43">
        <v>0</v>
      </c>
      <c r="AU297" s="43">
        <v>0</v>
      </c>
      <c r="AV297" s="43">
        <v>0</v>
      </c>
      <c r="AW297" s="43">
        <v>0</v>
      </c>
      <c r="AX297" s="43">
        <v>0</v>
      </c>
      <c r="AY297" s="43">
        <v>0</v>
      </c>
      <c r="AZ297" s="43">
        <v>0</v>
      </c>
      <c r="BA297" s="43">
        <v>0</v>
      </c>
      <c r="BB297" s="43">
        <v>0</v>
      </c>
      <c r="BC297" s="43">
        <v>0</v>
      </c>
      <c r="BD297" s="43">
        <v>0</v>
      </c>
      <c r="BE297" s="43">
        <v>0</v>
      </c>
      <c r="BF297" s="43">
        <v>0</v>
      </c>
      <c r="BG297" s="43">
        <v>0</v>
      </c>
      <c r="BH297" s="43">
        <v>0</v>
      </c>
      <c r="BI297" s="43">
        <v>0</v>
      </c>
      <c r="BJ297" s="43" t="s">
        <v>2090</v>
      </c>
      <c r="BK297" s="43" t="s">
        <v>2090</v>
      </c>
      <c r="BL297" s="43" t="s">
        <v>2090</v>
      </c>
      <c r="BM297" s="43" t="s">
        <v>2090</v>
      </c>
      <c r="BN297" s="43" t="s">
        <v>2090</v>
      </c>
      <c r="BO297" s="43" t="s">
        <v>2090</v>
      </c>
      <c r="BP297" s="43" t="s">
        <v>2090</v>
      </c>
      <c r="BQ297" s="43" t="s">
        <v>2090</v>
      </c>
      <c r="BR297" s="43" t="s">
        <v>2090</v>
      </c>
      <c r="BS297" s="43" t="s">
        <v>2090</v>
      </c>
      <c r="BT297" s="43" t="s">
        <v>2090</v>
      </c>
      <c r="BU297" s="43" t="s">
        <v>2090</v>
      </c>
      <c r="BV297" s="43" t="s">
        <v>2091</v>
      </c>
      <c r="BW297" s="43" t="s">
        <v>2090</v>
      </c>
    </row>
    <row r="298" spans="1:75" ht="134.44999999999999" customHeight="1" x14ac:dyDescent="0.25">
      <c r="A298" s="38" t="s">
        <v>1348</v>
      </c>
      <c r="B298" s="38" t="s">
        <v>1874</v>
      </c>
      <c r="C298" s="45" t="s">
        <v>472</v>
      </c>
      <c r="D298" s="46" t="s">
        <v>1349</v>
      </c>
      <c r="E298" s="41">
        <v>88098.084560000003</v>
      </c>
      <c r="F298" s="41">
        <v>3333552.1776800002</v>
      </c>
      <c r="G298" s="41">
        <v>96916.4</v>
      </c>
      <c r="H298" s="41">
        <v>92687.5</v>
      </c>
      <c r="I298" s="42">
        <v>0.99599122403098672</v>
      </c>
      <c r="J298" s="41">
        <v>22594.630939999999</v>
      </c>
      <c r="K298" s="41">
        <v>1761440.1143700001</v>
      </c>
      <c r="L298" s="41">
        <v>142462</v>
      </c>
      <c r="M298" s="41">
        <v>185463.5</v>
      </c>
      <c r="N298" s="42">
        <v>0.73570031777071621</v>
      </c>
      <c r="O298" s="41">
        <v>20982.588</v>
      </c>
      <c r="P298" s="41">
        <v>2007397.5852399999</v>
      </c>
      <c r="Q298" s="41">
        <v>45568.7</v>
      </c>
      <c r="R298" s="41">
        <v>81302.399999999994</v>
      </c>
      <c r="S298" s="42">
        <v>0.54571093576702479</v>
      </c>
      <c r="T298" s="41">
        <v>41578.598389999999</v>
      </c>
      <c r="U298" s="41">
        <v>2407444.4565699999</v>
      </c>
      <c r="V298" s="41">
        <v>86430.8</v>
      </c>
      <c r="W298" s="41">
        <v>95983.4</v>
      </c>
      <c r="X298" s="42">
        <v>0.83535171681324238</v>
      </c>
      <c r="Y298" s="43">
        <v>2</v>
      </c>
      <c r="Z298" s="43" t="s">
        <v>2090</v>
      </c>
      <c r="AA298" s="43" t="s">
        <v>2090</v>
      </c>
      <c r="AB298" s="43" t="s">
        <v>2090</v>
      </c>
      <c r="AC298" s="43" t="s">
        <v>2090</v>
      </c>
      <c r="AD298" s="43">
        <v>0</v>
      </c>
      <c r="AE298" s="43">
        <v>1</v>
      </c>
      <c r="AF298" s="43">
        <v>0</v>
      </c>
      <c r="AG298" s="43">
        <v>0</v>
      </c>
      <c r="AH298" s="43">
        <v>0</v>
      </c>
      <c r="AI298" s="43">
        <v>1</v>
      </c>
      <c r="AJ298" s="43">
        <v>0</v>
      </c>
      <c r="AK298" s="43">
        <v>0</v>
      </c>
      <c r="AL298" s="43">
        <v>0</v>
      </c>
      <c r="AM298" s="43">
        <v>0</v>
      </c>
      <c r="AN298" s="43">
        <v>0</v>
      </c>
      <c r="AO298" s="43">
        <v>0</v>
      </c>
      <c r="AP298" s="43">
        <v>0</v>
      </c>
      <c r="AQ298" s="43">
        <v>0</v>
      </c>
      <c r="AR298" s="43">
        <v>0</v>
      </c>
      <c r="AS298" s="43">
        <v>0</v>
      </c>
      <c r="AT298" s="43">
        <v>0</v>
      </c>
      <c r="AU298" s="43">
        <v>0</v>
      </c>
      <c r="AV298" s="43">
        <v>0</v>
      </c>
      <c r="AW298" s="43">
        <v>0</v>
      </c>
      <c r="AX298" s="43">
        <v>0</v>
      </c>
      <c r="AY298" s="43">
        <v>0</v>
      </c>
      <c r="AZ298" s="43">
        <v>0</v>
      </c>
      <c r="BA298" s="43">
        <v>0</v>
      </c>
      <c r="BB298" s="43">
        <v>0</v>
      </c>
      <c r="BC298" s="43">
        <v>0</v>
      </c>
      <c r="BD298" s="43">
        <v>0</v>
      </c>
      <c r="BE298" s="43">
        <v>0</v>
      </c>
      <c r="BF298" s="43">
        <v>0</v>
      </c>
      <c r="BG298" s="43">
        <v>0</v>
      </c>
      <c r="BH298" s="43">
        <v>0</v>
      </c>
      <c r="BI298" s="43">
        <v>0</v>
      </c>
      <c r="BJ298" s="43" t="s">
        <v>2090</v>
      </c>
      <c r="BK298" s="43" t="s">
        <v>2090</v>
      </c>
      <c r="BL298" s="43" t="s">
        <v>2090</v>
      </c>
      <c r="BM298" s="43" t="s">
        <v>2090</v>
      </c>
      <c r="BN298" s="43" t="s">
        <v>2090</v>
      </c>
      <c r="BO298" s="43" t="s">
        <v>2090</v>
      </c>
      <c r="BP298" s="43" t="s">
        <v>2090</v>
      </c>
      <c r="BQ298" s="43" t="s">
        <v>2090</v>
      </c>
      <c r="BR298" s="43" t="s">
        <v>2090</v>
      </c>
      <c r="BS298" s="43" t="s">
        <v>2090</v>
      </c>
      <c r="BT298" s="43" t="s">
        <v>2090</v>
      </c>
      <c r="BU298" s="43" t="s">
        <v>2090</v>
      </c>
      <c r="BV298" s="43" t="s">
        <v>2091</v>
      </c>
      <c r="BW298" s="43" t="s">
        <v>2090</v>
      </c>
    </row>
    <row r="299" spans="1:75" ht="172.7" customHeight="1" x14ac:dyDescent="0.25">
      <c r="A299" s="38" t="s">
        <v>1350</v>
      </c>
      <c r="B299" s="38" t="s">
        <v>1875</v>
      </c>
      <c r="C299" s="39" t="s">
        <v>1351</v>
      </c>
      <c r="D299" s="40" t="s">
        <v>1352</v>
      </c>
      <c r="E299" s="41">
        <v>26006.482739999999</v>
      </c>
      <c r="F299" s="41">
        <v>1235725.8110700001</v>
      </c>
      <c r="G299" s="41">
        <v>20642.8</v>
      </c>
      <c r="H299" s="41">
        <v>34739.800000000003</v>
      </c>
      <c r="I299" s="42">
        <v>0.57934941520467831</v>
      </c>
      <c r="J299" s="41">
        <v>0</v>
      </c>
      <c r="K299" s="41">
        <v>6397.57269</v>
      </c>
      <c r="L299" s="41">
        <v>9303.7999999999993</v>
      </c>
      <c r="M299" s="41">
        <v>25336.3</v>
      </c>
      <c r="N299" s="42">
        <v>0.36776732774483745</v>
      </c>
      <c r="O299" s="41">
        <v>2191.79052</v>
      </c>
      <c r="P299" s="41">
        <v>308336.30830999999</v>
      </c>
      <c r="Q299" s="41">
        <v>19255.8</v>
      </c>
      <c r="R299" s="41">
        <v>35145.4</v>
      </c>
      <c r="S299" s="42">
        <v>0.54356604940517339</v>
      </c>
      <c r="T299" s="41">
        <v>2560.3275800000001</v>
      </c>
      <c r="U299" s="41">
        <v>456741.72389000002</v>
      </c>
      <c r="V299" s="41">
        <v>4954.6000000000004</v>
      </c>
      <c r="W299" s="41">
        <v>18319.7</v>
      </c>
      <c r="X299" s="42">
        <v>0.27802101576182137</v>
      </c>
      <c r="Y299" s="43">
        <v>2</v>
      </c>
      <c r="Z299" s="43" t="s">
        <v>2090</v>
      </c>
      <c r="AA299" s="43" t="s">
        <v>2091</v>
      </c>
      <c r="AB299" s="43" t="s">
        <v>2090</v>
      </c>
      <c r="AC299" s="43" t="s">
        <v>2090</v>
      </c>
      <c r="AD299" s="43">
        <v>0</v>
      </c>
      <c r="AE299" s="43">
        <v>0</v>
      </c>
      <c r="AF299" s="43">
        <v>0</v>
      </c>
      <c r="AG299" s="43">
        <v>0</v>
      </c>
      <c r="AH299" s="43">
        <v>0</v>
      </c>
      <c r="AI299" s="43">
        <v>0</v>
      </c>
      <c r="AJ299" s="43">
        <v>0</v>
      </c>
      <c r="AK299" s="43">
        <v>1</v>
      </c>
      <c r="AL299" s="43">
        <v>0</v>
      </c>
      <c r="AM299" s="43">
        <v>0</v>
      </c>
      <c r="AN299" s="43">
        <v>0</v>
      </c>
      <c r="AO299" s="43">
        <v>0</v>
      </c>
      <c r="AP299" s="43">
        <v>0</v>
      </c>
      <c r="AQ299" s="43">
        <v>0</v>
      </c>
      <c r="AR299" s="43">
        <v>0</v>
      </c>
      <c r="AS299" s="43">
        <v>0</v>
      </c>
      <c r="AT299" s="43">
        <v>0</v>
      </c>
      <c r="AU299" s="43">
        <v>0</v>
      </c>
      <c r="AV299" s="43">
        <v>0</v>
      </c>
      <c r="AW299" s="43">
        <v>0</v>
      </c>
      <c r="AX299" s="43">
        <v>0</v>
      </c>
      <c r="AY299" s="43">
        <v>0</v>
      </c>
      <c r="AZ299" s="43">
        <v>0</v>
      </c>
      <c r="BA299" s="43">
        <v>0</v>
      </c>
      <c r="BB299" s="43">
        <v>0</v>
      </c>
      <c r="BC299" s="43">
        <v>0</v>
      </c>
      <c r="BD299" s="43">
        <v>0</v>
      </c>
      <c r="BE299" s="43">
        <v>0</v>
      </c>
      <c r="BF299" s="43">
        <v>0</v>
      </c>
      <c r="BG299" s="43">
        <v>0</v>
      </c>
      <c r="BH299" s="43">
        <v>0</v>
      </c>
      <c r="BI299" s="43">
        <v>0</v>
      </c>
      <c r="BJ299" s="43" t="s">
        <v>2091</v>
      </c>
      <c r="BK299" s="43" t="s">
        <v>2090</v>
      </c>
      <c r="BL299" s="43" t="s">
        <v>2090</v>
      </c>
      <c r="BM299" s="43" t="s">
        <v>2090</v>
      </c>
      <c r="BN299" s="43" t="s">
        <v>2090</v>
      </c>
      <c r="BO299" s="43" t="s">
        <v>2091</v>
      </c>
      <c r="BP299" s="43" t="s">
        <v>2090</v>
      </c>
      <c r="BQ299" s="43" t="s">
        <v>2091</v>
      </c>
      <c r="BR299" s="43" t="s">
        <v>2090</v>
      </c>
      <c r="BS299" s="43" t="s">
        <v>2090</v>
      </c>
      <c r="BT299" s="43" t="s">
        <v>2090</v>
      </c>
      <c r="BU299" s="43" t="s">
        <v>2090</v>
      </c>
      <c r="BV299" s="43" t="s">
        <v>2090</v>
      </c>
      <c r="BW299" s="43" t="s">
        <v>2090</v>
      </c>
    </row>
    <row r="300" spans="1:75" ht="112.7" customHeight="1" x14ac:dyDescent="0.25">
      <c r="A300" s="38" t="s">
        <v>1353</v>
      </c>
      <c r="B300" s="38" t="s">
        <v>1876</v>
      </c>
      <c r="C300" s="39" t="s">
        <v>1354</v>
      </c>
      <c r="D300" s="40" t="s">
        <v>1355</v>
      </c>
      <c r="E300" s="41">
        <v>88851.687059999997</v>
      </c>
      <c r="F300" s="41">
        <v>3290510.6313800002</v>
      </c>
      <c r="G300" s="41">
        <v>86329.8</v>
      </c>
      <c r="H300" s="41">
        <v>61353</v>
      </c>
      <c r="I300" s="42">
        <v>1.3814787671511748</v>
      </c>
      <c r="J300" s="41">
        <v>3805.4032999999999</v>
      </c>
      <c r="K300" s="41">
        <v>600853.55463999999</v>
      </c>
      <c r="L300" s="41">
        <v>61162</v>
      </c>
      <c r="M300" s="41">
        <v>101878.3</v>
      </c>
      <c r="N300" s="42">
        <v>0.60583566350265206</v>
      </c>
      <c r="O300" s="41">
        <v>67606.984949999998</v>
      </c>
      <c r="P300" s="41">
        <v>2980037.0186899998</v>
      </c>
      <c r="Q300" s="41">
        <v>20670</v>
      </c>
      <c r="R300" s="41">
        <v>12058.5</v>
      </c>
      <c r="S300" s="42">
        <v>1.6915433184970501</v>
      </c>
      <c r="T300" s="41">
        <v>25098.428660000001</v>
      </c>
      <c r="U300" s="41">
        <v>1935651.39745</v>
      </c>
      <c r="V300" s="41">
        <v>37040.400000000001</v>
      </c>
      <c r="W300" s="41">
        <v>44497.5</v>
      </c>
      <c r="X300" s="42">
        <v>0.84688219738974668</v>
      </c>
      <c r="Y300" s="43">
        <v>2</v>
      </c>
      <c r="Z300" s="43" t="s">
        <v>2090</v>
      </c>
      <c r="AA300" s="43" t="s">
        <v>2090</v>
      </c>
      <c r="AB300" s="43" t="s">
        <v>2090</v>
      </c>
      <c r="AC300" s="43" t="s">
        <v>2090</v>
      </c>
      <c r="AD300" s="43">
        <v>0</v>
      </c>
      <c r="AE300" s="43">
        <v>0</v>
      </c>
      <c r="AF300" s="43">
        <v>0</v>
      </c>
      <c r="AG300" s="43">
        <v>0</v>
      </c>
      <c r="AH300" s="43">
        <v>0</v>
      </c>
      <c r="AI300" s="43">
        <v>0</v>
      </c>
      <c r="AJ300" s="43">
        <v>0</v>
      </c>
      <c r="AK300" s="43">
        <v>2</v>
      </c>
      <c r="AL300" s="43">
        <v>0</v>
      </c>
      <c r="AM300" s="43">
        <v>0</v>
      </c>
      <c r="AN300" s="43">
        <v>0</v>
      </c>
      <c r="AO300" s="43">
        <v>0</v>
      </c>
      <c r="AP300" s="43">
        <v>0</v>
      </c>
      <c r="AQ300" s="43">
        <v>0</v>
      </c>
      <c r="AR300" s="43">
        <v>0</v>
      </c>
      <c r="AS300" s="43">
        <v>0</v>
      </c>
      <c r="AT300" s="43">
        <v>0</v>
      </c>
      <c r="AU300" s="43">
        <v>0</v>
      </c>
      <c r="AV300" s="43">
        <v>0</v>
      </c>
      <c r="AW300" s="43">
        <v>0</v>
      </c>
      <c r="AX300" s="43">
        <v>0</v>
      </c>
      <c r="AY300" s="43">
        <v>0</v>
      </c>
      <c r="AZ300" s="43">
        <v>0</v>
      </c>
      <c r="BA300" s="43">
        <v>0</v>
      </c>
      <c r="BB300" s="43">
        <v>0</v>
      </c>
      <c r="BC300" s="43">
        <v>0</v>
      </c>
      <c r="BD300" s="43">
        <v>0</v>
      </c>
      <c r="BE300" s="43">
        <v>0</v>
      </c>
      <c r="BF300" s="43">
        <v>0</v>
      </c>
      <c r="BG300" s="43">
        <v>0</v>
      </c>
      <c r="BH300" s="43">
        <v>0</v>
      </c>
      <c r="BI300" s="43">
        <v>0</v>
      </c>
      <c r="BJ300" s="43" t="s">
        <v>2090</v>
      </c>
      <c r="BK300" s="43" t="s">
        <v>2090</v>
      </c>
      <c r="BL300" s="43" t="s">
        <v>2090</v>
      </c>
      <c r="BM300" s="43" t="s">
        <v>2090</v>
      </c>
      <c r="BN300" s="43" t="s">
        <v>2090</v>
      </c>
      <c r="BO300" s="43" t="s">
        <v>2090</v>
      </c>
      <c r="BP300" s="43" t="s">
        <v>2090</v>
      </c>
      <c r="BQ300" s="43" t="s">
        <v>2090</v>
      </c>
      <c r="BR300" s="43" t="s">
        <v>2090</v>
      </c>
      <c r="BS300" s="43" t="s">
        <v>2090</v>
      </c>
      <c r="BT300" s="43" t="s">
        <v>2090</v>
      </c>
      <c r="BU300" s="43" t="s">
        <v>2090</v>
      </c>
      <c r="BV300" s="43" t="s">
        <v>2090</v>
      </c>
      <c r="BW300" s="43" t="s">
        <v>2090</v>
      </c>
    </row>
    <row r="301" spans="1:75" ht="153.19999999999999" customHeight="1" x14ac:dyDescent="0.25">
      <c r="A301" s="38" t="s">
        <v>1356</v>
      </c>
      <c r="B301" s="38" t="s">
        <v>1877</v>
      </c>
      <c r="C301" s="45" t="s">
        <v>532</v>
      </c>
      <c r="D301" s="46" t="s">
        <v>1357</v>
      </c>
      <c r="E301" s="41">
        <v>85435.458710000006</v>
      </c>
      <c r="F301" s="41">
        <v>3229937.80547</v>
      </c>
      <c r="G301" s="41">
        <v>273727</v>
      </c>
      <c r="H301" s="41">
        <v>224406.8</v>
      </c>
      <c r="I301" s="42">
        <v>1.1957682574718795</v>
      </c>
      <c r="J301" s="41">
        <v>21900.879140000001</v>
      </c>
      <c r="K301" s="41">
        <v>1661969.8692699999</v>
      </c>
      <c r="L301" s="41">
        <v>140752.4</v>
      </c>
      <c r="M301" s="41">
        <v>177903.6</v>
      </c>
      <c r="N301" s="42">
        <v>0.76129599044171914</v>
      </c>
      <c r="O301" s="41">
        <v>10870.95131</v>
      </c>
      <c r="P301" s="41">
        <v>1558235.3599400001</v>
      </c>
      <c r="Q301" s="41">
        <v>134435.9</v>
      </c>
      <c r="R301" s="41">
        <v>217768.3</v>
      </c>
      <c r="S301" s="42">
        <v>0.59126529542177464</v>
      </c>
      <c r="T301" s="41">
        <v>17875.136040000001</v>
      </c>
      <c r="U301" s="41">
        <v>1479371.53076</v>
      </c>
      <c r="V301" s="41">
        <v>51006.1</v>
      </c>
      <c r="W301" s="41">
        <v>71107.199999999997</v>
      </c>
      <c r="X301" s="42">
        <v>0.68355507694445417</v>
      </c>
      <c r="Y301" s="43">
        <v>2</v>
      </c>
      <c r="Z301" s="43" t="s">
        <v>2091</v>
      </c>
      <c r="AA301" s="43" t="s">
        <v>2090</v>
      </c>
      <c r="AB301" s="43" t="s">
        <v>2090</v>
      </c>
      <c r="AC301" s="43" t="s">
        <v>2090</v>
      </c>
      <c r="AD301" s="43">
        <v>0</v>
      </c>
      <c r="AE301" s="43">
        <v>1</v>
      </c>
      <c r="AF301" s="43">
        <v>0</v>
      </c>
      <c r="AG301" s="43">
        <v>0</v>
      </c>
      <c r="AH301" s="43">
        <v>0</v>
      </c>
      <c r="AI301" s="43">
        <v>0</v>
      </c>
      <c r="AJ301" s="43">
        <v>0</v>
      </c>
      <c r="AK301" s="43">
        <v>0</v>
      </c>
      <c r="AL301" s="43">
        <v>0</v>
      </c>
      <c r="AM301" s="43">
        <v>0</v>
      </c>
      <c r="AN301" s="43">
        <v>0</v>
      </c>
      <c r="AO301" s="43">
        <v>0</v>
      </c>
      <c r="AP301" s="43">
        <v>0</v>
      </c>
      <c r="AQ301" s="43">
        <v>0</v>
      </c>
      <c r="AR301" s="43">
        <v>0</v>
      </c>
      <c r="AS301" s="43">
        <v>0</v>
      </c>
      <c r="AT301" s="43">
        <v>0</v>
      </c>
      <c r="AU301" s="43">
        <v>0</v>
      </c>
      <c r="AV301" s="43">
        <v>0</v>
      </c>
      <c r="AW301" s="43">
        <v>0</v>
      </c>
      <c r="AX301" s="43">
        <v>0</v>
      </c>
      <c r="AY301" s="43">
        <v>0</v>
      </c>
      <c r="AZ301" s="43">
        <v>0</v>
      </c>
      <c r="BA301" s="43">
        <v>0</v>
      </c>
      <c r="BB301" s="43">
        <v>0</v>
      </c>
      <c r="BC301" s="43">
        <v>0</v>
      </c>
      <c r="BD301" s="43">
        <v>0</v>
      </c>
      <c r="BE301" s="43">
        <v>0</v>
      </c>
      <c r="BF301" s="43">
        <v>0</v>
      </c>
      <c r="BG301" s="43">
        <v>0</v>
      </c>
      <c r="BH301" s="43">
        <v>0</v>
      </c>
      <c r="BI301" s="43">
        <v>0</v>
      </c>
      <c r="BJ301" s="43" t="s">
        <v>2090</v>
      </c>
      <c r="BK301" s="43" t="s">
        <v>2090</v>
      </c>
      <c r="BL301" s="43" t="s">
        <v>2090</v>
      </c>
      <c r="BM301" s="43" t="s">
        <v>2090</v>
      </c>
      <c r="BN301" s="43" t="s">
        <v>2090</v>
      </c>
      <c r="BO301" s="43" t="s">
        <v>2090</v>
      </c>
      <c r="BP301" s="43" t="s">
        <v>2090</v>
      </c>
      <c r="BQ301" s="43" t="s">
        <v>2090</v>
      </c>
      <c r="BR301" s="43" t="s">
        <v>2090</v>
      </c>
      <c r="BS301" s="43" t="s">
        <v>2090</v>
      </c>
      <c r="BT301" s="43" t="s">
        <v>2090</v>
      </c>
      <c r="BU301" s="43" t="s">
        <v>2090</v>
      </c>
      <c r="BV301" s="43" t="s">
        <v>2090</v>
      </c>
      <c r="BW301" s="43" t="s">
        <v>2090</v>
      </c>
    </row>
    <row r="302" spans="1:75" ht="134.44999999999999" customHeight="1" x14ac:dyDescent="0.25">
      <c r="A302" s="38" t="s">
        <v>1358</v>
      </c>
      <c r="B302" s="38" t="s">
        <v>1878</v>
      </c>
      <c r="C302" s="45" t="s">
        <v>676</v>
      </c>
      <c r="D302" s="46" t="s">
        <v>1359</v>
      </c>
      <c r="E302" s="41">
        <v>54414.167500000003</v>
      </c>
      <c r="F302" s="41">
        <v>2778793.2450799998</v>
      </c>
      <c r="G302" s="41">
        <v>194676</v>
      </c>
      <c r="H302" s="41">
        <v>162847.5</v>
      </c>
      <c r="I302" s="42">
        <v>1.1548784520614315</v>
      </c>
      <c r="J302" s="41">
        <v>35342.901019999998</v>
      </c>
      <c r="K302" s="41">
        <v>2151384.25875</v>
      </c>
      <c r="L302" s="41">
        <v>107001</v>
      </c>
      <c r="M302" s="41">
        <v>115920</v>
      </c>
      <c r="N302" s="42">
        <v>0.87101727040735288</v>
      </c>
      <c r="O302" s="41">
        <v>73284.558040000004</v>
      </c>
      <c r="P302" s="41">
        <v>2953670.7993000001</v>
      </c>
      <c r="Q302" s="41">
        <v>140416.6</v>
      </c>
      <c r="R302" s="41">
        <v>94712.3</v>
      </c>
      <c r="S302" s="42">
        <v>1.4247516491539123</v>
      </c>
      <c r="T302" s="41">
        <v>63472.911930000002</v>
      </c>
      <c r="U302" s="41">
        <v>2985498.4880400002</v>
      </c>
      <c r="V302" s="41">
        <v>43128.1</v>
      </c>
      <c r="W302" s="41">
        <v>36273.300000000003</v>
      </c>
      <c r="X302" s="42">
        <v>1.0589093976059949</v>
      </c>
      <c r="Y302" s="43">
        <v>2</v>
      </c>
      <c r="Z302" s="43" t="s">
        <v>2090</v>
      </c>
      <c r="AA302" s="43" t="s">
        <v>2091</v>
      </c>
      <c r="AB302" s="43" t="s">
        <v>2090</v>
      </c>
      <c r="AC302" s="43" t="s">
        <v>2090</v>
      </c>
      <c r="AD302" s="43">
        <v>0</v>
      </c>
      <c r="AE302" s="43">
        <v>0</v>
      </c>
      <c r="AF302" s="43">
        <v>0</v>
      </c>
      <c r="AG302" s="43">
        <v>0</v>
      </c>
      <c r="AH302" s="43">
        <v>0</v>
      </c>
      <c r="AI302" s="43">
        <v>1</v>
      </c>
      <c r="AJ302" s="43">
        <v>0</v>
      </c>
      <c r="AK302" s="43">
        <v>0</v>
      </c>
      <c r="AL302" s="43">
        <v>0</v>
      </c>
      <c r="AM302" s="43">
        <v>0</v>
      </c>
      <c r="AN302" s="43">
        <v>0</v>
      </c>
      <c r="AO302" s="43">
        <v>0</v>
      </c>
      <c r="AP302" s="43">
        <v>0</v>
      </c>
      <c r="AQ302" s="43">
        <v>0</v>
      </c>
      <c r="AR302" s="43">
        <v>0</v>
      </c>
      <c r="AS302" s="43">
        <v>0</v>
      </c>
      <c r="AT302" s="43">
        <v>0</v>
      </c>
      <c r="AU302" s="43">
        <v>0</v>
      </c>
      <c r="AV302" s="43">
        <v>0</v>
      </c>
      <c r="AW302" s="43">
        <v>0</v>
      </c>
      <c r="AX302" s="43">
        <v>0</v>
      </c>
      <c r="AY302" s="43">
        <v>0</v>
      </c>
      <c r="AZ302" s="43">
        <v>0</v>
      </c>
      <c r="BA302" s="43">
        <v>0</v>
      </c>
      <c r="BB302" s="43">
        <v>0</v>
      </c>
      <c r="BC302" s="43">
        <v>0</v>
      </c>
      <c r="BD302" s="43">
        <v>0</v>
      </c>
      <c r="BE302" s="43">
        <v>0</v>
      </c>
      <c r="BF302" s="43">
        <v>0</v>
      </c>
      <c r="BG302" s="43">
        <v>0</v>
      </c>
      <c r="BH302" s="43">
        <v>0</v>
      </c>
      <c r="BI302" s="43">
        <v>0</v>
      </c>
      <c r="BJ302" s="43" t="s">
        <v>2090</v>
      </c>
      <c r="BK302" s="43" t="s">
        <v>2090</v>
      </c>
      <c r="BL302" s="43" t="s">
        <v>2090</v>
      </c>
      <c r="BM302" s="43" t="s">
        <v>2090</v>
      </c>
      <c r="BN302" s="43" t="s">
        <v>2090</v>
      </c>
      <c r="BO302" s="43" t="s">
        <v>2090</v>
      </c>
      <c r="BP302" s="43" t="s">
        <v>2090</v>
      </c>
      <c r="BQ302" s="43" t="s">
        <v>2090</v>
      </c>
      <c r="BR302" s="43" t="s">
        <v>2091</v>
      </c>
      <c r="BS302" s="43" t="s">
        <v>2090</v>
      </c>
      <c r="BT302" s="43" t="s">
        <v>2091</v>
      </c>
      <c r="BU302" s="43" t="s">
        <v>2090</v>
      </c>
      <c r="BV302" s="43" t="s">
        <v>2091</v>
      </c>
      <c r="BW302" s="43" t="s">
        <v>2090</v>
      </c>
    </row>
    <row r="303" spans="1:75" ht="125.45" customHeight="1" x14ac:dyDescent="0.25">
      <c r="A303" s="38" t="s">
        <v>1360</v>
      </c>
      <c r="B303" s="38" t="s">
        <v>1879</v>
      </c>
      <c r="C303" s="45" t="s">
        <v>733</v>
      </c>
      <c r="D303" s="46" t="s">
        <v>1361</v>
      </c>
      <c r="E303" s="41">
        <v>55402.02663</v>
      </c>
      <c r="F303" s="41">
        <v>2689623.6660000002</v>
      </c>
      <c r="G303" s="41">
        <v>298307.7</v>
      </c>
      <c r="H303" s="41">
        <v>254516.6</v>
      </c>
      <c r="I303" s="42">
        <v>1.1308273844577545</v>
      </c>
      <c r="J303" s="41">
        <v>22042.610659999998</v>
      </c>
      <c r="K303" s="41">
        <v>1731974.2779399999</v>
      </c>
      <c r="L303" s="41">
        <v>207180.2</v>
      </c>
      <c r="M303" s="41">
        <v>277083.40000000002</v>
      </c>
      <c r="N303" s="42">
        <v>0.70546054077819309</v>
      </c>
      <c r="O303" s="41">
        <v>2037.5268699999999</v>
      </c>
      <c r="P303" s="41">
        <v>477405.96100000001</v>
      </c>
      <c r="Q303" s="41">
        <v>47700.4</v>
      </c>
      <c r="R303" s="41">
        <v>171605.3</v>
      </c>
      <c r="S303" s="42">
        <v>0.26663671345647971</v>
      </c>
      <c r="T303" s="41">
        <v>29408.830620000001</v>
      </c>
      <c r="U303" s="41">
        <v>2180885.32064</v>
      </c>
      <c r="V303" s="41">
        <v>25923</v>
      </c>
      <c r="W303" s="41">
        <v>43130.9</v>
      </c>
      <c r="X303" s="42">
        <v>0.54734832766204666</v>
      </c>
      <c r="Y303" s="43">
        <v>2</v>
      </c>
      <c r="Z303" s="43" t="s">
        <v>2090</v>
      </c>
      <c r="AA303" s="43" t="s">
        <v>2091</v>
      </c>
      <c r="AB303" s="43" t="s">
        <v>2090</v>
      </c>
      <c r="AC303" s="43" t="s">
        <v>2090</v>
      </c>
      <c r="AD303" s="43">
        <v>0</v>
      </c>
      <c r="AE303" s="43">
        <v>1</v>
      </c>
      <c r="AF303" s="43">
        <v>0</v>
      </c>
      <c r="AG303" s="43">
        <v>0</v>
      </c>
      <c r="AH303" s="43">
        <v>0</v>
      </c>
      <c r="AI303" s="43">
        <v>0</v>
      </c>
      <c r="AJ303" s="43">
        <v>0</v>
      </c>
      <c r="AK303" s="43">
        <v>0</v>
      </c>
      <c r="AL303" s="43">
        <v>0</v>
      </c>
      <c r="AM303" s="43">
        <v>0</v>
      </c>
      <c r="AN303" s="43">
        <v>0</v>
      </c>
      <c r="AO303" s="43">
        <v>0</v>
      </c>
      <c r="AP303" s="43">
        <v>0</v>
      </c>
      <c r="AQ303" s="43">
        <v>0</v>
      </c>
      <c r="AR303" s="43">
        <v>0</v>
      </c>
      <c r="AS303" s="43">
        <v>0</v>
      </c>
      <c r="AT303" s="43">
        <v>0</v>
      </c>
      <c r="AU303" s="43">
        <v>0</v>
      </c>
      <c r="AV303" s="43">
        <v>0</v>
      </c>
      <c r="AW303" s="43">
        <v>0</v>
      </c>
      <c r="AX303" s="43">
        <v>0</v>
      </c>
      <c r="AY303" s="43">
        <v>0</v>
      </c>
      <c r="AZ303" s="43">
        <v>0</v>
      </c>
      <c r="BA303" s="43">
        <v>0</v>
      </c>
      <c r="BB303" s="43">
        <v>0</v>
      </c>
      <c r="BC303" s="43">
        <v>0</v>
      </c>
      <c r="BD303" s="43">
        <v>0</v>
      </c>
      <c r="BE303" s="43">
        <v>0</v>
      </c>
      <c r="BF303" s="43">
        <v>0</v>
      </c>
      <c r="BG303" s="43">
        <v>0</v>
      </c>
      <c r="BH303" s="43">
        <v>0</v>
      </c>
      <c r="BI303" s="43">
        <v>0</v>
      </c>
      <c r="BJ303" s="43" t="s">
        <v>2090</v>
      </c>
      <c r="BK303" s="43" t="s">
        <v>2090</v>
      </c>
      <c r="BL303" s="43" t="s">
        <v>2090</v>
      </c>
      <c r="BM303" s="43" t="s">
        <v>2090</v>
      </c>
      <c r="BN303" s="43" t="s">
        <v>2090</v>
      </c>
      <c r="BO303" s="43" t="s">
        <v>2090</v>
      </c>
      <c r="BP303" s="43" t="s">
        <v>2090</v>
      </c>
      <c r="BQ303" s="43" t="s">
        <v>2090</v>
      </c>
      <c r="BR303" s="43" t="s">
        <v>2091</v>
      </c>
      <c r="BS303" s="43" t="s">
        <v>2090</v>
      </c>
      <c r="BT303" s="43" t="s">
        <v>2091</v>
      </c>
      <c r="BU303" s="43" t="s">
        <v>2090</v>
      </c>
      <c r="BV303" s="43" t="s">
        <v>2090</v>
      </c>
      <c r="BW303" s="43" t="s">
        <v>2090</v>
      </c>
    </row>
    <row r="304" spans="1:75" ht="171.95" customHeight="1" x14ac:dyDescent="0.25">
      <c r="A304" s="38" t="s">
        <v>1362</v>
      </c>
      <c r="B304" s="38" t="s">
        <v>1880</v>
      </c>
      <c r="C304" s="39" t="s">
        <v>1363</v>
      </c>
      <c r="D304" s="40" t="s">
        <v>1364</v>
      </c>
      <c r="E304" s="41">
        <v>19091.324570000001</v>
      </c>
      <c r="F304" s="41">
        <v>1662957.24774</v>
      </c>
      <c r="G304" s="41">
        <v>253575.7</v>
      </c>
      <c r="H304" s="41">
        <v>396284.4</v>
      </c>
      <c r="I304" s="42">
        <v>0.60294826061770168</v>
      </c>
      <c r="J304" s="41">
        <v>2106.39696</v>
      </c>
      <c r="K304" s="41">
        <v>387480.03357000003</v>
      </c>
      <c r="L304" s="41">
        <v>143541</v>
      </c>
      <c r="M304" s="41">
        <v>635192.6</v>
      </c>
      <c r="N304" s="42">
        <v>0.20217273694415297</v>
      </c>
      <c r="O304" s="41">
        <v>0</v>
      </c>
      <c r="P304" s="41">
        <v>238234.52004999999</v>
      </c>
      <c r="Q304" s="41">
        <v>48103.5</v>
      </c>
      <c r="R304" s="41">
        <v>330116</v>
      </c>
      <c r="S304" s="42">
        <v>0.13555738454503888</v>
      </c>
      <c r="T304" s="41">
        <v>7763.8368200000004</v>
      </c>
      <c r="U304" s="41">
        <v>1061250.6230599999</v>
      </c>
      <c r="V304" s="41">
        <v>37276.300000000003</v>
      </c>
      <c r="W304" s="41">
        <v>124413</v>
      </c>
      <c r="X304" s="42">
        <v>0.28806387631592328</v>
      </c>
      <c r="Y304" s="43">
        <v>2</v>
      </c>
      <c r="Z304" s="43" t="s">
        <v>2090</v>
      </c>
      <c r="AA304" s="43" t="s">
        <v>2091</v>
      </c>
      <c r="AB304" s="43" t="s">
        <v>2090</v>
      </c>
      <c r="AC304" s="43" t="s">
        <v>2090</v>
      </c>
      <c r="AD304" s="43">
        <v>0</v>
      </c>
      <c r="AE304" s="43">
        <v>0</v>
      </c>
      <c r="AF304" s="43">
        <v>0</v>
      </c>
      <c r="AG304" s="43">
        <v>0</v>
      </c>
      <c r="AH304" s="43">
        <v>0</v>
      </c>
      <c r="AI304" s="43">
        <v>0</v>
      </c>
      <c r="AJ304" s="43">
        <v>0</v>
      </c>
      <c r="AK304" s="43">
        <v>0</v>
      </c>
      <c r="AL304" s="43">
        <v>1</v>
      </c>
      <c r="AM304" s="43">
        <v>0</v>
      </c>
      <c r="AN304" s="43">
        <v>0</v>
      </c>
      <c r="AO304" s="43">
        <v>0</v>
      </c>
      <c r="AP304" s="43">
        <v>0</v>
      </c>
      <c r="AQ304" s="43">
        <v>0</v>
      </c>
      <c r="AR304" s="43">
        <v>0</v>
      </c>
      <c r="AS304" s="43">
        <v>0</v>
      </c>
      <c r="AT304" s="43">
        <v>0</v>
      </c>
      <c r="AU304" s="43">
        <v>0</v>
      </c>
      <c r="AV304" s="43">
        <v>0</v>
      </c>
      <c r="AW304" s="43">
        <v>0</v>
      </c>
      <c r="AX304" s="43">
        <v>0</v>
      </c>
      <c r="AY304" s="43">
        <v>0</v>
      </c>
      <c r="AZ304" s="43">
        <v>0</v>
      </c>
      <c r="BA304" s="43">
        <v>0</v>
      </c>
      <c r="BB304" s="43">
        <v>0</v>
      </c>
      <c r="BC304" s="43">
        <v>0</v>
      </c>
      <c r="BD304" s="43">
        <v>0</v>
      </c>
      <c r="BE304" s="43">
        <v>0</v>
      </c>
      <c r="BF304" s="43">
        <v>0</v>
      </c>
      <c r="BG304" s="43">
        <v>0</v>
      </c>
      <c r="BH304" s="43">
        <v>0</v>
      </c>
      <c r="BI304" s="43">
        <v>0</v>
      </c>
      <c r="BJ304" s="43" t="s">
        <v>2090</v>
      </c>
      <c r="BK304" s="43" t="s">
        <v>2090</v>
      </c>
      <c r="BL304" s="43" t="s">
        <v>2090</v>
      </c>
      <c r="BM304" s="43" t="s">
        <v>2090</v>
      </c>
      <c r="BN304" s="43" t="s">
        <v>2090</v>
      </c>
      <c r="BO304" s="43" t="s">
        <v>2090</v>
      </c>
      <c r="BP304" s="43" t="s">
        <v>2090</v>
      </c>
      <c r="BQ304" s="43" t="s">
        <v>2090</v>
      </c>
      <c r="BR304" s="43" t="s">
        <v>2091</v>
      </c>
      <c r="BS304" s="43" t="s">
        <v>2091</v>
      </c>
      <c r="BT304" s="43" t="s">
        <v>2090</v>
      </c>
      <c r="BU304" s="43" t="s">
        <v>2090</v>
      </c>
      <c r="BV304" s="43" t="s">
        <v>2090</v>
      </c>
      <c r="BW304" s="43" t="s">
        <v>2090</v>
      </c>
    </row>
    <row r="305" spans="1:75" ht="138.94999999999999" customHeight="1" x14ac:dyDescent="0.25">
      <c r="A305" s="38" t="s">
        <v>1365</v>
      </c>
      <c r="B305" s="38" t="s">
        <v>1881</v>
      </c>
      <c r="C305" s="39" t="s">
        <v>1366</v>
      </c>
      <c r="D305" s="40" t="s">
        <v>1367</v>
      </c>
      <c r="E305" s="41">
        <v>29182.452990000002</v>
      </c>
      <c r="F305" s="41">
        <v>2048985.9344800001</v>
      </c>
      <c r="G305" s="41">
        <v>409670.2</v>
      </c>
      <c r="H305" s="41">
        <v>501080.5</v>
      </c>
      <c r="I305" s="42">
        <v>0.78141124470771306</v>
      </c>
      <c r="J305" s="41">
        <v>3223.3333299999999</v>
      </c>
      <c r="K305" s="41">
        <v>478041.47198999999</v>
      </c>
      <c r="L305" s="41">
        <v>149407.29999999999</v>
      </c>
      <c r="M305" s="41">
        <v>599715.19999999995</v>
      </c>
      <c r="N305" s="42">
        <v>0.22210805225392682</v>
      </c>
      <c r="O305" s="41">
        <v>0</v>
      </c>
      <c r="P305" s="41">
        <v>92717.142399999997</v>
      </c>
      <c r="Q305" s="41">
        <v>4843</v>
      </c>
      <c r="R305" s="41">
        <v>11696.7</v>
      </c>
      <c r="S305" s="42">
        <v>0.4060083940799647</v>
      </c>
      <c r="T305" s="41">
        <v>7495.9658099999997</v>
      </c>
      <c r="U305" s="41">
        <v>860407.82756999996</v>
      </c>
      <c r="V305" s="41">
        <v>39467.199999999997</v>
      </c>
      <c r="W305" s="41">
        <v>182954</v>
      </c>
      <c r="X305" s="42">
        <v>0.20632661620224271</v>
      </c>
      <c r="Y305" s="43">
        <v>2</v>
      </c>
      <c r="Z305" s="43" t="s">
        <v>2090</v>
      </c>
      <c r="AA305" s="43" t="s">
        <v>2091</v>
      </c>
      <c r="AB305" s="43" t="s">
        <v>2090</v>
      </c>
      <c r="AC305" s="43" t="s">
        <v>2090</v>
      </c>
      <c r="AD305" s="43">
        <v>0</v>
      </c>
      <c r="AE305" s="43">
        <v>0</v>
      </c>
      <c r="AF305" s="43">
        <v>0</v>
      </c>
      <c r="AG305" s="43">
        <v>0</v>
      </c>
      <c r="AH305" s="43">
        <v>0</v>
      </c>
      <c r="AI305" s="43">
        <v>0</v>
      </c>
      <c r="AJ305" s="43">
        <v>0</v>
      </c>
      <c r="AK305" s="43">
        <v>0</v>
      </c>
      <c r="AL305" s="43">
        <v>1</v>
      </c>
      <c r="AM305" s="43">
        <v>0</v>
      </c>
      <c r="AN305" s="43">
        <v>0</v>
      </c>
      <c r="AO305" s="43">
        <v>0</v>
      </c>
      <c r="AP305" s="43">
        <v>0</v>
      </c>
      <c r="AQ305" s="43">
        <v>0</v>
      </c>
      <c r="AR305" s="43">
        <v>0</v>
      </c>
      <c r="AS305" s="43">
        <v>0</v>
      </c>
      <c r="AT305" s="43">
        <v>0</v>
      </c>
      <c r="AU305" s="43">
        <v>0</v>
      </c>
      <c r="AV305" s="43">
        <v>0</v>
      </c>
      <c r="AW305" s="43">
        <v>0</v>
      </c>
      <c r="AX305" s="43">
        <v>0</v>
      </c>
      <c r="AY305" s="43">
        <v>0</v>
      </c>
      <c r="AZ305" s="43">
        <v>0</v>
      </c>
      <c r="BA305" s="43">
        <v>0</v>
      </c>
      <c r="BB305" s="43">
        <v>0</v>
      </c>
      <c r="BC305" s="43">
        <v>0</v>
      </c>
      <c r="BD305" s="43">
        <v>0</v>
      </c>
      <c r="BE305" s="43">
        <v>0</v>
      </c>
      <c r="BF305" s="43">
        <v>0</v>
      </c>
      <c r="BG305" s="43">
        <v>0</v>
      </c>
      <c r="BH305" s="43">
        <v>0</v>
      </c>
      <c r="BI305" s="43">
        <v>0</v>
      </c>
      <c r="BJ305" s="43" t="s">
        <v>2090</v>
      </c>
      <c r="BK305" s="43" t="s">
        <v>2090</v>
      </c>
      <c r="BL305" s="43" t="s">
        <v>2090</v>
      </c>
      <c r="BM305" s="43" t="s">
        <v>2090</v>
      </c>
      <c r="BN305" s="43" t="s">
        <v>2090</v>
      </c>
      <c r="BO305" s="43" t="s">
        <v>2090</v>
      </c>
      <c r="BP305" s="43" t="s">
        <v>2090</v>
      </c>
      <c r="BQ305" s="43" t="s">
        <v>2090</v>
      </c>
      <c r="BR305" s="43" t="s">
        <v>2091</v>
      </c>
      <c r="BS305" s="43" t="s">
        <v>2090</v>
      </c>
      <c r="BT305" s="43" t="s">
        <v>2091</v>
      </c>
      <c r="BU305" s="43" t="s">
        <v>2090</v>
      </c>
      <c r="BV305" s="43" t="s">
        <v>2090</v>
      </c>
      <c r="BW305" s="43" t="s">
        <v>2090</v>
      </c>
    </row>
    <row r="306" spans="1:75" ht="208.7" customHeight="1" x14ac:dyDescent="0.25">
      <c r="A306" s="38" t="s">
        <v>1368</v>
      </c>
      <c r="B306" s="38" t="s">
        <v>1882</v>
      </c>
      <c r="C306" s="45" t="s">
        <v>682</v>
      </c>
      <c r="D306" s="46" t="s">
        <v>1369</v>
      </c>
      <c r="E306" s="41">
        <v>50778.807370000002</v>
      </c>
      <c r="F306" s="41">
        <v>2622914.1593499999</v>
      </c>
      <c r="G306" s="41">
        <v>85894.5</v>
      </c>
      <c r="H306" s="41">
        <v>74670.399999999994</v>
      </c>
      <c r="I306" s="42">
        <v>1.0992833479818809</v>
      </c>
      <c r="J306" s="41">
        <v>63835.707040000001</v>
      </c>
      <c r="K306" s="41">
        <v>2783046.86357</v>
      </c>
      <c r="L306" s="41">
        <v>89622</v>
      </c>
      <c r="M306" s="41">
        <v>62429.8</v>
      </c>
      <c r="N306" s="42">
        <v>1.2897956871483061</v>
      </c>
      <c r="O306" s="41">
        <v>10147.731750000001</v>
      </c>
      <c r="P306" s="41">
        <v>1176591.4738</v>
      </c>
      <c r="Q306" s="41">
        <v>67476.899999999994</v>
      </c>
      <c r="R306" s="41">
        <v>161420.29999999999</v>
      </c>
      <c r="S306" s="42">
        <v>0.40414645595368487</v>
      </c>
      <c r="T306" s="41">
        <v>74222.052800000005</v>
      </c>
      <c r="U306" s="41">
        <v>3180807.6066399999</v>
      </c>
      <c r="V306" s="41">
        <v>28393.7</v>
      </c>
      <c r="W306" s="41">
        <v>23497</v>
      </c>
      <c r="X306" s="42">
        <v>1.0625061716204207</v>
      </c>
      <c r="Y306" s="43">
        <v>1</v>
      </c>
      <c r="Z306" s="43" t="s">
        <v>2090</v>
      </c>
      <c r="AA306" s="43" t="s">
        <v>2091</v>
      </c>
      <c r="AB306" s="43" t="s">
        <v>2090</v>
      </c>
      <c r="AC306" s="43" t="s">
        <v>2090</v>
      </c>
      <c r="AD306" s="43">
        <v>0</v>
      </c>
      <c r="AE306" s="43">
        <v>0</v>
      </c>
      <c r="AF306" s="43">
        <v>0</v>
      </c>
      <c r="AG306" s="43">
        <v>0</v>
      </c>
      <c r="AH306" s="43">
        <v>0</v>
      </c>
      <c r="AI306" s="43">
        <v>0</v>
      </c>
      <c r="AJ306" s="43">
        <v>0</v>
      </c>
      <c r="AK306" s="43">
        <v>0</v>
      </c>
      <c r="AL306" s="43">
        <v>0</v>
      </c>
      <c r="AM306" s="43">
        <v>0</v>
      </c>
      <c r="AN306" s="43">
        <v>0</v>
      </c>
      <c r="AO306" s="43">
        <v>0</v>
      </c>
      <c r="AP306" s="43">
        <v>0</v>
      </c>
      <c r="AQ306" s="43">
        <v>0</v>
      </c>
      <c r="AR306" s="43">
        <v>0</v>
      </c>
      <c r="AS306" s="43">
        <v>0</v>
      </c>
      <c r="AT306" s="43">
        <v>0</v>
      </c>
      <c r="AU306" s="43">
        <v>0</v>
      </c>
      <c r="AV306" s="43">
        <v>0</v>
      </c>
      <c r="AW306" s="43">
        <v>0</v>
      </c>
      <c r="AX306" s="43">
        <v>0</v>
      </c>
      <c r="AY306" s="43">
        <v>0</v>
      </c>
      <c r="AZ306" s="43">
        <v>0</v>
      </c>
      <c r="BA306" s="43">
        <v>0</v>
      </c>
      <c r="BB306" s="43">
        <v>0</v>
      </c>
      <c r="BC306" s="43">
        <v>0</v>
      </c>
      <c r="BD306" s="43">
        <v>0</v>
      </c>
      <c r="BE306" s="43">
        <v>0</v>
      </c>
      <c r="BF306" s="43">
        <v>0</v>
      </c>
      <c r="BG306" s="43">
        <v>0</v>
      </c>
      <c r="BH306" s="43">
        <v>0</v>
      </c>
      <c r="BI306" s="43">
        <v>0</v>
      </c>
      <c r="BJ306" s="43" t="s">
        <v>2090</v>
      </c>
      <c r="BK306" s="43" t="s">
        <v>2090</v>
      </c>
      <c r="BL306" s="43" t="s">
        <v>2090</v>
      </c>
      <c r="BM306" s="43" t="s">
        <v>2090</v>
      </c>
      <c r="BN306" s="43" t="s">
        <v>2090</v>
      </c>
      <c r="BO306" s="43" t="s">
        <v>2090</v>
      </c>
      <c r="BP306" s="43" t="s">
        <v>2090</v>
      </c>
      <c r="BQ306" s="43" t="s">
        <v>2090</v>
      </c>
      <c r="BR306" s="43" t="s">
        <v>2091</v>
      </c>
      <c r="BS306" s="43" t="s">
        <v>2090</v>
      </c>
      <c r="BT306" s="43" t="s">
        <v>2091</v>
      </c>
      <c r="BU306" s="43" t="s">
        <v>2090</v>
      </c>
      <c r="BV306" s="43" t="s">
        <v>2090</v>
      </c>
      <c r="BW306" s="43" t="s">
        <v>2090</v>
      </c>
    </row>
    <row r="307" spans="1:75" ht="146.44999999999999" customHeight="1" x14ac:dyDescent="0.25">
      <c r="A307" s="38" t="s">
        <v>1370</v>
      </c>
      <c r="B307" s="38" t="s">
        <v>1883</v>
      </c>
      <c r="C307" s="45" t="s">
        <v>484</v>
      </c>
      <c r="D307" s="46" t="s">
        <v>1371</v>
      </c>
      <c r="E307" s="41">
        <v>62265.718540000002</v>
      </c>
      <c r="F307" s="41">
        <v>2874442.1255999999</v>
      </c>
      <c r="G307" s="41">
        <v>240279.9</v>
      </c>
      <c r="H307" s="41">
        <v>194901.5</v>
      </c>
      <c r="I307" s="42">
        <v>1.1982594212480293</v>
      </c>
      <c r="J307" s="41">
        <v>3124.8699900000001</v>
      </c>
      <c r="K307" s="41">
        <v>380358.83854999999</v>
      </c>
      <c r="L307" s="41">
        <v>21671.5</v>
      </c>
      <c r="M307" s="41">
        <v>90460.1</v>
      </c>
      <c r="N307" s="42">
        <v>0.23186898151402266</v>
      </c>
      <c r="O307" s="41">
        <v>25042.509900000001</v>
      </c>
      <c r="P307" s="41">
        <v>1904340.2764399999</v>
      </c>
      <c r="Q307" s="41">
        <v>98466.6</v>
      </c>
      <c r="R307" s="41">
        <v>127295.5</v>
      </c>
      <c r="S307" s="42">
        <v>0.74411253358621776</v>
      </c>
      <c r="T307" s="41">
        <v>10244.45854</v>
      </c>
      <c r="U307" s="41">
        <v>1143808.3891499999</v>
      </c>
      <c r="V307" s="41">
        <v>47988.1</v>
      </c>
      <c r="W307" s="41">
        <v>160226.5</v>
      </c>
      <c r="X307" s="42">
        <v>0.28975619065795127</v>
      </c>
      <c r="Y307" s="43">
        <v>1</v>
      </c>
      <c r="Z307" s="43" t="s">
        <v>2090</v>
      </c>
      <c r="AA307" s="43" t="s">
        <v>2090</v>
      </c>
      <c r="AB307" s="43" t="s">
        <v>2090</v>
      </c>
      <c r="AC307" s="43" t="s">
        <v>2090</v>
      </c>
      <c r="AD307" s="43">
        <v>0</v>
      </c>
      <c r="AE307" s="43">
        <v>0</v>
      </c>
      <c r="AF307" s="43">
        <v>0</v>
      </c>
      <c r="AG307" s="43">
        <v>0</v>
      </c>
      <c r="AH307" s="43">
        <v>0</v>
      </c>
      <c r="AI307" s="43">
        <v>0</v>
      </c>
      <c r="AJ307" s="43">
        <v>0</v>
      </c>
      <c r="AK307" s="43">
        <v>0</v>
      </c>
      <c r="AL307" s="43">
        <v>0</v>
      </c>
      <c r="AM307" s="43">
        <v>0</v>
      </c>
      <c r="AN307" s="43">
        <v>0</v>
      </c>
      <c r="AO307" s="43">
        <v>0</v>
      </c>
      <c r="AP307" s="43">
        <v>1</v>
      </c>
      <c r="AQ307" s="43">
        <v>0</v>
      </c>
      <c r="AR307" s="43">
        <v>0</v>
      </c>
      <c r="AS307" s="43">
        <v>0</v>
      </c>
      <c r="AT307" s="43">
        <v>0</v>
      </c>
      <c r="AU307" s="43">
        <v>0</v>
      </c>
      <c r="AV307" s="43">
        <v>0</v>
      </c>
      <c r="AW307" s="43">
        <v>0</v>
      </c>
      <c r="AX307" s="43">
        <v>0</v>
      </c>
      <c r="AY307" s="43">
        <v>0</v>
      </c>
      <c r="AZ307" s="43">
        <v>0</v>
      </c>
      <c r="BA307" s="43">
        <v>0</v>
      </c>
      <c r="BB307" s="43">
        <v>0</v>
      </c>
      <c r="BC307" s="43">
        <v>0</v>
      </c>
      <c r="BD307" s="43">
        <v>0</v>
      </c>
      <c r="BE307" s="43">
        <v>0</v>
      </c>
      <c r="BF307" s="43">
        <v>0</v>
      </c>
      <c r="BG307" s="43">
        <v>0</v>
      </c>
      <c r="BH307" s="43">
        <v>0</v>
      </c>
      <c r="BI307" s="43">
        <v>0</v>
      </c>
      <c r="BJ307" s="43" t="s">
        <v>2090</v>
      </c>
      <c r="BK307" s="43" t="s">
        <v>2090</v>
      </c>
      <c r="BL307" s="43" t="s">
        <v>2090</v>
      </c>
      <c r="BM307" s="43" t="s">
        <v>2090</v>
      </c>
      <c r="BN307" s="43" t="s">
        <v>2090</v>
      </c>
      <c r="BO307" s="43" t="s">
        <v>2090</v>
      </c>
      <c r="BP307" s="43" t="s">
        <v>2090</v>
      </c>
      <c r="BQ307" s="43" t="s">
        <v>2090</v>
      </c>
      <c r="BR307" s="43" t="s">
        <v>2090</v>
      </c>
      <c r="BS307" s="43" t="s">
        <v>2090</v>
      </c>
      <c r="BT307" s="43" t="s">
        <v>2090</v>
      </c>
      <c r="BU307" s="43" t="s">
        <v>2090</v>
      </c>
      <c r="BV307" s="43" t="s">
        <v>2090</v>
      </c>
      <c r="BW307" s="43" t="s">
        <v>2090</v>
      </c>
    </row>
    <row r="308" spans="1:75" ht="120.2" customHeight="1" x14ac:dyDescent="0.25">
      <c r="A308" s="38" t="s">
        <v>1372</v>
      </c>
      <c r="B308" s="38" t="s">
        <v>1884</v>
      </c>
      <c r="C308" s="39" t="s">
        <v>1373</v>
      </c>
      <c r="D308" s="40" t="s">
        <v>1374</v>
      </c>
      <c r="E308" s="41">
        <v>5643.7672400000001</v>
      </c>
      <c r="F308" s="41">
        <v>751765.29049000004</v>
      </c>
      <c r="G308" s="41">
        <v>216202</v>
      </c>
      <c r="H308" s="41">
        <v>455312.5</v>
      </c>
      <c r="I308" s="42">
        <v>0.44468525972324768</v>
      </c>
      <c r="J308" s="41">
        <v>0</v>
      </c>
      <c r="K308" s="41">
        <v>9088.8500600000007</v>
      </c>
      <c r="L308" s="41">
        <v>29361.4</v>
      </c>
      <c r="M308" s="41">
        <v>126896.3</v>
      </c>
      <c r="N308" s="42">
        <v>0.22384173862345574</v>
      </c>
      <c r="O308" s="41">
        <v>2947.45615</v>
      </c>
      <c r="P308" s="41">
        <v>611352.65375000006</v>
      </c>
      <c r="Q308" s="41">
        <v>29101.5</v>
      </c>
      <c r="R308" s="41">
        <v>107940.4</v>
      </c>
      <c r="S308" s="42">
        <v>0.26203436361054577</v>
      </c>
      <c r="T308" s="41">
        <v>2730.4942599999999</v>
      </c>
      <c r="U308" s="41">
        <v>466987.60294000001</v>
      </c>
      <c r="V308" s="41">
        <v>38706.1</v>
      </c>
      <c r="W308" s="41">
        <v>135282.5</v>
      </c>
      <c r="X308" s="42">
        <v>0.2768854027884633</v>
      </c>
      <c r="Y308" s="43">
        <v>2</v>
      </c>
      <c r="Z308" s="43" t="s">
        <v>2090</v>
      </c>
      <c r="AA308" s="43" t="s">
        <v>2091</v>
      </c>
      <c r="AB308" s="43" t="s">
        <v>2090</v>
      </c>
      <c r="AC308" s="43" t="s">
        <v>2090</v>
      </c>
      <c r="AD308" s="43">
        <v>0</v>
      </c>
      <c r="AE308" s="43">
        <v>0</v>
      </c>
      <c r="AF308" s="43">
        <v>0</v>
      </c>
      <c r="AG308" s="43">
        <v>0</v>
      </c>
      <c r="AH308" s="43">
        <v>0</v>
      </c>
      <c r="AI308" s="43">
        <v>0</v>
      </c>
      <c r="AJ308" s="43">
        <v>0</v>
      </c>
      <c r="AK308" s="43">
        <v>0</v>
      </c>
      <c r="AL308" s="43">
        <v>0</v>
      </c>
      <c r="AM308" s="43">
        <v>0</v>
      </c>
      <c r="AN308" s="43">
        <v>1</v>
      </c>
      <c r="AO308" s="43">
        <v>0</v>
      </c>
      <c r="AP308" s="43">
        <v>0</v>
      </c>
      <c r="AQ308" s="43">
        <v>0</v>
      </c>
      <c r="AR308" s="43">
        <v>0</v>
      </c>
      <c r="AS308" s="43">
        <v>0</v>
      </c>
      <c r="AT308" s="43">
        <v>0</v>
      </c>
      <c r="AU308" s="43">
        <v>0</v>
      </c>
      <c r="AV308" s="43">
        <v>0</v>
      </c>
      <c r="AW308" s="43">
        <v>0</v>
      </c>
      <c r="AX308" s="43">
        <v>0</v>
      </c>
      <c r="AY308" s="43">
        <v>0</v>
      </c>
      <c r="AZ308" s="43">
        <v>0</v>
      </c>
      <c r="BA308" s="43">
        <v>0</v>
      </c>
      <c r="BB308" s="43">
        <v>0</v>
      </c>
      <c r="BC308" s="43">
        <v>0</v>
      </c>
      <c r="BD308" s="43">
        <v>0</v>
      </c>
      <c r="BE308" s="43">
        <v>0</v>
      </c>
      <c r="BF308" s="43">
        <v>0</v>
      </c>
      <c r="BG308" s="43">
        <v>0</v>
      </c>
      <c r="BH308" s="43">
        <v>0</v>
      </c>
      <c r="BI308" s="43">
        <v>0</v>
      </c>
      <c r="BJ308" s="43" t="s">
        <v>2090</v>
      </c>
      <c r="BK308" s="43" t="s">
        <v>2090</v>
      </c>
      <c r="BL308" s="43" t="s">
        <v>2090</v>
      </c>
      <c r="BM308" s="43" t="s">
        <v>2090</v>
      </c>
      <c r="BN308" s="43" t="s">
        <v>2090</v>
      </c>
      <c r="BO308" s="43" t="s">
        <v>2091</v>
      </c>
      <c r="BP308" s="43" t="s">
        <v>2090</v>
      </c>
      <c r="BQ308" s="43" t="s">
        <v>2091</v>
      </c>
      <c r="BR308" s="43" t="s">
        <v>2090</v>
      </c>
      <c r="BS308" s="43" t="s">
        <v>2090</v>
      </c>
      <c r="BT308" s="43" t="s">
        <v>2090</v>
      </c>
      <c r="BU308" s="43" t="s">
        <v>2090</v>
      </c>
      <c r="BV308" s="43" t="s">
        <v>2090</v>
      </c>
      <c r="BW308" s="43" t="s">
        <v>2090</v>
      </c>
    </row>
    <row r="309" spans="1:75" ht="135.19999999999999" customHeight="1" x14ac:dyDescent="0.25">
      <c r="A309" s="38" t="s">
        <v>1375</v>
      </c>
      <c r="B309" s="38" t="s">
        <v>1885</v>
      </c>
      <c r="C309" s="39" t="s">
        <v>1376</v>
      </c>
      <c r="D309" s="40" t="s">
        <v>1377</v>
      </c>
      <c r="E309" s="41">
        <v>31460.509249999999</v>
      </c>
      <c r="F309" s="41">
        <v>2092332.52468</v>
      </c>
      <c r="G309" s="41">
        <v>221326.7</v>
      </c>
      <c r="H309" s="41">
        <v>262400.40000000002</v>
      </c>
      <c r="I309" s="42">
        <v>0.81165221885498151</v>
      </c>
      <c r="J309" s="41">
        <v>0</v>
      </c>
      <c r="K309" s="41">
        <v>33243.43662</v>
      </c>
      <c r="L309" s="41">
        <v>102156.8</v>
      </c>
      <c r="M309" s="41">
        <v>201071</v>
      </c>
      <c r="N309" s="42">
        <v>0.49421738580285968</v>
      </c>
      <c r="O309" s="41">
        <v>17441.703079999999</v>
      </c>
      <c r="P309" s="41">
        <v>1917080.7625500001</v>
      </c>
      <c r="Q309" s="41">
        <v>123495.5</v>
      </c>
      <c r="R309" s="41">
        <v>157915.70000000001</v>
      </c>
      <c r="S309" s="42">
        <v>0.75007091975036255</v>
      </c>
      <c r="T309" s="41">
        <v>2517.3543</v>
      </c>
      <c r="U309" s="41">
        <v>459699.59237000003</v>
      </c>
      <c r="V309" s="41">
        <v>64541.599999999999</v>
      </c>
      <c r="W309" s="41">
        <v>266733.40000000002</v>
      </c>
      <c r="X309" s="42">
        <v>0.22937178223749041</v>
      </c>
      <c r="Y309" s="43">
        <v>2</v>
      </c>
      <c r="Z309" s="43" t="s">
        <v>2090</v>
      </c>
      <c r="AA309" s="43" t="s">
        <v>2091</v>
      </c>
      <c r="AB309" s="43" t="s">
        <v>2090</v>
      </c>
      <c r="AC309" s="43" t="s">
        <v>2090</v>
      </c>
      <c r="AD309" s="43">
        <v>0</v>
      </c>
      <c r="AE309" s="43">
        <v>0</v>
      </c>
      <c r="AF309" s="43">
        <v>0</v>
      </c>
      <c r="AG309" s="43">
        <v>0</v>
      </c>
      <c r="AH309" s="43">
        <v>0</v>
      </c>
      <c r="AI309" s="43">
        <v>0</v>
      </c>
      <c r="AJ309" s="43">
        <v>0</v>
      </c>
      <c r="AK309" s="43">
        <v>0</v>
      </c>
      <c r="AL309" s="43">
        <v>0</v>
      </c>
      <c r="AM309" s="43">
        <v>0</v>
      </c>
      <c r="AN309" s="43">
        <v>1</v>
      </c>
      <c r="AO309" s="43">
        <v>0</v>
      </c>
      <c r="AP309" s="43">
        <v>0</v>
      </c>
      <c r="AQ309" s="43">
        <v>0</v>
      </c>
      <c r="AR309" s="43">
        <v>0</v>
      </c>
      <c r="AS309" s="43">
        <v>0</v>
      </c>
      <c r="AT309" s="43">
        <v>0</v>
      </c>
      <c r="AU309" s="43">
        <v>0</v>
      </c>
      <c r="AV309" s="43">
        <v>0</v>
      </c>
      <c r="AW309" s="43">
        <v>0</v>
      </c>
      <c r="AX309" s="43">
        <v>0</v>
      </c>
      <c r="AY309" s="43">
        <v>0</v>
      </c>
      <c r="AZ309" s="43">
        <v>0</v>
      </c>
      <c r="BA309" s="43">
        <v>0</v>
      </c>
      <c r="BB309" s="43">
        <v>0</v>
      </c>
      <c r="BC309" s="43">
        <v>0</v>
      </c>
      <c r="BD309" s="43">
        <v>0</v>
      </c>
      <c r="BE309" s="43">
        <v>0</v>
      </c>
      <c r="BF309" s="43">
        <v>0</v>
      </c>
      <c r="BG309" s="43">
        <v>0</v>
      </c>
      <c r="BH309" s="43">
        <v>0</v>
      </c>
      <c r="BI309" s="43">
        <v>0</v>
      </c>
      <c r="BJ309" s="43" t="s">
        <v>2090</v>
      </c>
      <c r="BK309" s="43" t="s">
        <v>2090</v>
      </c>
      <c r="BL309" s="43" t="s">
        <v>2090</v>
      </c>
      <c r="BM309" s="43" t="s">
        <v>2090</v>
      </c>
      <c r="BN309" s="43" t="s">
        <v>2090</v>
      </c>
      <c r="BO309" s="43" t="s">
        <v>2090</v>
      </c>
      <c r="BP309" s="43" t="s">
        <v>2090</v>
      </c>
      <c r="BQ309" s="43" t="s">
        <v>2090</v>
      </c>
      <c r="BR309" s="43" t="s">
        <v>2091</v>
      </c>
      <c r="BS309" s="43" t="s">
        <v>2091</v>
      </c>
      <c r="BT309" s="43" t="s">
        <v>2090</v>
      </c>
      <c r="BU309" s="43" t="s">
        <v>2090</v>
      </c>
      <c r="BV309" s="43" t="s">
        <v>2090</v>
      </c>
      <c r="BW309" s="43" t="s">
        <v>2090</v>
      </c>
    </row>
    <row r="310" spans="1:75" ht="120.2" customHeight="1" x14ac:dyDescent="0.25">
      <c r="A310" s="38" t="s">
        <v>1378</v>
      </c>
      <c r="B310" s="38" t="s">
        <v>1886</v>
      </c>
      <c r="C310" s="39" t="s">
        <v>1379</v>
      </c>
      <c r="D310" s="40" t="s">
        <v>1380</v>
      </c>
      <c r="E310" s="41">
        <v>31788.963950000001</v>
      </c>
      <c r="F310" s="41">
        <v>1722847.6391400001</v>
      </c>
      <c r="G310" s="41">
        <v>23638.2</v>
      </c>
      <c r="H310" s="41">
        <v>34362.9</v>
      </c>
      <c r="I310" s="42">
        <v>0.65736040609137059</v>
      </c>
      <c r="J310" s="41">
        <v>2467.0424600000001</v>
      </c>
      <c r="K310" s="41">
        <v>134864.74974</v>
      </c>
      <c r="L310" s="41">
        <v>32173.3</v>
      </c>
      <c r="M310" s="41">
        <v>53537.2</v>
      </c>
      <c r="N310" s="42">
        <v>0.5799891347993481</v>
      </c>
      <c r="O310" s="41">
        <v>6750.8959000000004</v>
      </c>
      <c r="P310" s="41">
        <v>757962.66220000002</v>
      </c>
      <c r="Q310" s="41">
        <v>7172.5</v>
      </c>
      <c r="R310" s="41">
        <v>9124.7999999999993</v>
      </c>
      <c r="S310" s="42">
        <v>0.74833610648918469</v>
      </c>
      <c r="T310" s="41">
        <v>34192.235249999998</v>
      </c>
      <c r="U310" s="41">
        <v>753560.65974999999</v>
      </c>
      <c r="V310" s="41">
        <v>13318</v>
      </c>
      <c r="W310" s="41">
        <v>38219.599999999999</v>
      </c>
      <c r="X310" s="42">
        <v>0.33911234396671297</v>
      </c>
      <c r="Y310" s="43">
        <v>2</v>
      </c>
      <c r="Z310" s="43" t="s">
        <v>2090</v>
      </c>
      <c r="AA310" s="43" t="s">
        <v>2091</v>
      </c>
      <c r="AB310" s="43" t="s">
        <v>2090</v>
      </c>
      <c r="AC310" s="43" t="s">
        <v>2090</v>
      </c>
      <c r="AD310" s="43">
        <v>0</v>
      </c>
      <c r="AE310" s="43">
        <v>0</v>
      </c>
      <c r="AF310" s="43">
        <v>0</v>
      </c>
      <c r="AG310" s="43">
        <v>0</v>
      </c>
      <c r="AH310" s="43">
        <v>0</v>
      </c>
      <c r="AI310" s="43">
        <v>0</v>
      </c>
      <c r="AJ310" s="43">
        <v>0</v>
      </c>
      <c r="AK310" s="43">
        <v>0</v>
      </c>
      <c r="AL310" s="43">
        <v>0</v>
      </c>
      <c r="AM310" s="43">
        <v>0</v>
      </c>
      <c r="AN310" s="43">
        <v>1</v>
      </c>
      <c r="AO310" s="43">
        <v>0</v>
      </c>
      <c r="AP310" s="43">
        <v>0</v>
      </c>
      <c r="AQ310" s="43">
        <v>0</v>
      </c>
      <c r="AR310" s="43">
        <v>0</v>
      </c>
      <c r="AS310" s="43">
        <v>0</v>
      </c>
      <c r="AT310" s="43">
        <v>0</v>
      </c>
      <c r="AU310" s="43">
        <v>0</v>
      </c>
      <c r="AV310" s="43">
        <v>0</v>
      </c>
      <c r="AW310" s="43">
        <v>0</v>
      </c>
      <c r="AX310" s="43">
        <v>0</v>
      </c>
      <c r="AY310" s="43">
        <v>0</v>
      </c>
      <c r="AZ310" s="43">
        <v>0</v>
      </c>
      <c r="BA310" s="43">
        <v>0</v>
      </c>
      <c r="BB310" s="43">
        <v>0</v>
      </c>
      <c r="BC310" s="43">
        <v>0</v>
      </c>
      <c r="BD310" s="43">
        <v>0</v>
      </c>
      <c r="BE310" s="43">
        <v>0</v>
      </c>
      <c r="BF310" s="43">
        <v>0</v>
      </c>
      <c r="BG310" s="43">
        <v>0</v>
      </c>
      <c r="BH310" s="43">
        <v>0</v>
      </c>
      <c r="BI310" s="43">
        <v>0</v>
      </c>
      <c r="BJ310" s="43" t="s">
        <v>2090</v>
      </c>
      <c r="BK310" s="43" t="s">
        <v>2090</v>
      </c>
      <c r="BL310" s="43" t="s">
        <v>2090</v>
      </c>
      <c r="BM310" s="43" t="s">
        <v>2090</v>
      </c>
      <c r="BN310" s="43" t="s">
        <v>2090</v>
      </c>
      <c r="BO310" s="43" t="s">
        <v>2090</v>
      </c>
      <c r="BP310" s="43" t="s">
        <v>2090</v>
      </c>
      <c r="BQ310" s="43" t="s">
        <v>2090</v>
      </c>
      <c r="BR310" s="43" t="s">
        <v>2091</v>
      </c>
      <c r="BS310" s="43" t="s">
        <v>2090</v>
      </c>
      <c r="BT310" s="43" t="s">
        <v>2091</v>
      </c>
      <c r="BU310" s="43" t="s">
        <v>2090</v>
      </c>
      <c r="BV310" s="43" t="s">
        <v>2090</v>
      </c>
      <c r="BW310" s="43" t="s">
        <v>2090</v>
      </c>
    </row>
    <row r="311" spans="1:75" ht="125.45" customHeight="1" x14ac:dyDescent="0.25">
      <c r="A311" s="38" t="s">
        <v>1381</v>
      </c>
      <c r="B311" s="38" t="s">
        <v>1887</v>
      </c>
      <c r="C311" s="39" t="s">
        <v>1382</v>
      </c>
      <c r="D311" s="40" t="s">
        <v>1383</v>
      </c>
      <c r="E311" s="41">
        <v>70101.078089999995</v>
      </c>
      <c r="F311" s="41">
        <v>2980666.4693399998</v>
      </c>
      <c r="G311" s="41">
        <v>106947.3</v>
      </c>
      <c r="H311" s="41">
        <v>102001.2</v>
      </c>
      <c r="I311" s="42">
        <v>0.99917658047389635</v>
      </c>
      <c r="J311" s="41">
        <v>0</v>
      </c>
      <c r="K311" s="41">
        <v>0</v>
      </c>
      <c r="L311" s="41">
        <v>10427.1</v>
      </c>
      <c r="M311" s="41">
        <v>84689.3</v>
      </c>
      <c r="N311" s="42">
        <v>0.12050054538843775</v>
      </c>
      <c r="O311" s="41">
        <v>4771.9777599999998</v>
      </c>
      <c r="P311" s="41">
        <v>752926.10545000003</v>
      </c>
      <c r="Q311" s="41">
        <v>40616.800000000003</v>
      </c>
      <c r="R311" s="41">
        <v>169518.5</v>
      </c>
      <c r="S311" s="42">
        <v>0.22360280971581176</v>
      </c>
      <c r="T311" s="41">
        <v>2431.6913</v>
      </c>
      <c r="U311" s="41">
        <v>460015.65383999998</v>
      </c>
      <c r="V311" s="41">
        <v>15582.5</v>
      </c>
      <c r="W311" s="41">
        <v>108313.1</v>
      </c>
      <c r="X311" s="42">
        <v>0.14141650209752621</v>
      </c>
      <c r="Y311" s="43">
        <v>2</v>
      </c>
      <c r="Z311" s="43" t="s">
        <v>2090</v>
      </c>
      <c r="AA311" s="43" t="s">
        <v>2091</v>
      </c>
      <c r="AB311" s="43" t="s">
        <v>2090</v>
      </c>
      <c r="AC311" s="43" t="s">
        <v>2090</v>
      </c>
      <c r="AD311" s="43">
        <v>0</v>
      </c>
      <c r="AE311" s="43">
        <v>0</v>
      </c>
      <c r="AF311" s="43">
        <v>0</v>
      </c>
      <c r="AG311" s="43">
        <v>0</v>
      </c>
      <c r="AH311" s="43">
        <v>0</v>
      </c>
      <c r="AI311" s="43">
        <v>0</v>
      </c>
      <c r="AJ311" s="43">
        <v>0</v>
      </c>
      <c r="AK311" s="43">
        <v>0</v>
      </c>
      <c r="AL311" s="43">
        <v>0</v>
      </c>
      <c r="AM311" s="43">
        <v>0</v>
      </c>
      <c r="AN311" s="43">
        <v>1</v>
      </c>
      <c r="AO311" s="43">
        <v>0</v>
      </c>
      <c r="AP311" s="43">
        <v>0</v>
      </c>
      <c r="AQ311" s="43">
        <v>0</v>
      </c>
      <c r="AR311" s="43">
        <v>0</v>
      </c>
      <c r="AS311" s="43">
        <v>0</v>
      </c>
      <c r="AT311" s="43">
        <v>0</v>
      </c>
      <c r="AU311" s="43">
        <v>0</v>
      </c>
      <c r="AV311" s="43">
        <v>0</v>
      </c>
      <c r="AW311" s="43">
        <v>0</v>
      </c>
      <c r="AX311" s="43">
        <v>0</v>
      </c>
      <c r="AY311" s="43">
        <v>0</v>
      </c>
      <c r="AZ311" s="43">
        <v>0</v>
      </c>
      <c r="BA311" s="43">
        <v>0</v>
      </c>
      <c r="BB311" s="43">
        <v>0</v>
      </c>
      <c r="BC311" s="43">
        <v>0</v>
      </c>
      <c r="BD311" s="43">
        <v>0</v>
      </c>
      <c r="BE311" s="43">
        <v>0</v>
      </c>
      <c r="BF311" s="43">
        <v>0</v>
      </c>
      <c r="BG311" s="43">
        <v>0</v>
      </c>
      <c r="BH311" s="43">
        <v>0</v>
      </c>
      <c r="BI311" s="43">
        <v>0</v>
      </c>
      <c r="BJ311" s="43" t="s">
        <v>2090</v>
      </c>
      <c r="BK311" s="43" t="s">
        <v>2090</v>
      </c>
      <c r="BL311" s="43" t="s">
        <v>2090</v>
      </c>
      <c r="BM311" s="43" t="s">
        <v>2090</v>
      </c>
      <c r="BN311" s="43" t="s">
        <v>2090</v>
      </c>
      <c r="BO311" s="43" t="s">
        <v>2090</v>
      </c>
      <c r="BP311" s="43" t="s">
        <v>2090</v>
      </c>
      <c r="BQ311" s="43" t="s">
        <v>2090</v>
      </c>
      <c r="BR311" s="43" t="s">
        <v>2091</v>
      </c>
      <c r="BS311" s="43" t="s">
        <v>2090</v>
      </c>
      <c r="BT311" s="43" t="s">
        <v>2091</v>
      </c>
      <c r="BU311" s="43" t="s">
        <v>2090</v>
      </c>
      <c r="BV311" s="43" t="s">
        <v>2090</v>
      </c>
      <c r="BW311" s="43" t="s">
        <v>2090</v>
      </c>
    </row>
    <row r="312" spans="1:75" ht="153.94999999999999" customHeight="1" x14ac:dyDescent="0.25">
      <c r="A312" s="38" t="s">
        <v>1384</v>
      </c>
      <c r="B312" s="38" t="s">
        <v>1888</v>
      </c>
      <c r="C312" s="47" t="s">
        <v>1385</v>
      </c>
      <c r="D312" s="48" t="s">
        <v>1386</v>
      </c>
      <c r="E312" s="41">
        <v>65370.8799</v>
      </c>
      <c r="F312" s="41">
        <v>2831825.8510799999</v>
      </c>
      <c r="G312" s="41">
        <v>73175.100000000006</v>
      </c>
      <c r="H312" s="41">
        <v>101770.1</v>
      </c>
      <c r="I312" s="42">
        <v>0.64909893782074235</v>
      </c>
      <c r="J312" s="41">
        <v>0</v>
      </c>
      <c r="K312" s="41">
        <v>772.65387999999996</v>
      </c>
      <c r="L312" s="41">
        <v>21203.3</v>
      </c>
      <c r="M312" s="41">
        <v>119163.2</v>
      </c>
      <c r="N312" s="42">
        <v>0.16848972912449939</v>
      </c>
      <c r="O312" s="41">
        <v>0</v>
      </c>
      <c r="P312" s="41">
        <v>92740.548930000004</v>
      </c>
      <c r="Q312" s="41">
        <v>13550.8</v>
      </c>
      <c r="R312" s="41">
        <v>68470</v>
      </c>
      <c r="S312" s="42">
        <v>0.19004837595024188</v>
      </c>
      <c r="T312" s="41">
        <v>2606.8669799999998</v>
      </c>
      <c r="U312" s="41">
        <v>476137.83374999999</v>
      </c>
      <c r="V312" s="41">
        <v>41647.1</v>
      </c>
      <c r="W312" s="41">
        <v>246354.3</v>
      </c>
      <c r="X312" s="42">
        <v>0.16182371312196156</v>
      </c>
      <c r="Y312" s="43">
        <v>2</v>
      </c>
      <c r="Z312" s="43" t="s">
        <v>2090</v>
      </c>
      <c r="AA312" s="43" t="s">
        <v>2091</v>
      </c>
      <c r="AB312" s="43" t="s">
        <v>2090</v>
      </c>
      <c r="AC312" s="43" t="s">
        <v>2090</v>
      </c>
      <c r="AD312" s="43">
        <v>0</v>
      </c>
      <c r="AE312" s="43">
        <v>0</v>
      </c>
      <c r="AF312" s="43">
        <v>0</v>
      </c>
      <c r="AG312" s="43">
        <v>0</v>
      </c>
      <c r="AH312" s="43">
        <v>0</v>
      </c>
      <c r="AI312" s="43">
        <v>0</v>
      </c>
      <c r="AJ312" s="43">
        <v>0</v>
      </c>
      <c r="AK312" s="43">
        <v>0</v>
      </c>
      <c r="AL312" s="43">
        <v>0</v>
      </c>
      <c r="AM312" s="43">
        <v>0</v>
      </c>
      <c r="AN312" s="43">
        <v>1</v>
      </c>
      <c r="AO312" s="43">
        <v>0</v>
      </c>
      <c r="AP312" s="43">
        <v>0</v>
      </c>
      <c r="AQ312" s="43">
        <v>0</v>
      </c>
      <c r="AR312" s="43">
        <v>0</v>
      </c>
      <c r="AS312" s="43">
        <v>0</v>
      </c>
      <c r="AT312" s="43">
        <v>0</v>
      </c>
      <c r="AU312" s="43">
        <v>0</v>
      </c>
      <c r="AV312" s="43">
        <v>0</v>
      </c>
      <c r="AW312" s="43">
        <v>0</v>
      </c>
      <c r="AX312" s="43">
        <v>0</v>
      </c>
      <c r="AY312" s="43">
        <v>0</v>
      </c>
      <c r="AZ312" s="43">
        <v>0</v>
      </c>
      <c r="BA312" s="43">
        <v>0</v>
      </c>
      <c r="BB312" s="43">
        <v>0</v>
      </c>
      <c r="BC312" s="43">
        <v>0</v>
      </c>
      <c r="BD312" s="43">
        <v>0</v>
      </c>
      <c r="BE312" s="43">
        <v>0</v>
      </c>
      <c r="BF312" s="43">
        <v>0</v>
      </c>
      <c r="BG312" s="43">
        <v>0</v>
      </c>
      <c r="BH312" s="43">
        <v>0</v>
      </c>
      <c r="BI312" s="43">
        <v>0</v>
      </c>
      <c r="BJ312" s="43" t="s">
        <v>2090</v>
      </c>
      <c r="BK312" s="43" t="s">
        <v>2090</v>
      </c>
      <c r="BL312" s="43" t="s">
        <v>2090</v>
      </c>
      <c r="BM312" s="43" t="s">
        <v>2090</v>
      </c>
      <c r="BN312" s="43" t="s">
        <v>2090</v>
      </c>
      <c r="BO312" s="43" t="s">
        <v>2090</v>
      </c>
      <c r="BP312" s="43" t="s">
        <v>2090</v>
      </c>
      <c r="BQ312" s="43" t="s">
        <v>2090</v>
      </c>
      <c r="BR312" s="43" t="s">
        <v>2091</v>
      </c>
      <c r="BS312" s="43" t="s">
        <v>2090</v>
      </c>
      <c r="BT312" s="43" t="s">
        <v>2091</v>
      </c>
      <c r="BU312" s="43" t="s">
        <v>2090</v>
      </c>
      <c r="BV312" s="43" t="s">
        <v>2090</v>
      </c>
      <c r="BW312" s="43" t="s">
        <v>2090</v>
      </c>
    </row>
    <row r="313" spans="1:75" ht="199.7" customHeight="1" x14ac:dyDescent="0.25">
      <c r="A313" s="38" t="s">
        <v>1387</v>
      </c>
      <c r="B313" s="38" t="s">
        <v>1889</v>
      </c>
      <c r="C313" s="39" t="s">
        <v>1388</v>
      </c>
      <c r="D313" s="40" t="s">
        <v>1389</v>
      </c>
      <c r="E313" s="41">
        <v>39968.949589999997</v>
      </c>
      <c r="F313" s="41">
        <v>2382964.0085900002</v>
      </c>
      <c r="G313" s="41">
        <v>216055.3</v>
      </c>
      <c r="H313" s="41">
        <v>219783.3</v>
      </c>
      <c r="I313" s="42">
        <v>0.94926751040221924</v>
      </c>
      <c r="J313" s="41">
        <v>1685.5328400000001</v>
      </c>
      <c r="K313" s="41">
        <v>320259.54931999999</v>
      </c>
      <c r="L313" s="41">
        <v>53777</v>
      </c>
      <c r="M313" s="41">
        <v>212939.3</v>
      </c>
      <c r="N313" s="42">
        <v>0.2402644336712208</v>
      </c>
      <c r="O313" s="41">
        <v>0</v>
      </c>
      <c r="P313" s="41">
        <v>291719.19131999998</v>
      </c>
      <c r="Q313" s="41">
        <v>25729.5</v>
      </c>
      <c r="R313" s="41">
        <v>62577.7</v>
      </c>
      <c r="S313" s="42">
        <v>0.39533175206229926</v>
      </c>
      <c r="T313" s="41">
        <v>8537.2983299999996</v>
      </c>
      <c r="U313" s="41">
        <v>1063459.7882900001</v>
      </c>
      <c r="V313" s="41">
        <v>74529.5</v>
      </c>
      <c r="W313" s="41">
        <v>195766.1</v>
      </c>
      <c r="X313" s="42">
        <v>0.36225885654156437</v>
      </c>
      <c r="Y313" s="43">
        <v>2</v>
      </c>
      <c r="Z313" s="43" t="s">
        <v>2090</v>
      </c>
      <c r="AA313" s="43" t="s">
        <v>2091</v>
      </c>
      <c r="AB313" s="43" t="s">
        <v>2090</v>
      </c>
      <c r="AC313" s="43" t="s">
        <v>2090</v>
      </c>
      <c r="AD313" s="43">
        <v>0</v>
      </c>
      <c r="AE313" s="43">
        <v>0</v>
      </c>
      <c r="AF313" s="43">
        <v>0</v>
      </c>
      <c r="AG313" s="43">
        <v>0</v>
      </c>
      <c r="AH313" s="43">
        <v>0</v>
      </c>
      <c r="AI313" s="43">
        <v>0</v>
      </c>
      <c r="AJ313" s="43">
        <v>0</v>
      </c>
      <c r="AK313" s="43">
        <v>0</v>
      </c>
      <c r="AL313" s="43">
        <v>0</v>
      </c>
      <c r="AM313" s="43">
        <v>0</v>
      </c>
      <c r="AN313" s="43">
        <v>1</v>
      </c>
      <c r="AO313" s="43">
        <v>0</v>
      </c>
      <c r="AP313" s="43">
        <v>0</v>
      </c>
      <c r="AQ313" s="43">
        <v>0</v>
      </c>
      <c r="AR313" s="43">
        <v>0</v>
      </c>
      <c r="AS313" s="43">
        <v>0</v>
      </c>
      <c r="AT313" s="43">
        <v>0</v>
      </c>
      <c r="AU313" s="43">
        <v>0</v>
      </c>
      <c r="AV313" s="43">
        <v>0</v>
      </c>
      <c r="AW313" s="43">
        <v>0</v>
      </c>
      <c r="AX313" s="43">
        <v>0</v>
      </c>
      <c r="AY313" s="43">
        <v>0</v>
      </c>
      <c r="AZ313" s="43">
        <v>0</v>
      </c>
      <c r="BA313" s="43">
        <v>0</v>
      </c>
      <c r="BB313" s="43">
        <v>0</v>
      </c>
      <c r="BC313" s="43">
        <v>0</v>
      </c>
      <c r="BD313" s="43">
        <v>0</v>
      </c>
      <c r="BE313" s="43">
        <v>0</v>
      </c>
      <c r="BF313" s="43">
        <v>0</v>
      </c>
      <c r="BG313" s="43">
        <v>0</v>
      </c>
      <c r="BH313" s="43">
        <v>0</v>
      </c>
      <c r="BI313" s="43">
        <v>0</v>
      </c>
      <c r="BJ313" s="43" t="s">
        <v>2090</v>
      </c>
      <c r="BK313" s="43" t="s">
        <v>2090</v>
      </c>
      <c r="BL313" s="43" t="s">
        <v>2090</v>
      </c>
      <c r="BM313" s="43" t="s">
        <v>2090</v>
      </c>
      <c r="BN313" s="43" t="s">
        <v>2090</v>
      </c>
      <c r="BO313" s="43" t="s">
        <v>2091</v>
      </c>
      <c r="BP313" s="43" t="s">
        <v>2090</v>
      </c>
      <c r="BQ313" s="43" t="s">
        <v>2091</v>
      </c>
      <c r="BR313" s="43" t="s">
        <v>2090</v>
      </c>
      <c r="BS313" s="43" t="s">
        <v>2090</v>
      </c>
      <c r="BT313" s="43" t="s">
        <v>2090</v>
      </c>
      <c r="BU313" s="43" t="s">
        <v>2090</v>
      </c>
      <c r="BV313" s="43" t="s">
        <v>2090</v>
      </c>
      <c r="BW313" s="43" t="s">
        <v>2090</v>
      </c>
    </row>
    <row r="314" spans="1:75" ht="219.2" customHeight="1" x14ac:dyDescent="0.25">
      <c r="A314" s="38" t="s">
        <v>1390</v>
      </c>
      <c r="B314" s="38" t="s">
        <v>1890</v>
      </c>
      <c r="C314" s="39" t="s">
        <v>1391</v>
      </c>
      <c r="D314" s="40" t="s">
        <v>1392</v>
      </c>
      <c r="E314" s="41">
        <v>62821.871659999997</v>
      </c>
      <c r="F314" s="41">
        <v>2841888.4961899999</v>
      </c>
      <c r="G314" s="41">
        <v>84535.2</v>
      </c>
      <c r="H314" s="41">
        <v>79329.100000000006</v>
      </c>
      <c r="I314" s="42">
        <v>1.0415643084431108</v>
      </c>
      <c r="J314" s="41">
        <v>20620.716960000002</v>
      </c>
      <c r="K314" s="41">
        <v>1703296.6073</v>
      </c>
      <c r="L314" s="41">
        <v>144574.1</v>
      </c>
      <c r="M314" s="41">
        <v>210236.5</v>
      </c>
      <c r="N314" s="42">
        <v>0.65086592698940937</v>
      </c>
      <c r="O314" s="41">
        <v>8311.4937000000009</v>
      </c>
      <c r="P314" s="41">
        <v>1169605.69674</v>
      </c>
      <c r="Q314" s="41">
        <v>36526.6</v>
      </c>
      <c r="R314" s="41">
        <v>88381.2</v>
      </c>
      <c r="S314" s="42">
        <v>0.40172597268181759</v>
      </c>
      <c r="T314" s="41">
        <v>56150.527699999999</v>
      </c>
      <c r="U314" s="41">
        <v>2777494.9279700001</v>
      </c>
      <c r="V314" s="41">
        <v>69270</v>
      </c>
      <c r="W314" s="41">
        <v>73811.100000000006</v>
      </c>
      <c r="X314" s="42">
        <v>0.87788340318239122</v>
      </c>
      <c r="Y314" s="43">
        <v>2</v>
      </c>
      <c r="Z314" s="43" t="s">
        <v>2090</v>
      </c>
      <c r="AA314" s="43" t="s">
        <v>2091</v>
      </c>
      <c r="AB314" s="43" t="s">
        <v>2090</v>
      </c>
      <c r="AC314" s="43" t="s">
        <v>2090</v>
      </c>
      <c r="AD314" s="43">
        <v>0</v>
      </c>
      <c r="AE314" s="43">
        <v>0</v>
      </c>
      <c r="AF314" s="43">
        <v>0</v>
      </c>
      <c r="AG314" s="43">
        <v>0</v>
      </c>
      <c r="AH314" s="43">
        <v>0</v>
      </c>
      <c r="AI314" s="43">
        <v>0</v>
      </c>
      <c r="AJ314" s="43">
        <v>0</v>
      </c>
      <c r="AK314" s="43">
        <v>0</v>
      </c>
      <c r="AL314" s="43">
        <v>0</v>
      </c>
      <c r="AM314" s="43">
        <v>0</v>
      </c>
      <c r="AN314" s="43">
        <v>1</v>
      </c>
      <c r="AO314" s="43">
        <v>0</v>
      </c>
      <c r="AP314" s="43">
        <v>0</v>
      </c>
      <c r="AQ314" s="43">
        <v>0</v>
      </c>
      <c r="AR314" s="43">
        <v>0</v>
      </c>
      <c r="AS314" s="43">
        <v>0</v>
      </c>
      <c r="AT314" s="43">
        <v>0</v>
      </c>
      <c r="AU314" s="43">
        <v>0</v>
      </c>
      <c r="AV314" s="43">
        <v>0</v>
      </c>
      <c r="AW314" s="43">
        <v>0</v>
      </c>
      <c r="AX314" s="43">
        <v>0</v>
      </c>
      <c r="AY314" s="43">
        <v>0</v>
      </c>
      <c r="AZ314" s="43">
        <v>0</v>
      </c>
      <c r="BA314" s="43">
        <v>0</v>
      </c>
      <c r="BB314" s="43">
        <v>0</v>
      </c>
      <c r="BC314" s="43">
        <v>0</v>
      </c>
      <c r="BD314" s="43">
        <v>0</v>
      </c>
      <c r="BE314" s="43">
        <v>0</v>
      </c>
      <c r="BF314" s="43">
        <v>0</v>
      </c>
      <c r="BG314" s="43">
        <v>0</v>
      </c>
      <c r="BH314" s="43">
        <v>0</v>
      </c>
      <c r="BI314" s="43">
        <v>0</v>
      </c>
      <c r="BJ314" s="43" t="s">
        <v>2090</v>
      </c>
      <c r="BK314" s="43" t="s">
        <v>2090</v>
      </c>
      <c r="BL314" s="43" t="s">
        <v>2090</v>
      </c>
      <c r="BM314" s="43" t="s">
        <v>2090</v>
      </c>
      <c r="BN314" s="43" t="s">
        <v>2090</v>
      </c>
      <c r="BO314" s="43" t="s">
        <v>2091</v>
      </c>
      <c r="BP314" s="43" t="s">
        <v>2091</v>
      </c>
      <c r="BQ314" s="43" t="s">
        <v>2090</v>
      </c>
      <c r="BR314" s="43" t="s">
        <v>2090</v>
      </c>
      <c r="BS314" s="43" t="s">
        <v>2090</v>
      </c>
      <c r="BT314" s="43" t="s">
        <v>2090</v>
      </c>
      <c r="BU314" s="43" t="s">
        <v>2090</v>
      </c>
      <c r="BV314" s="43" t="s">
        <v>2090</v>
      </c>
      <c r="BW314" s="43" t="s">
        <v>2090</v>
      </c>
    </row>
    <row r="315" spans="1:75" ht="216.95" customHeight="1" x14ac:dyDescent="0.25">
      <c r="A315" s="38" t="s">
        <v>1393</v>
      </c>
      <c r="B315" s="38" t="s">
        <v>1891</v>
      </c>
      <c r="C315" s="39" t="s">
        <v>1394</v>
      </c>
      <c r="D315" s="40" t="s">
        <v>1395</v>
      </c>
      <c r="E315" s="41">
        <v>4032.3040700000001</v>
      </c>
      <c r="F315" s="41">
        <v>551301.31200999999</v>
      </c>
      <c r="G315" s="41">
        <v>30937</v>
      </c>
      <c r="H315" s="41">
        <v>92797.7</v>
      </c>
      <c r="I315" s="42">
        <v>0.3272875118872059</v>
      </c>
      <c r="J315" s="41">
        <v>31475.634480000001</v>
      </c>
      <c r="K315" s="41">
        <v>1018.49376</v>
      </c>
      <c r="L315" s="41">
        <v>20456.400000000001</v>
      </c>
      <c r="M315" s="41">
        <v>80987.399999999994</v>
      </c>
      <c r="N315" s="42">
        <v>0.24517324738114424</v>
      </c>
      <c r="O315" s="41">
        <v>0</v>
      </c>
      <c r="P315" s="41">
        <v>121299.78379</v>
      </c>
      <c r="Q315" s="41">
        <v>13533</v>
      </c>
      <c r="R315" s="41">
        <v>59397.8</v>
      </c>
      <c r="S315" s="42">
        <v>0.22636923878135581</v>
      </c>
      <c r="T315" s="41">
        <v>10721.147559999999</v>
      </c>
      <c r="U315" s="41">
        <v>410607.28142999997</v>
      </c>
      <c r="V315" s="41">
        <v>16811.900000000001</v>
      </c>
      <c r="W315" s="41">
        <v>73173.899999999994</v>
      </c>
      <c r="X315" s="42">
        <v>0.23028464769015397</v>
      </c>
      <c r="Y315" s="43">
        <v>2</v>
      </c>
      <c r="Z315" s="43" t="s">
        <v>2090</v>
      </c>
      <c r="AA315" s="43" t="s">
        <v>2090</v>
      </c>
      <c r="AB315" s="43" t="s">
        <v>2090</v>
      </c>
      <c r="AC315" s="43" t="s">
        <v>2090</v>
      </c>
      <c r="AD315" s="43">
        <v>0</v>
      </c>
      <c r="AE315" s="43">
        <v>0</v>
      </c>
      <c r="AF315" s="43">
        <v>0</v>
      </c>
      <c r="AG315" s="43">
        <v>0</v>
      </c>
      <c r="AH315" s="43">
        <v>0</v>
      </c>
      <c r="AI315" s="43">
        <v>0</v>
      </c>
      <c r="AJ315" s="43">
        <v>0</v>
      </c>
      <c r="AK315" s="43">
        <v>0</v>
      </c>
      <c r="AL315" s="43">
        <v>0</v>
      </c>
      <c r="AM315" s="43">
        <v>0</v>
      </c>
      <c r="AN315" s="43">
        <v>1</v>
      </c>
      <c r="AO315" s="43">
        <v>0</v>
      </c>
      <c r="AP315" s="43">
        <v>0</v>
      </c>
      <c r="AQ315" s="43">
        <v>0</v>
      </c>
      <c r="AR315" s="43">
        <v>0</v>
      </c>
      <c r="AS315" s="43">
        <v>0</v>
      </c>
      <c r="AT315" s="43">
        <v>0</v>
      </c>
      <c r="AU315" s="43">
        <v>0</v>
      </c>
      <c r="AV315" s="43">
        <v>0</v>
      </c>
      <c r="AW315" s="43">
        <v>0</v>
      </c>
      <c r="AX315" s="43">
        <v>0</v>
      </c>
      <c r="AY315" s="43">
        <v>0</v>
      </c>
      <c r="AZ315" s="43">
        <v>0</v>
      </c>
      <c r="BA315" s="43">
        <v>0</v>
      </c>
      <c r="BB315" s="43">
        <v>0</v>
      </c>
      <c r="BC315" s="43">
        <v>0</v>
      </c>
      <c r="BD315" s="43">
        <v>0</v>
      </c>
      <c r="BE315" s="43">
        <v>0</v>
      </c>
      <c r="BF315" s="43">
        <v>0</v>
      </c>
      <c r="BG315" s="43">
        <v>1</v>
      </c>
      <c r="BH315" s="43">
        <v>0</v>
      </c>
      <c r="BI315" s="43">
        <v>0</v>
      </c>
      <c r="BJ315" s="43" t="s">
        <v>2090</v>
      </c>
      <c r="BK315" s="43" t="s">
        <v>2090</v>
      </c>
      <c r="BL315" s="43" t="s">
        <v>2090</v>
      </c>
      <c r="BM315" s="43" t="s">
        <v>2090</v>
      </c>
      <c r="BN315" s="43" t="s">
        <v>2090</v>
      </c>
      <c r="BO315" s="43" t="s">
        <v>2090</v>
      </c>
      <c r="BP315" s="43" t="s">
        <v>2090</v>
      </c>
      <c r="BQ315" s="43" t="s">
        <v>2090</v>
      </c>
      <c r="BR315" s="43" t="s">
        <v>2090</v>
      </c>
      <c r="BS315" s="43" t="s">
        <v>2090</v>
      </c>
      <c r="BT315" s="43" t="s">
        <v>2090</v>
      </c>
      <c r="BU315" s="43" t="s">
        <v>2090</v>
      </c>
      <c r="BV315" s="43" t="s">
        <v>2090</v>
      </c>
      <c r="BW315" s="43" t="s">
        <v>2090</v>
      </c>
    </row>
    <row r="316" spans="1:75" ht="265.7" customHeight="1" x14ac:dyDescent="0.25">
      <c r="A316" s="38" t="s">
        <v>1396</v>
      </c>
      <c r="B316" s="38" t="s">
        <v>1892</v>
      </c>
      <c r="C316" s="39" t="s">
        <v>1397</v>
      </c>
      <c r="D316" s="40" t="s">
        <v>1398</v>
      </c>
      <c r="E316" s="41">
        <v>11491.64163</v>
      </c>
      <c r="F316" s="41">
        <v>1286607.5596100001</v>
      </c>
      <c r="G316" s="41">
        <v>84465.1</v>
      </c>
      <c r="H316" s="41">
        <v>149178</v>
      </c>
      <c r="I316" s="42">
        <v>0.55404573327597695</v>
      </c>
      <c r="J316" s="41">
        <v>3284.6983799999998</v>
      </c>
      <c r="K316" s="41">
        <v>39488.589099999997</v>
      </c>
      <c r="L316" s="41">
        <v>35598</v>
      </c>
      <c r="M316" s="41">
        <v>161213.5</v>
      </c>
      <c r="N316" s="42">
        <v>0.22336865588399329</v>
      </c>
      <c r="O316" s="41">
        <v>2801.6509500000002</v>
      </c>
      <c r="P316" s="41">
        <v>298736.14906000003</v>
      </c>
      <c r="Q316" s="41">
        <v>47545.9</v>
      </c>
      <c r="R316" s="41">
        <v>134063.20000000001</v>
      </c>
      <c r="S316" s="42">
        <v>0.34760693379230778</v>
      </c>
      <c r="T316" s="41">
        <v>8363.1245500000005</v>
      </c>
      <c r="U316" s="41">
        <v>351162.81738000002</v>
      </c>
      <c r="V316" s="41">
        <v>20185</v>
      </c>
      <c r="W316" s="41">
        <v>65227.1</v>
      </c>
      <c r="X316" s="42">
        <v>0.31169292037142915</v>
      </c>
      <c r="Y316" s="43">
        <v>2</v>
      </c>
      <c r="Z316" s="43" t="s">
        <v>2090</v>
      </c>
      <c r="AA316" s="43" t="s">
        <v>2091</v>
      </c>
      <c r="AB316" s="43" t="s">
        <v>2090</v>
      </c>
      <c r="AC316" s="43" t="s">
        <v>2090</v>
      </c>
      <c r="AD316" s="43">
        <v>0</v>
      </c>
      <c r="AE316" s="43">
        <v>0</v>
      </c>
      <c r="AF316" s="43">
        <v>0</v>
      </c>
      <c r="AG316" s="43">
        <v>0</v>
      </c>
      <c r="AH316" s="43">
        <v>0</v>
      </c>
      <c r="AI316" s="43">
        <v>0</v>
      </c>
      <c r="AJ316" s="43">
        <v>0</v>
      </c>
      <c r="AK316" s="43">
        <v>0</v>
      </c>
      <c r="AL316" s="43">
        <v>0</v>
      </c>
      <c r="AM316" s="43">
        <v>0</v>
      </c>
      <c r="AN316" s="43">
        <v>0</v>
      </c>
      <c r="AO316" s="43">
        <v>0</v>
      </c>
      <c r="AP316" s="43">
        <v>0</v>
      </c>
      <c r="AQ316" s="43">
        <v>0</v>
      </c>
      <c r="AR316" s="43">
        <v>1</v>
      </c>
      <c r="AS316" s="43">
        <v>0</v>
      </c>
      <c r="AT316" s="43">
        <v>0</v>
      </c>
      <c r="AU316" s="43">
        <v>0</v>
      </c>
      <c r="AV316" s="43">
        <v>0</v>
      </c>
      <c r="AW316" s="43">
        <v>0</v>
      </c>
      <c r="AX316" s="43">
        <v>0</v>
      </c>
      <c r="AY316" s="43">
        <v>0</v>
      </c>
      <c r="AZ316" s="43">
        <v>0</v>
      </c>
      <c r="BA316" s="43">
        <v>0</v>
      </c>
      <c r="BB316" s="43">
        <v>0</v>
      </c>
      <c r="BC316" s="43">
        <v>0</v>
      </c>
      <c r="BD316" s="43">
        <v>0</v>
      </c>
      <c r="BE316" s="43">
        <v>0</v>
      </c>
      <c r="BF316" s="43">
        <v>0</v>
      </c>
      <c r="BG316" s="43">
        <v>0</v>
      </c>
      <c r="BH316" s="43">
        <v>0</v>
      </c>
      <c r="BI316" s="43">
        <v>0</v>
      </c>
      <c r="BJ316" s="43" t="s">
        <v>2090</v>
      </c>
      <c r="BK316" s="43" t="s">
        <v>2090</v>
      </c>
      <c r="BL316" s="43" t="s">
        <v>2090</v>
      </c>
      <c r="BM316" s="43" t="s">
        <v>2090</v>
      </c>
      <c r="BN316" s="43" t="s">
        <v>2090</v>
      </c>
      <c r="BO316" s="43" t="s">
        <v>2091</v>
      </c>
      <c r="BP316" s="43" t="s">
        <v>2090</v>
      </c>
      <c r="BQ316" s="43" t="s">
        <v>2091</v>
      </c>
      <c r="BR316" s="43" t="s">
        <v>2090</v>
      </c>
      <c r="BS316" s="43" t="s">
        <v>2090</v>
      </c>
      <c r="BT316" s="43" t="s">
        <v>2090</v>
      </c>
      <c r="BU316" s="43" t="s">
        <v>2090</v>
      </c>
      <c r="BV316" s="43" t="s">
        <v>2090</v>
      </c>
      <c r="BW316" s="43" t="s">
        <v>2090</v>
      </c>
    </row>
    <row r="317" spans="1:75" ht="117.2" customHeight="1" x14ac:dyDescent="0.25">
      <c r="A317" s="38" t="s">
        <v>1399</v>
      </c>
      <c r="B317" s="38" t="s">
        <v>1893</v>
      </c>
      <c r="C317" s="39" t="s">
        <v>1400</v>
      </c>
      <c r="D317" s="40" t="s">
        <v>1401</v>
      </c>
      <c r="E317" s="41">
        <v>52411.482730000003</v>
      </c>
      <c r="F317" s="41">
        <v>2606770.8477599998</v>
      </c>
      <c r="G317" s="41">
        <v>165655</v>
      </c>
      <c r="H317" s="41">
        <v>136037.9</v>
      </c>
      <c r="I317" s="42">
        <v>1.1721027899060164</v>
      </c>
      <c r="J317" s="41">
        <v>10800.34093</v>
      </c>
      <c r="K317" s="41">
        <v>1153331.8755300001</v>
      </c>
      <c r="L317" s="41">
        <v>153511.29999999999</v>
      </c>
      <c r="M317" s="41">
        <v>247451.2</v>
      </c>
      <c r="N317" s="42">
        <v>0.60035133507327842</v>
      </c>
      <c r="O317" s="41">
        <v>0</v>
      </c>
      <c r="P317" s="41">
        <v>9554.5639100000008</v>
      </c>
      <c r="Q317" s="41">
        <v>76439.5</v>
      </c>
      <c r="R317" s="41">
        <v>297331.7</v>
      </c>
      <c r="S317" s="42">
        <v>0.23035944291601326</v>
      </c>
      <c r="T317" s="41">
        <v>18366.876420000001</v>
      </c>
      <c r="U317" s="41">
        <v>1657127.9713300001</v>
      </c>
      <c r="V317" s="41">
        <v>19407.8</v>
      </c>
      <c r="W317" s="41">
        <v>45799.9</v>
      </c>
      <c r="X317" s="42">
        <v>0.41184710826495896</v>
      </c>
      <c r="Y317" s="43">
        <v>2</v>
      </c>
      <c r="Z317" s="43" t="s">
        <v>2090</v>
      </c>
      <c r="AA317" s="43" t="s">
        <v>2091</v>
      </c>
      <c r="AB317" s="43" t="s">
        <v>2090</v>
      </c>
      <c r="AC317" s="43" t="s">
        <v>2090</v>
      </c>
      <c r="AD317" s="43">
        <v>0</v>
      </c>
      <c r="AE317" s="43">
        <v>0</v>
      </c>
      <c r="AF317" s="43">
        <v>0</v>
      </c>
      <c r="AG317" s="43">
        <v>0</v>
      </c>
      <c r="AH317" s="43">
        <v>0</v>
      </c>
      <c r="AI317" s="43">
        <v>0</v>
      </c>
      <c r="AJ317" s="43">
        <v>0</v>
      </c>
      <c r="AK317" s="43">
        <v>0</v>
      </c>
      <c r="AL317" s="43">
        <v>0</v>
      </c>
      <c r="AM317" s="43">
        <v>0</v>
      </c>
      <c r="AN317" s="43">
        <v>0</v>
      </c>
      <c r="AO317" s="43">
        <v>0</v>
      </c>
      <c r="AP317" s="43">
        <v>0</v>
      </c>
      <c r="AQ317" s="43">
        <v>0</v>
      </c>
      <c r="AR317" s="43">
        <v>1</v>
      </c>
      <c r="AS317" s="43">
        <v>0</v>
      </c>
      <c r="AT317" s="43">
        <v>0</v>
      </c>
      <c r="AU317" s="43">
        <v>0</v>
      </c>
      <c r="AV317" s="43">
        <v>0</v>
      </c>
      <c r="AW317" s="43">
        <v>0</v>
      </c>
      <c r="AX317" s="43">
        <v>0</v>
      </c>
      <c r="AY317" s="43">
        <v>0</v>
      </c>
      <c r="AZ317" s="43">
        <v>0</v>
      </c>
      <c r="BA317" s="43">
        <v>0</v>
      </c>
      <c r="BB317" s="43">
        <v>0</v>
      </c>
      <c r="BC317" s="43">
        <v>0</v>
      </c>
      <c r="BD317" s="43">
        <v>0</v>
      </c>
      <c r="BE317" s="43">
        <v>0</v>
      </c>
      <c r="BF317" s="43">
        <v>0</v>
      </c>
      <c r="BG317" s="43">
        <v>0</v>
      </c>
      <c r="BH317" s="43">
        <v>0</v>
      </c>
      <c r="BI317" s="43">
        <v>0</v>
      </c>
      <c r="BJ317" s="43" t="s">
        <v>2090</v>
      </c>
      <c r="BK317" s="43" t="s">
        <v>2090</v>
      </c>
      <c r="BL317" s="43" t="s">
        <v>2090</v>
      </c>
      <c r="BM317" s="43" t="s">
        <v>2090</v>
      </c>
      <c r="BN317" s="43" t="s">
        <v>2090</v>
      </c>
      <c r="BO317" s="43" t="s">
        <v>2091</v>
      </c>
      <c r="BP317" s="43" t="s">
        <v>2091</v>
      </c>
      <c r="BQ317" s="43" t="s">
        <v>2090</v>
      </c>
      <c r="BR317" s="43" t="s">
        <v>2090</v>
      </c>
      <c r="BS317" s="43" t="s">
        <v>2090</v>
      </c>
      <c r="BT317" s="43" t="s">
        <v>2090</v>
      </c>
      <c r="BU317" s="43" t="s">
        <v>2090</v>
      </c>
      <c r="BV317" s="43" t="s">
        <v>2090</v>
      </c>
      <c r="BW317" s="43" t="s">
        <v>2090</v>
      </c>
    </row>
    <row r="318" spans="1:75" ht="111.95" customHeight="1" x14ac:dyDescent="0.25">
      <c r="A318" s="38" t="s">
        <v>1402</v>
      </c>
      <c r="B318" s="38" t="s">
        <v>1894</v>
      </c>
      <c r="C318" s="39" t="s">
        <v>1403</v>
      </c>
      <c r="D318" s="40" t="s">
        <v>1404</v>
      </c>
      <c r="E318" s="41">
        <v>45464.114300000001</v>
      </c>
      <c r="F318" s="41">
        <v>2490768.0814700001</v>
      </c>
      <c r="G318" s="41">
        <v>155026.1</v>
      </c>
      <c r="H318" s="41">
        <v>163180.5</v>
      </c>
      <c r="I318" s="42">
        <v>0.90854034313539012</v>
      </c>
      <c r="J318" s="41">
        <v>1825.9789800000001</v>
      </c>
      <c r="K318" s="41">
        <v>330894.83033000003</v>
      </c>
      <c r="L318" s="41">
        <v>91568.5</v>
      </c>
      <c r="M318" s="41">
        <v>245659.6</v>
      </c>
      <c r="N318" s="42">
        <v>0.35640410056929844</v>
      </c>
      <c r="O318" s="41">
        <v>0</v>
      </c>
      <c r="P318" s="41">
        <v>58523.382660000003</v>
      </c>
      <c r="Q318" s="41">
        <v>19769.5</v>
      </c>
      <c r="R318" s="41">
        <v>97774.7</v>
      </c>
      <c r="S318" s="42">
        <v>0.19108231900194855</v>
      </c>
      <c r="T318" s="41">
        <v>10952.77997</v>
      </c>
      <c r="U318" s="41">
        <v>936313.27792999998</v>
      </c>
      <c r="V318" s="41">
        <v>60720.6</v>
      </c>
      <c r="W318" s="41">
        <v>158504.6</v>
      </c>
      <c r="X318" s="42">
        <v>0.36640411150215069</v>
      </c>
      <c r="Y318" s="43">
        <v>2</v>
      </c>
      <c r="Z318" s="43" t="s">
        <v>2090</v>
      </c>
      <c r="AA318" s="43" t="s">
        <v>2091</v>
      </c>
      <c r="AB318" s="43" t="s">
        <v>2090</v>
      </c>
      <c r="AC318" s="43" t="s">
        <v>2090</v>
      </c>
      <c r="AD318" s="43">
        <v>0</v>
      </c>
      <c r="AE318" s="43">
        <v>0</v>
      </c>
      <c r="AF318" s="43">
        <v>0</v>
      </c>
      <c r="AG318" s="43">
        <v>0</v>
      </c>
      <c r="AH318" s="43">
        <v>0</v>
      </c>
      <c r="AI318" s="43">
        <v>0</v>
      </c>
      <c r="AJ318" s="43">
        <v>0</v>
      </c>
      <c r="AK318" s="43">
        <v>0</v>
      </c>
      <c r="AL318" s="43">
        <v>0</v>
      </c>
      <c r="AM318" s="43">
        <v>0</v>
      </c>
      <c r="AN318" s="43">
        <v>0</v>
      </c>
      <c r="AO318" s="43">
        <v>0</v>
      </c>
      <c r="AP318" s="43">
        <v>0</v>
      </c>
      <c r="AQ318" s="43">
        <v>0</v>
      </c>
      <c r="AR318" s="43">
        <v>0</v>
      </c>
      <c r="AS318" s="43">
        <v>0</v>
      </c>
      <c r="AT318" s="43">
        <v>0</v>
      </c>
      <c r="AU318" s="43">
        <v>0</v>
      </c>
      <c r="AV318" s="43">
        <v>0</v>
      </c>
      <c r="AW318" s="43">
        <v>1</v>
      </c>
      <c r="AX318" s="43">
        <v>0</v>
      </c>
      <c r="AY318" s="43">
        <v>0</v>
      </c>
      <c r="AZ318" s="43">
        <v>0</v>
      </c>
      <c r="BA318" s="43">
        <v>0</v>
      </c>
      <c r="BB318" s="43">
        <v>0</v>
      </c>
      <c r="BC318" s="43">
        <v>0</v>
      </c>
      <c r="BD318" s="43">
        <v>0</v>
      </c>
      <c r="BE318" s="43">
        <v>0</v>
      </c>
      <c r="BF318" s="43">
        <v>0</v>
      </c>
      <c r="BG318" s="43">
        <v>0</v>
      </c>
      <c r="BH318" s="43">
        <v>0</v>
      </c>
      <c r="BI318" s="43">
        <v>0</v>
      </c>
      <c r="BJ318" s="43" t="s">
        <v>2090</v>
      </c>
      <c r="BK318" s="43" t="s">
        <v>2090</v>
      </c>
      <c r="BL318" s="43" t="s">
        <v>2090</v>
      </c>
      <c r="BM318" s="43" t="s">
        <v>2090</v>
      </c>
      <c r="BN318" s="43" t="s">
        <v>2090</v>
      </c>
      <c r="BO318" s="43" t="s">
        <v>2090</v>
      </c>
      <c r="BP318" s="43" t="s">
        <v>2090</v>
      </c>
      <c r="BQ318" s="43" t="s">
        <v>2090</v>
      </c>
      <c r="BR318" s="43" t="s">
        <v>2091</v>
      </c>
      <c r="BS318" s="43" t="s">
        <v>2090</v>
      </c>
      <c r="BT318" s="43" t="s">
        <v>2091</v>
      </c>
      <c r="BU318" s="43" t="s">
        <v>2090</v>
      </c>
      <c r="BV318" s="43" t="s">
        <v>2090</v>
      </c>
      <c r="BW318" s="43" t="s">
        <v>2090</v>
      </c>
    </row>
    <row r="319" spans="1:75" ht="145.69999999999999" customHeight="1" x14ac:dyDescent="0.25">
      <c r="A319" s="38" t="s">
        <v>1405</v>
      </c>
      <c r="B319" s="38" t="s">
        <v>1895</v>
      </c>
      <c r="C319" s="39" t="s">
        <v>1406</v>
      </c>
      <c r="D319" s="40" t="s">
        <v>1407</v>
      </c>
      <c r="E319" s="41">
        <v>2412.7863000000002</v>
      </c>
      <c r="F319" s="41">
        <v>432733.94738000003</v>
      </c>
      <c r="G319" s="41">
        <v>97797.6</v>
      </c>
      <c r="H319" s="41">
        <v>244253.1</v>
      </c>
      <c r="I319" s="42">
        <v>0.3780484741931433</v>
      </c>
      <c r="J319" s="41">
        <v>0</v>
      </c>
      <c r="K319" s="41">
        <v>0</v>
      </c>
      <c r="L319" s="41">
        <v>19889.900000000001</v>
      </c>
      <c r="M319" s="41">
        <v>116470.39999999999</v>
      </c>
      <c r="N319" s="42">
        <v>0.16284048128736991</v>
      </c>
      <c r="O319" s="41">
        <v>0</v>
      </c>
      <c r="P319" s="41">
        <v>94817.211899999995</v>
      </c>
      <c r="Q319" s="41">
        <v>18084.7</v>
      </c>
      <c r="R319" s="41">
        <v>136305.70000000001</v>
      </c>
      <c r="S319" s="42">
        <v>0.1254910539316216</v>
      </c>
      <c r="T319" s="41">
        <v>14104.275390000001</v>
      </c>
      <c r="U319" s="41">
        <v>386882.00293000002</v>
      </c>
      <c r="V319" s="41">
        <v>20462.2</v>
      </c>
      <c r="W319" s="41">
        <v>106511</v>
      </c>
      <c r="X319" s="42">
        <v>0.18782148808230095</v>
      </c>
      <c r="Y319" s="43">
        <v>2</v>
      </c>
      <c r="Z319" s="43" t="s">
        <v>2090</v>
      </c>
      <c r="AA319" s="43" t="s">
        <v>2091</v>
      </c>
      <c r="AB319" s="43" t="s">
        <v>2090</v>
      </c>
      <c r="AC319" s="43" t="s">
        <v>2090</v>
      </c>
      <c r="AD319" s="43">
        <v>0</v>
      </c>
      <c r="AE319" s="43">
        <v>0</v>
      </c>
      <c r="AF319" s="43">
        <v>0</v>
      </c>
      <c r="AG319" s="43">
        <v>0</v>
      </c>
      <c r="AH319" s="43">
        <v>0</v>
      </c>
      <c r="AI319" s="43">
        <v>0</v>
      </c>
      <c r="AJ319" s="43">
        <v>0</v>
      </c>
      <c r="AK319" s="43">
        <v>0</v>
      </c>
      <c r="AL319" s="43">
        <v>0</v>
      </c>
      <c r="AM319" s="43">
        <v>0</v>
      </c>
      <c r="AN319" s="43">
        <v>0</v>
      </c>
      <c r="AO319" s="43">
        <v>0</v>
      </c>
      <c r="AP319" s="43">
        <v>0</v>
      </c>
      <c r="AQ319" s="43">
        <v>0</v>
      </c>
      <c r="AR319" s="43">
        <v>0</v>
      </c>
      <c r="AS319" s="43">
        <v>0</v>
      </c>
      <c r="AT319" s="43">
        <v>0</v>
      </c>
      <c r="AU319" s="43">
        <v>0</v>
      </c>
      <c r="AV319" s="43">
        <v>0</v>
      </c>
      <c r="AW319" s="43">
        <v>1</v>
      </c>
      <c r="AX319" s="43">
        <v>0</v>
      </c>
      <c r="AY319" s="43">
        <v>0</v>
      </c>
      <c r="AZ319" s="43">
        <v>0</v>
      </c>
      <c r="BA319" s="43">
        <v>0</v>
      </c>
      <c r="BB319" s="43">
        <v>0</v>
      </c>
      <c r="BC319" s="43">
        <v>0</v>
      </c>
      <c r="BD319" s="43">
        <v>0</v>
      </c>
      <c r="BE319" s="43">
        <v>0</v>
      </c>
      <c r="BF319" s="43">
        <v>0</v>
      </c>
      <c r="BG319" s="43">
        <v>0</v>
      </c>
      <c r="BH319" s="43">
        <v>0</v>
      </c>
      <c r="BI319" s="43">
        <v>0</v>
      </c>
      <c r="BJ319" s="43" t="s">
        <v>2090</v>
      </c>
      <c r="BK319" s="43" t="s">
        <v>2090</v>
      </c>
      <c r="BL319" s="43" t="s">
        <v>2090</v>
      </c>
      <c r="BM319" s="43" t="s">
        <v>2090</v>
      </c>
      <c r="BN319" s="43" t="s">
        <v>2090</v>
      </c>
      <c r="BO319" s="43" t="s">
        <v>2090</v>
      </c>
      <c r="BP319" s="43" t="s">
        <v>2090</v>
      </c>
      <c r="BQ319" s="43" t="s">
        <v>2090</v>
      </c>
      <c r="BR319" s="43" t="s">
        <v>2091</v>
      </c>
      <c r="BS319" s="43" t="s">
        <v>2091</v>
      </c>
      <c r="BT319" s="43" t="s">
        <v>2090</v>
      </c>
      <c r="BU319" s="43" t="s">
        <v>2090</v>
      </c>
      <c r="BV319" s="43" t="s">
        <v>2090</v>
      </c>
      <c r="BW319" s="43" t="s">
        <v>2090</v>
      </c>
    </row>
    <row r="320" spans="1:75" ht="256.7" customHeight="1" x14ac:dyDescent="0.25">
      <c r="A320" s="38" t="s">
        <v>1408</v>
      </c>
      <c r="B320" s="38" t="s">
        <v>1896</v>
      </c>
      <c r="C320" s="45" t="s">
        <v>703</v>
      </c>
      <c r="D320" s="46" t="s">
        <v>1409</v>
      </c>
      <c r="E320" s="41">
        <v>55917.018530000001</v>
      </c>
      <c r="F320" s="41">
        <v>2725548.2798899999</v>
      </c>
      <c r="G320" s="41">
        <v>281156</v>
      </c>
      <c r="H320" s="41">
        <v>220450</v>
      </c>
      <c r="I320" s="42">
        <v>1.2418070738097389</v>
      </c>
      <c r="J320" s="41">
        <v>35242.921880000002</v>
      </c>
      <c r="K320" s="41">
        <v>2174413.8717</v>
      </c>
      <c r="L320" s="41">
        <v>259064</v>
      </c>
      <c r="M320" s="41">
        <v>282939.2</v>
      </c>
      <c r="N320" s="42">
        <v>0.85736889595922017</v>
      </c>
      <c r="O320" s="41">
        <v>80986.040699999998</v>
      </c>
      <c r="P320" s="41">
        <v>3037921.4580299999</v>
      </c>
      <c r="Q320" s="41">
        <v>256644.3</v>
      </c>
      <c r="R320" s="41">
        <v>193351</v>
      </c>
      <c r="S320" s="42">
        <v>1.2845675385715745</v>
      </c>
      <c r="T320" s="41">
        <v>59676.825750000004</v>
      </c>
      <c r="U320" s="41">
        <v>2844279.61491</v>
      </c>
      <c r="V320" s="41">
        <v>116552.3</v>
      </c>
      <c r="W320" s="41">
        <v>103758.7</v>
      </c>
      <c r="X320" s="42">
        <v>0.99539315844606391</v>
      </c>
      <c r="Y320" s="43">
        <v>1</v>
      </c>
      <c r="Z320" s="43" t="s">
        <v>2090</v>
      </c>
      <c r="AA320" s="43" t="s">
        <v>2090</v>
      </c>
      <c r="AB320" s="43" t="s">
        <v>2090</v>
      </c>
      <c r="AC320" s="43" t="s">
        <v>2090</v>
      </c>
      <c r="AD320" s="43">
        <v>0</v>
      </c>
      <c r="AE320" s="43">
        <v>0</v>
      </c>
      <c r="AF320" s="43">
        <v>0</v>
      </c>
      <c r="AG320" s="43">
        <v>0</v>
      </c>
      <c r="AH320" s="43">
        <v>0</v>
      </c>
      <c r="AI320" s="43">
        <v>0</v>
      </c>
      <c r="AJ320" s="43">
        <v>0</v>
      </c>
      <c r="AK320" s="43">
        <v>0</v>
      </c>
      <c r="AL320" s="43">
        <v>1</v>
      </c>
      <c r="AM320" s="43">
        <v>0</v>
      </c>
      <c r="AN320" s="43">
        <v>0</v>
      </c>
      <c r="AO320" s="43">
        <v>0</v>
      </c>
      <c r="AP320" s="43">
        <v>0</v>
      </c>
      <c r="AQ320" s="43">
        <v>0</v>
      </c>
      <c r="AR320" s="43">
        <v>0</v>
      </c>
      <c r="AS320" s="43">
        <v>0</v>
      </c>
      <c r="AT320" s="43">
        <v>0</v>
      </c>
      <c r="AU320" s="43">
        <v>0</v>
      </c>
      <c r="AV320" s="43">
        <v>0</v>
      </c>
      <c r="AW320" s="43">
        <v>0</v>
      </c>
      <c r="AX320" s="43">
        <v>0</v>
      </c>
      <c r="AY320" s="43">
        <v>0</v>
      </c>
      <c r="AZ320" s="43">
        <v>0</v>
      </c>
      <c r="BA320" s="43">
        <v>0</v>
      </c>
      <c r="BB320" s="43">
        <v>0</v>
      </c>
      <c r="BC320" s="43">
        <v>0</v>
      </c>
      <c r="BD320" s="43">
        <v>0</v>
      </c>
      <c r="BE320" s="43">
        <v>0</v>
      </c>
      <c r="BF320" s="43">
        <v>0</v>
      </c>
      <c r="BG320" s="43">
        <v>0</v>
      </c>
      <c r="BH320" s="43">
        <v>0</v>
      </c>
      <c r="BI320" s="43">
        <v>0</v>
      </c>
      <c r="BJ320" s="43" t="s">
        <v>2090</v>
      </c>
      <c r="BK320" s="43" t="s">
        <v>2090</v>
      </c>
      <c r="BL320" s="43" t="s">
        <v>2090</v>
      </c>
      <c r="BM320" s="43" t="s">
        <v>2090</v>
      </c>
      <c r="BN320" s="43" t="s">
        <v>2090</v>
      </c>
      <c r="BO320" s="43" t="s">
        <v>2090</v>
      </c>
      <c r="BP320" s="43" t="s">
        <v>2090</v>
      </c>
      <c r="BQ320" s="43" t="s">
        <v>2090</v>
      </c>
      <c r="BR320" s="43" t="s">
        <v>2090</v>
      </c>
      <c r="BS320" s="43" t="s">
        <v>2090</v>
      </c>
      <c r="BT320" s="43" t="s">
        <v>2090</v>
      </c>
      <c r="BU320" s="43" t="s">
        <v>2090</v>
      </c>
      <c r="BV320" s="43" t="s">
        <v>2090</v>
      </c>
      <c r="BW320" s="43" t="s">
        <v>2090</v>
      </c>
    </row>
    <row r="321" spans="1:75" ht="159.19999999999999" customHeight="1" x14ac:dyDescent="0.25">
      <c r="A321" s="38" t="s">
        <v>1410</v>
      </c>
      <c r="B321" s="38" t="s">
        <v>1897</v>
      </c>
      <c r="C321" s="39" t="s">
        <v>1411</v>
      </c>
      <c r="D321" s="40" t="s">
        <v>1412</v>
      </c>
      <c r="E321" s="41">
        <v>36296.32561</v>
      </c>
      <c r="F321" s="41">
        <v>2276313.6746</v>
      </c>
      <c r="G321" s="41">
        <v>310734.59999999998</v>
      </c>
      <c r="H321" s="41">
        <v>394173.5</v>
      </c>
      <c r="I321" s="42">
        <v>0.75032408212317248</v>
      </c>
      <c r="J321" s="41">
        <v>0</v>
      </c>
      <c r="K321" s="41">
        <v>2088.3337200000001</v>
      </c>
      <c r="L321" s="41">
        <v>20097.400000000001</v>
      </c>
      <c r="M321" s="41">
        <v>226773.8</v>
      </c>
      <c r="N321" s="42">
        <v>8.1297500587636143E-2</v>
      </c>
      <c r="O321" s="41">
        <v>0</v>
      </c>
      <c r="P321" s="41">
        <v>42565.435230000003</v>
      </c>
      <c r="Q321" s="41">
        <v>13541.9</v>
      </c>
      <c r="R321" s="41">
        <v>98255.4</v>
      </c>
      <c r="S321" s="42">
        <v>0.13364404385897338</v>
      </c>
      <c r="T321" s="41">
        <v>2365.73083</v>
      </c>
      <c r="U321" s="41">
        <v>420919.07371000003</v>
      </c>
      <c r="V321" s="41">
        <v>34837.1</v>
      </c>
      <c r="W321" s="41">
        <v>125459.6</v>
      </c>
      <c r="X321" s="42">
        <v>0.2639267465604701</v>
      </c>
      <c r="Y321" s="43">
        <v>2</v>
      </c>
      <c r="Z321" s="43" t="s">
        <v>2090</v>
      </c>
      <c r="AA321" s="43" t="s">
        <v>2091</v>
      </c>
      <c r="AB321" s="43" t="s">
        <v>2090</v>
      </c>
      <c r="AC321" s="43" t="s">
        <v>2090</v>
      </c>
      <c r="AD321" s="43">
        <v>0</v>
      </c>
      <c r="AE321" s="43">
        <v>0</v>
      </c>
      <c r="AF321" s="43">
        <v>0</v>
      </c>
      <c r="AG321" s="43">
        <v>0</v>
      </c>
      <c r="AH321" s="43">
        <v>0</v>
      </c>
      <c r="AI321" s="43">
        <v>0</v>
      </c>
      <c r="AJ321" s="43">
        <v>0</v>
      </c>
      <c r="AK321" s="43">
        <v>0</v>
      </c>
      <c r="AL321" s="43">
        <v>0</v>
      </c>
      <c r="AM321" s="43">
        <v>0</v>
      </c>
      <c r="AN321" s="43">
        <v>0</v>
      </c>
      <c r="AO321" s="43">
        <v>0</v>
      </c>
      <c r="AP321" s="43">
        <v>0</v>
      </c>
      <c r="AQ321" s="43">
        <v>0</v>
      </c>
      <c r="AR321" s="43">
        <v>0</v>
      </c>
      <c r="AS321" s="43">
        <v>0</v>
      </c>
      <c r="AT321" s="43">
        <v>0</v>
      </c>
      <c r="AU321" s="43">
        <v>0</v>
      </c>
      <c r="AV321" s="43">
        <v>0</v>
      </c>
      <c r="AW321" s="43">
        <v>1</v>
      </c>
      <c r="AX321" s="43">
        <v>0</v>
      </c>
      <c r="AY321" s="43">
        <v>0</v>
      </c>
      <c r="AZ321" s="43">
        <v>0</v>
      </c>
      <c r="BA321" s="43">
        <v>0</v>
      </c>
      <c r="BB321" s="43">
        <v>0</v>
      </c>
      <c r="BC321" s="43">
        <v>0</v>
      </c>
      <c r="BD321" s="43">
        <v>0</v>
      </c>
      <c r="BE321" s="43">
        <v>0</v>
      </c>
      <c r="BF321" s="43">
        <v>0</v>
      </c>
      <c r="BG321" s="43">
        <v>0</v>
      </c>
      <c r="BH321" s="43">
        <v>0</v>
      </c>
      <c r="BI321" s="43">
        <v>0</v>
      </c>
      <c r="BJ321" s="43" t="s">
        <v>2090</v>
      </c>
      <c r="BK321" s="43" t="s">
        <v>2090</v>
      </c>
      <c r="BL321" s="43" t="s">
        <v>2090</v>
      </c>
      <c r="BM321" s="43" t="s">
        <v>2090</v>
      </c>
      <c r="BN321" s="43" t="s">
        <v>2090</v>
      </c>
      <c r="BO321" s="43" t="s">
        <v>2091</v>
      </c>
      <c r="BP321" s="43" t="s">
        <v>2090</v>
      </c>
      <c r="BQ321" s="43" t="s">
        <v>2091</v>
      </c>
      <c r="BR321" s="43" t="s">
        <v>2090</v>
      </c>
      <c r="BS321" s="43" t="s">
        <v>2090</v>
      </c>
      <c r="BT321" s="43" t="s">
        <v>2090</v>
      </c>
      <c r="BU321" s="43" t="s">
        <v>2090</v>
      </c>
      <c r="BV321" s="43" t="s">
        <v>2090</v>
      </c>
      <c r="BW321" s="43" t="s">
        <v>2090</v>
      </c>
    </row>
    <row r="322" spans="1:75" ht="163.69999999999999" customHeight="1" x14ac:dyDescent="0.25">
      <c r="A322" s="38" t="s">
        <v>1413</v>
      </c>
      <c r="B322" s="38" t="s">
        <v>1898</v>
      </c>
      <c r="C322" s="39" t="s">
        <v>1414</v>
      </c>
      <c r="D322" s="40" t="s">
        <v>1415</v>
      </c>
      <c r="E322" s="41">
        <v>68041.619160000002</v>
      </c>
      <c r="F322" s="41">
        <v>2920062.5781899998</v>
      </c>
      <c r="G322" s="41">
        <v>43283.6</v>
      </c>
      <c r="H322" s="41">
        <v>35910</v>
      </c>
      <c r="I322" s="42">
        <v>1.1460689799185604</v>
      </c>
      <c r="J322" s="41">
        <v>0</v>
      </c>
      <c r="K322" s="41">
        <v>0</v>
      </c>
      <c r="L322" s="41">
        <v>93940.2</v>
      </c>
      <c r="M322" s="41">
        <v>212970.7</v>
      </c>
      <c r="N322" s="42">
        <v>0.42224430738651308</v>
      </c>
      <c r="O322" s="41">
        <v>7058.1223499999996</v>
      </c>
      <c r="P322" s="41">
        <v>586322.54073999997</v>
      </c>
      <c r="Q322" s="41">
        <v>50615.5</v>
      </c>
      <c r="R322" s="41">
        <v>181087.9</v>
      </c>
      <c r="S322" s="42">
        <v>0.26784411541962244</v>
      </c>
      <c r="T322" s="41">
        <v>3562.8522200000002</v>
      </c>
      <c r="U322" s="41">
        <v>642883.03929999995</v>
      </c>
      <c r="V322" s="41">
        <v>2536.8000000000002</v>
      </c>
      <c r="W322" s="41">
        <v>11597.6</v>
      </c>
      <c r="X322" s="42">
        <v>0.21047409040793827</v>
      </c>
      <c r="Y322" s="43">
        <v>2</v>
      </c>
      <c r="Z322" s="43" t="s">
        <v>2090</v>
      </c>
      <c r="AA322" s="43" t="s">
        <v>2091</v>
      </c>
      <c r="AB322" s="43" t="s">
        <v>2090</v>
      </c>
      <c r="AC322" s="43" t="s">
        <v>2090</v>
      </c>
      <c r="AD322" s="43">
        <v>0</v>
      </c>
      <c r="AE322" s="43">
        <v>0</v>
      </c>
      <c r="AF322" s="43">
        <v>0</v>
      </c>
      <c r="AG322" s="43">
        <v>0</v>
      </c>
      <c r="AH322" s="43">
        <v>0</v>
      </c>
      <c r="AI322" s="43">
        <v>0</v>
      </c>
      <c r="AJ322" s="43">
        <v>0</v>
      </c>
      <c r="AK322" s="43">
        <v>0</v>
      </c>
      <c r="AL322" s="43">
        <v>0</v>
      </c>
      <c r="AM322" s="43">
        <v>0</v>
      </c>
      <c r="AN322" s="43">
        <v>0</v>
      </c>
      <c r="AO322" s="43">
        <v>0</v>
      </c>
      <c r="AP322" s="43">
        <v>0</v>
      </c>
      <c r="AQ322" s="43">
        <v>0</v>
      </c>
      <c r="AR322" s="43">
        <v>0</v>
      </c>
      <c r="AS322" s="43">
        <v>0</v>
      </c>
      <c r="AT322" s="43">
        <v>0</v>
      </c>
      <c r="AU322" s="43">
        <v>0</v>
      </c>
      <c r="AV322" s="43">
        <v>0</v>
      </c>
      <c r="AW322" s="43">
        <v>1</v>
      </c>
      <c r="AX322" s="43">
        <v>0</v>
      </c>
      <c r="AY322" s="43">
        <v>0</v>
      </c>
      <c r="AZ322" s="43">
        <v>0</v>
      </c>
      <c r="BA322" s="43">
        <v>0</v>
      </c>
      <c r="BB322" s="43">
        <v>0</v>
      </c>
      <c r="BC322" s="43">
        <v>0</v>
      </c>
      <c r="BD322" s="43">
        <v>0</v>
      </c>
      <c r="BE322" s="43">
        <v>0</v>
      </c>
      <c r="BF322" s="43">
        <v>0</v>
      </c>
      <c r="BG322" s="43">
        <v>0</v>
      </c>
      <c r="BH322" s="43">
        <v>0</v>
      </c>
      <c r="BI322" s="43">
        <v>0</v>
      </c>
      <c r="BJ322" s="43" t="s">
        <v>2090</v>
      </c>
      <c r="BK322" s="43" t="s">
        <v>2090</v>
      </c>
      <c r="BL322" s="43" t="s">
        <v>2090</v>
      </c>
      <c r="BM322" s="43" t="s">
        <v>2090</v>
      </c>
      <c r="BN322" s="43" t="s">
        <v>2090</v>
      </c>
      <c r="BO322" s="43" t="s">
        <v>2091</v>
      </c>
      <c r="BP322" s="43" t="s">
        <v>2091</v>
      </c>
      <c r="BQ322" s="43" t="s">
        <v>2090</v>
      </c>
      <c r="BR322" s="43" t="s">
        <v>2090</v>
      </c>
      <c r="BS322" s="43" t="s">
        <v>2090</v>
      </c>
      <c r="BT322" s="43" t="s">
        <v>2090</v>
      </c>
      <c r="BU322" s="43" t="s">
        <v>2090</v>
      </c>
      <c r="BV322" s="43" t="s">
        <v>2090</v>
      </c>
      <c r="BW322" s="43" t="s">
        <v>2090</v>
      </c>
    </row>
    <row r="323" spans="1:75" ht="131.44999999999999" customHeight="1" x14ac:dyDescent="0.25">
      <c r="A323" s="38" t="s">
        <v>1416</v>
      </c>
      <c r="B323" s="38" t="s">
        <v>1899</v>
      </c>
      <c r="C323" s="39" t="s">
        <v>1417</v>
      </c>
      <c r="D323" s="40" t="s">
        <v>1418</v>
      </c>
      <c r="E323" s="41">
        <v>23328.257870000001</v>
      </c>
      <c r="F323" s="41">
        <v>397915.19727</v>
      </c>
      <c r="G323" s="41">
        <v>68201.3</v>
      </c>
      <c r="H323" s="41">
        <v>243013.9</v>
      </c>
      <c r="I323" s="42">
        <v>0.2687915047595551</v>
      </c>
      <c r="J323" s="41">
        <v>3109.0961900000002</v>
      </c>
      <c r="K323" s="41">
        <v>0</v>
      </c>
      <c r="L323" s="41">
        <v>26225.4</v>
      </c>
      <c r="M323" s="41">
        <v>208700</v>
      </c>
      <c r="N323" s="42">
        <v>0.12294253318885413</v>
      </c>
      <c r="O323" s="41">
        <v>0</v>
      </c>
      <c r="P323" s="41">
        <v>175839.56185</v>
      </c>
      <c r="Q323" s="41">
        <v>35351.4</v>
      </c>
      <c r="R323" s="41">
        <v>199869.1</v>
      </c>
      <c r="S323" s="42">
        <v>0.16609828504134055</v>
      </c>
      <c r="T323" s="41">
        <v>5176.9397499999995</v>
      </c>
      <c r="U323" s="41">
        <v>563448.42232999997</v>
      </c>
      <c r="V323" s="41">
        <v>48018.2</v>
      </c>
      <c r="W323" s="41">
        <v>295175.7</v>
      </c>
      <c r="X323" s="42">
        <v>0.15355729008727584</v>
      </c>
      <c r="Y323" s="43">
        <v>2</v>
      </c>
      <c r="Z323" s="43" t="s">
        <v>2090</v>
      </c>
      <c r="AA323" s="43" t="s">
        <v>2090</v>
      </c>
      <c r="AB323" s="43" t="s">
        <v>2090</v>
      </c>
      <c r="AC323" s="43" t="s">
        <v>2090</v>
      </c>
      <c r="AD323" s="43">
        <v>0</v>
      </c>
      <c r="AE323" s="43">
        <v>0</v>
      </c>
      <c r="AF323" s="43">
        <v>0</v>
      </c>
      <c r="AG323" s="43">
        <v>0</v>
      </c>
      <c r="AH323" s="43">
        <v>0</v>
      </c>
      <c r="AI323" s="43">
        <v>0</v>
      </c>
      <c r="AJ323" s="43">
        <v>0</v>
      </c>
      <c r="AK323" s="43">
        <v>0</v>
      </c>
      <c r="AL323" s="43">
        <v>0</v>
      </c>
      <c r="AM323" s="43">
        <v>0</v>
      </c>
      <c r="AN323" s="43">
        <v>0</v>
      </c>
      <c r="AO323" s="43">
        <v>0</v>
      </c>
      <c r="AP323" s="43">
        <v>0</v>
      </c>
      <c r="AQ323" s="43">
        <v>0</v>
      </c>
      <c r="AR323" s="43">
        <v>0</v>
      </c>
      <c r="AS323" s="43">
        <v>0</v>
      </c>
      <c r="AT323" s="43">
        <v>0</v>
      </c>
      <c r="AU323" s="43">
        <v>0</v>
      </c>
      <c r="AV323" s="43">
        <v>0</v>
      </c>
      <c r="AW323" s="43">
        <v>1</v>
      </c>
      <c r="AX323" s="43">
        <v>0</v>
      </c>
      <c r="AY323" s="43">
        <v>0</v>
      </c>
      <c r="AZ323" s="43">
        <v>0</v>
      </c>
      <c r="BA323" s="43">
        <v>0</v>
      </c>
      <c r="BB323" s="43">
        <v>0</v>
      </c>
      <c r="BC323" s="43">
        <v>0</v>
      </c>
      <c r="BD323" s="43">
        <v>0</v>
      </c>
      <c r="BE323" s="43">
        <v>0</v>
      </c>
      <c r="BF323" s="43">
        <v>0</v>
      </c>
      <c r="BG323" s="43">
        <v>1</v>
      </c>
      <c r="BH323" s="43">
        <v>0</v>
      </c>
      <c r="BI323" s="43">
        <v>0</v>
      </c>
      <c r="BJ323" s="43" t="s">
        <v>2090</v>
      </c>
      <c r="BK323" s="43" t="s">
        <v>2090</v>
      </c>
      <c r="BL323" s="43" t="s">
        <v>2090</v>
      </c>
      <c r="BM323" s="43" t="s">
        <v>2090</v>
      </c>
      <c r="BN323" s="43" t="s">
        <v>2090</v>
      </c>
      <c r="BO323" s="43" t="s">
        <v>2090</v>
      </c>
      <c r="BP323" s="43" t="s">
        <v>2090</v>
      </c>
      <c r="BQ323" s="43" t="s">
        <v>2090</v>
      </c>
      <c r="BR323" s="43" t="s">
        <v>2090</v>
      </c>
      <c r="BS323" s="43" t="s">
        <v>2090</v>
      </c>
      <c r="BT323" s="43" t="s">
        <v>2090</v>
      </c>
      <c r="BU323" s="43" t="s">
        <v>2090</v>
      </c>
      <c r="BV323" s="43" t="s">
        <v>2090</v>
      </c>
      <c r="BW323" s="43" t="s">
        <v>2090</v>
      </c>
    </row>
    <row r="324" spans="1:75" ht="111.2" customHeight="1" x14ac:dyDescent="0.25">
      <c r="A324" s="38" t="s">
        <v>1419</v>
      </c>
      <c r="B324" s="38" t="s">
        <v>1900</v>
      </c>
      <c r="C324" s="39" t="s">
        <v>1420</v>
      </c>
      <c r="D324" s="40" t="s">
        <v>1421</v>
      </c>
      <c r="E324" s="41">
        <v>53561.65913</v>
      </c>
      <c r="F324" s="41">
        <v>2735274.6044299998</v>
      </c>
      <c r="G324" s="41">
        <v>309764.90000000002</v>
      </c>
      <c r="H324" s="41">
        <v>264274.2</v>
      </c>
      <c r="I324" s="42">
        <v>1.1415731989174438</v>
      </c>
      <c r="J324" s="41">
        <v>53909.591489999999</v>
      </c>
      <c r="K324" s="41">
        <v>2609760.1572500002</v>
      </c>
      <c r="L324" s="41">
        <v>100012</v>
      </c>
      <c r="M324" s="41">
        <v>75858.899999999994</v>
      </c>
      <c r="N324" s="42">
        <v>1.2017305974009687</v>
      </c>
      <c r="O324" s="41">
        <v>67639.083020000005</v>
      </c>
      <c r="P324" s="41">
        <v>2978514.5355199999</v>
      </c>
      <c r="Q324" s="41">
        <v>288417.2</v>
      </c>
      <c r="R324" s="41">
        <v>213730.7</v>
      </c>
      <c r="S324" s="42">
        <v>1.3239173407252567</v>
      </c>
      <c r="T324" s="41">
        <v>57312.264450000002</v>
      </c>
      <c r="U324" s="41">
        <v>2756272.2445999999</v>
      </c>
      <c r="V324" s="41">
        <v>52611.9</v>
      </c>
      <c r="W324" s="41">
        <v>49980.7</v>
      </c>
      <c r="X324" s="42">
        <v>0.94973150710855625</v>
      </c>
      <c r="Y324" s="43">
        <v>2</v>
      </c>
      <c r="Z324" s="43" t="s">
        <v>2090</v>
      </c>
      <c r="AA324" s="43" t="s">
        <v>2090</v>
      </c>
      <c r="AB324" s="43" t="s">
        <v>2090</v>
      </c>
      <c r="AC324" s="43" t="s">
        <v>2090</v>
      </c>
      <c r="AD324" s="43">
        <v>0</v>
      </c>
      <c r="AE324" s="43">
        <v>0</v>
      </c>
      <c r="AF324" s="43">
        <v>0</v>
      </c>
      <c r="AG324" s="43">
        <v>0</v>
      </c>
      <c r="AH324" s="43">
        <v>0</v>
      </c>
      <c r="AI324" s="43">
        <v>0</v>
      </c>
      <c r="AJ324" s="43">
        <v>0</v>
      </c>
      <c r="AK324" s="43">
        <v>0</v>
      </c>
      <c r="AL324" s="43">
        <v>0</v>
      </c>
      <c r="AM324" s="43">
        <v>0</v>
      </c>
      <c r="AN324" s="43">
        <v>0</v>
      </c>
      <c r="AO324" s="43">
        <v>0</v>
      </c>
      <c r="AP324" s="43">
        <v>0</v>
      </c>
      <c r="AQ324" s="43">
        <v>0</v>
      </c>
      <c r="AR324" s="43">
        <v>0</v>
      </c>
      <c r="AS324" s="43">
        <v>0</v>
      </c>
      <c r="AT324" s="43">
        <v>0</v>
      </c>
      <c r="AU324" s="43">
        <v>0</v>
      </c>
      <c r="AV324" s="43">
        <v>0</v>
      </c>
      <c r="AW324" s="43">
        <v>0</v>
      </c>
      <c r="AX324" s="43">
        <v>0</v>
      </c>
      <c r="AY324" s="43">
        <v>0</v>
      </c>
      <c r="AZ324" s="43">
        <v>0</v>
      </c>
      <c r="BA324" s="43">
        <v>0</v>
      </c>
      <c r="BB324" s="43">
        <v>0</v>
      </c>
      <c r="BC324" s="43">
        <v>0</v>
      </c>
      <c r="BD324" s="43">
        <v>2</v>
      </c>
      <c r="BE324" s="43">
        <v>0</v>
      </c>
      <c r="BF324" s="43">
        <v>0</v>
      </c>
      <c r="BG324" s="43">
        <v>0</v>
      </c>
      <c r="BH324" s="43">
        <v>0</v>
      </c>
      <c r="BI324" s="43">
        <v>0</v>
      </c>
      <c r="BJ324" s="43" t="s">
        <v>2090</v>
      </c>
      <c r="BK324" s="43" t="s">
        <v>2090</v>
      </c>
      <c r="BL324" s="43" t="s">
        <v>2090</v>
      </c>
      <c r="BM324" s="43" t="s">
        <v>2090</v>
      </c>
      <c r="BN324" s="43" t="s">
        <v>2090</v>
      </c>
      <c r="BO324" s="43" t="s">
        <v>2090</v>
      </c>
      <c r="BP324" s="43" t="s">
        <v>2090</v>
      </c>
      <c r="BQ324" s="43" t="s">
        <v>2090</v>
      </c>
      <c r="BR324" s="43" t="s">
        <v>2090</v>
      </c>
      <c r="BS324" s="43" t="s">
        <v>2090</v>
      </c>
      <c r="BT324" s="43" t="s">
        <v>2090</v>
      </c>
      <c r="BU324" s="43" t="s">
        <v>2090</v>
      </c>
      <c r="BV324" s="43" t="s">
        <v>2090</v>
      </c>
      <c r="BW324" s="43" t="s">
        <v>2090</v>
      </c>
    </row>
    <row r="325" spans="1:75" ht="182.45" customHeight="1" x14ac:dyDescent="0.25">
      <c r="A325" s="38" t="s">
        <v>1422</v>
      </c>
      <c r="B325" s="38" t="s">
        <v>1901</v>
      </c>
      <c r="C325" s="39" t="s">
        <v>1423</v>
      </c>
      <c r="D325" s="40" t="s">
        <v>1424</v>
      </c>
      <c r="E325" s="41">
        <v>51010.644059999999</v>
      </c>
      <c r="F325" s="41">
        <v>2600165.1730200001</v>
      </c>
      <c r="G325" s="41">
        <v>110133.6</v>
      </c>
      <c r="H325" s="41">
        <v>90547.4</v>
      </c>
      <c r="I325" s="42">
        <v>1.164995984825409</v>
      </c>
      <c r="J325" s="41">
        <v>50548.999360000002</v>
      </c>
      <c r="K325" s="41">
        <v>2503689.8709100001</v>
      </c>
      <c r="L325" s="41">
        <v>84513.3</v>
      </c>
      <c r="M325" s="41">
        <v>78742.5</v>
      </c>
      <c r="N325" s="42">
        <v>1.0288432377212726</v>
      </c>
      <c r="O325" s="41">
        <v>73801.403390000007</v>
      </c>
      <c r="P325" s="41">
        <v>3041287.7277700002</v>
      </c>
      <c r="Q325" s="41">
        <v>349261.7</v>
      </c>
      <c r="R325" s="41">
        <v>324285.59999999998</v>
      </c>
      <c r="S325" s="42">
        <v>1.0539619996590199</v>
      </c>
      <c r="T325" s="41">
        <v>54112.167000000001</v>
      </c>
      <c r="U325" s="41">
        <v>2684098.5277499999</v>
      </c>
      <c r="V325" s="41">
        <v>158968.4</v>
      </c>
      <c r="W325" s="41">
        <v>159899.79999999999</v>
      </c>
      <c r="X325" s="42">
        <v>0.85238174573423853</v>
      </c>
      <c r="Y325" s="43">
        <v>2</v>
      </c>
      <c r="Z325" s="43" t="s">
        <v>2090</v>
      </c>
      <c r="AA325" s="43" t="s">
        <v>2090</v>
      </c>
      <c r="AB325" s="43" t="s">
        <v>2090</v>
      </c>
      <c r="AC325" s="43" t="s">
        <v>2090</v>
      </c>
      <c r="AD325" s="43">
        <v>0</v>
      </c>
      <c r="AE325" s="43">
        <v>0</v>
      </c>
      <c r="AF325" s="43">
        <v>0</v>
      </c>
      <c r="AG325" s="43">
        <v>0</v>
      </c>
      <c r="AH325" s="43">
        <v>0</v>
      </c>
      <c r="AI325" s="43">
        <v>0</v>
      </c>
      <c r="AJ325" s="43">
        <v>0</v>
      </c>
      <c r="AK325" s="43">
        <v>0</v>
      </c>
      <c r="AL325" s="43">
        <v>0</v>
      </c>
      <c r="AM325" s="43">
        <v>0</v>
      </c>
      <c r="AN325" s="43">
        <v>0</v>
      </c>
      <c r="AO325" s="43">
        <v>0</v>
      </c>
      <c r="AP325" s="43">
        <v>0</v>
      </c>
      <c r="AQ325" s="43">
        <v>0</v>
      </c>
      <c r="AR325" s="43">
        <v>0</v>
      </c>
      <c r="AS325" s="43">
        <v>0</v>
      </c>
      <c r="AT325" s="43">
        <v>0</v>
      </c>
      <c r="AU325" s="43">
        <v>0</v>
      </c>
      <c r="AV325" s="43">
        <v>0</v>
      </c>
      <c r="AW325" s="43">
        <v>0</v>
      </c>
      <c r="AX325" s="43">
        <v>0</v>
      </c>
      <c r="AY325" s="43">
        <v>0</v>
      </c>
      <c r="AZ325" s="43">
        <v>0</v>
      </c>
      <c r="BA325" s="43">
        <v>0</v>
      </c>
      <c r="BB325" s="43">
        <v>0</v>
      </c>
      <c r="BC325" s="43">
        <v>0</v>
      </c>
      <c r="BD325" s="43">
        <v>2</v>
      </c>
      <c r="BE325" s="43">
        <v>0</v>
      </c>
      <c r="BF325" s="43">
        <v>0</v>
      </c>
      <c r="BG325" s="43">
        <v>0</v>
      </c>
      <c r="BH325" s="43">
        <v>0</v>
      </c>
      <c r="BI325" s="43">
        <v>0</v>
      </c>
      <c r="BJ325" s="43" t="s">
        <v>2090</v>
      </c>
      <c r="BK325" s="43" t="s">
        <v>2090</v>
      </c>
      <c r="BL325" s="43" t="s">
        <v>2090</v>
      </c>
      <c r="BM325" s="43" t="s">
        <v>2090</v>
      </c>
      <c r="BN325" s="43" t="s">
        <v>2090</v>
      </c>
      <c r="BO325" s="43" t="s">
        <v>2090</v>
      </c>
      <c r="BP325" s="43" t="s">
        <v>2090</v>
      </c>
      <c r="BQ325" s="43" t="s">
        <v>2090</v>
      </c>
      <c r="BR325" s="43" t="s">
        <v>2090</v>
      </c>
      <c r="BS325" s="43" t="s">
        <v>2090</v>
      </c>
      <c r="BT325" s="43" t="s">
        <v>2090</v>
      </c>
      <c r="BU325" s="43" t="s">
        <v>2090</v>
      </c>
      <c r="BV325" s="43" t="s">
        <v>2090</v>
      </c>
      <c r="BW325" s="43" t="s">
        <v>2090</v>
      </c>
    </row>
    <row r="326" spans="1:75" ht="174.95" customHeight="1" x14ac:dyDescent="0.25">
      <c r="A326" s="38" t="s">
        <v>1425</v>
      </c>
      <c r="B326" s="38" t="s">
        <v>1902</v>
      </c>
      <c r="C326" s="45" t="s">
        <v>748</v>
      </c>
      <c r="D326" s="46" t="s">
        <v>1426</v>
      </c>
      <c r="E326" s="41">
        <v>53339.188320000001</v>
      </c>
      <c r="F326" s="41">
        <v>2702135.28333</v>
      </c>
      <c r="G326" s="41">
        <v>85659.4</v>
      </c>
      <c r="H326" s="41">
        <v>92930.3</v>
      </c>
      <c r="I326" s="42">
        <v>0.89100451605028685</v>
      </c>
      <c r="J326" s="41">
        <v>11429.514429999999</v>
      </c>
      <c r="K326" s="41">
        <v>1195698.8507000001</v>
      </c>
      <c r="L326" s="41">
        <v>301945.3</v>
      </c>
      <c r="M326" s="41">
        <v>368072.6</v>
      </c>
      <c r="N326" s="42">
        <v>0.78339154580725068</v>
      </c>
      <c r="O326" s="41">
        <v>81583.908060000002</v>
      </c>
      <c r="P326" s="41">
        <v>3240430.4654899999</v>
      </c>
      <c r="Q326" s="41">
        <v>151388.79999999999</v>
      </c>
      <c r="R326" s="41">
        <v>105993.9</v>
      </c>
      <c r="S326" s="42">
        <v>1.3832068468212877</v>
      </c>
      <c r="T326" s="41">
        <v>37831.624900000003</v>
      </c>
      <c r="U326" s="41">
        <v>2272890.2196200001</v>
      </c>
      <c r="V326" s="41">
        <v>72636.100000000006</v>
      </c>
      <c r="W326" s="41">
        <v>94926.399999999994</v>
      </c>
      <c r="X326" s="42">
        <v>0.72800421413050642</v>
      </c>
      <c r="Y326" s="43">
        <v>2</v>
      </c>
      <c r="Z326" s="43" t="s">
        <v>2091</v>
      </c>
      <c r="AA326" s="43" t="s">
        <v>2090</v>
      </c>
      <c r="AB326" s="43" t="s">
        <v>2090</v>
      </c>
      <c r="AC326" s="43" t="s">
        <v>2090</v>
      </c>
      <c r="AD326" s="43">
        <v>0</v>
      </c>
      <c r="AE326" s="43">
        <v>0</v>
      </c>
      <c r="AF326" s="43">
        <v>0</v>
      </c>
      <c r="AG326" s="43">
        <v>0</v>
      </c>
      <c r="AH326" s="43">
        <v>0</v>
      </c>
      <c r="AI326" s="43">
        <v>1</v>
      </c>
      <c r="AJ326" s="43">
        <v>0</v>
      </c>
      <c r="AK326" s="43">
        <v>0</v>
      </c>
      <c r="AL326" s="43">
        <v>0</v>
      </c>
      <c r="AM326" s="43">
        <v>0</v>
      </c>
      <c r="AN326" s="43">
        <v>0</v>
      </c>
      <c r="AO326" s="43">
        <v>0</v>
      </c>
      <c r="AP326" s="43">
        <v>0</v>
      </c>
      <c r="AQ326" s="43">
        <v>0</v>
      </c>
      <c r="AR326" s="43">
        <v>0</v>
      </c>
      <c r="AS326" s="43">
        <v>0</v>
      </c>
      <c r="AT326" s="43">
        <v>0</v>
      </c>
      <c r="AU326" s="43">
        <v>0</v>
      </c>
      <c r="AV326" s="43">
        <v>0</v>
      </c>
      <c r="AW326" s="43">
        <v>0</v>
      </c>
      <c r="AX326" s="43">
        <v>0</v>
      </c>
      <c r="AY326" s="43">
        <v>0</v>
      </c>
      <c r="AZ326" s="43">
        <v>0</v>
      </c>
      <c r="BA326" s="43">
        <v>0</v>
      </c>
      <c r="BB326" s="43">
        <v>0</v>
      </c>
      <c r="BC326" s="43">
        <v>0</v>
      </c>
      <c r="BD326" s="43">
        <v>0</v>
      </c>
      <c r="BE326" s="43">
        <v>0</v>
      </c>
      <c r="BF326" s="43">
        <v>0</v>
      </c>
      <c r="BG326" s="43">
        <v>0</v>
      </c>
      <c r="BH326" s="43">
        <v>0</v>
      </c>
      <c r="BI326" s="43">
        <v>0</v>
      </c>
      <c r="BJ326" s="43" t="s">
        <v>2090</v>
      </c>
      <c r="BK326" s="43" t="s">
        <v>2090</v>
      </c>
      <c r="BL326" s="43" t="s">
        <v>2090</v>
      </c>
      <c r="BM326" s="43" t="s">
        <v>2090</v>
      </c>
      <c r="BN326" s="43" t="s">
        <v>2090</v>
      </c>
      <c r="BO326" s="43" t="s">
        <v>2090</v>
      </c>
      <c r="BP326" s="43" t="s">
        <v>2090</v>
      </c>
      <c r="BQ326" s="43" t="s">
        <v>2090</v>
      </c>
      <c r="BR326" s="43" t="s">
        <v>2090</v>
      </c>
      <c r="BS326" s="43" t="s">
        <v>2090</v>
      </c>
      <c r="BT326" s="43" t="s">
        <v>2090</v>
      </c>
      <c r="BU326" s="43" t="s">
        <v>2090</v>
      </c>
      <c r="BV326" s="43" t="s">
        <v>2091</v>
      </c>
      <c r="BW326" s="43" t="s">
        <v>2090</v>
      </c>
    </row>
    <row r="327" spans="1:75" ht="111.95" customHeight="1" x14ac:dyDescent="0.25">
      <c r="A327" s="38" t="s">
        <v>1427</v>
      </c>
      <c r="B327" s="38" t="s">
        <v>1903</v>
      </c>
      <c r="C327" s="39" t="s">
        <v>1428</v>
      </c>
      <c r="D327" s="40" t="s">
        <v>1429</v>
      </c>
      <c r="E327" s="41">
        <v>1857.8019300000001</v>
      </c>
      <c r="F327" s="41">
        <v>327965.90672999999</v>
      </c>
      <c r="G327" s="41">
        <v>112043.2</v>
      </c>
      <c r="H327" s="41">
        <v>290493.90000000002</v>
      </c>
      <c r="I327" s="42">
        <v>0.36122257751408682</v>
      </c>
      <c r="J327" s="41">
        <v>0</v>
      </c>
      <c r="K327" s="41">
        <v>34074.036789999998</v>
      </c>
      <c r="L327" s="41">
        <v>128574.39999999999</v>
      </c>
      <c r="M327" s="41">
        <v>482623.1</v>
      </c>
      <c r="N327" s="42">
        <v>0.24836924342930544</v>
      </c>
      <c r="O327" s="41">
        <v>17784.83857</v>
      </c>
      <c r="P327" s="41">
        <v>1778962.5576599999</v>
      </c>
      <c r="Q327" s="41">
        <v>61318.8</v>
      </c>
      <c r="R327" s="41">
        <v>93773.5</v>
      </c>
      <c r="S327" s="42">
        <v>0.630120645248746</v>
      </c>
      <c r="T327" s="41">
        <v>3542.41554</v>
      </c>
      <c r="U327" s="41">
        <v>13400.558000000001</v>
      </c>
      <c r="V327" s="41">
        <v>154384.20000000001</v>
      </c>
      <c r="W327" s="41">
        <v>456950.1</v>
      </c>
      <c r="X327" s="42">
        <v>0.31263168325093349</v>
      </c>
      <c r="Y327" s="43">
        <v>2</v>
      </c>
      <c r="Z327" s="43" t="s">
        <v>2090</v>
      </c>
      <c r="AA327" s="43" t="s">
        <v>2091</v>
      </c>
      <c r="AB327" s="43" t="s">
        <v>2090</v>
      </c>
      <c r="AC327" s="43" t="s">
        <v>2090</v>
      </c>
      <c r="AD327" s="43">
        <v>0</v>
      </c>
      <c r="AE327" s="43">
        <v>0</v>
      </c>
      <c r="AF327" s="43">
        <v>0</v>
      </c>
      <c r="AG327" s="43">
        <v>0</v>
      </c>
      <c r="AH327" s="43">
        <v>0</v>
      </c>
      <c r="AI327" s="43">
        <v>0</v>
      </c>
      <c r="AJ327" s="43">
        <v>0</v>
      </c>
      <c r="AK327" s="43">
        <v>0</v>
      </c>
      <c r="AL327" s="43">
        <v>0</v>
      </c>
      <c r="AM327" s="43">
        <v>0</v>
      </c>
      <c r="AN327" s="43">
        <v>0</v>
      </c>
      <c r="AO327" s="43">
        <v>0</v>
      </c>
      <c r="AP327" s="43">
        <v>0</v>
      </c>
      <c r="AQ327" s="43">
        <v>0</v>
      </c>
      <c r="AR327" s="43">
        <v>0</v>
      </c>
      <c r="AS327" s="43">
        <v>0</v>
      </c>
      <c r="AT327" s="43">
        <v>0</v>
      </c>
      <c r="AU327" s="43">
        <v>0</v>
      </c>
      <c r="AV327" s="43">
        <v>0</v>
      </c>
      <c r="AW327" s="43">
        <v>0</v>
      </c>
      <c r="AX327" s="43">
        <v>0</v>
      </c>
      <c r="AY327" s="43">
        <v>0</v>
      </c>
      <c r="AZ327" s="43">
        <v>0</v>
      </c>
      <c r="BA327" s="43">
        <v>0</v>
      </c>
      <c r="BB327" s="43">
        <v>0</v>
      </c>
      <c r="BC327" s="43">
        <v>0</v>
      </c>
      <c r="BD327" s="43">
        <v>0</v>
      </c>
      <c r="BE327" s="43">
        <v>0</v>
      </c>
      <c r="BF327" s="43">
        <v>0</v>
      </c>
      <c r="BG327" s="43">
        <v>1</v>
      </c>
      <c r="BH327" s="43">
        <v>0</v>
      </c>
      <c r="BI327" s="43">
        <v>0</v>
      </c>
      <c r="BJ327" s="43" t="s">
        <v>2090</v>
      </c>
      <c r="BK327" s="43" t="s">
        <v>2090</v>
      </c>
      <c r="BL327" s="43" t="s">
        <v>2090</v>
      </c>
      <c r="BM327" s="43" t="s">
        <v>2090</v>
      </c>
      <c r="BN327" s="43" t="s">
        <v>2090</v>
      </c>
      <c r="BO327" s="43" t="s">
        <v>2090</v>
      </c>
      <c r="BP327" s="43" t="s">
        <v>2090</v>
      </c>
      <c r="BQ327" s="43" t="s">
        <v>2090</v>
      </c>
      <c r="BR327" s="43" t="s">
        <v>2091</v>
      </c>
      <c r="BS327" s="43" t="s">
        <v>2090</v>
      </c>
      <c r="BT327" s="43" t="s">
        <v>2091</v>
      </c>
      <c r="BU327" s="43" t="s">
        <v>2090</v>
      </c>
      <c r="BV327" s="43" t="s">
        <v>2090</v>
      </c>
      <c r="BW327" s="43" t="s">
        <v>2090</v>
      </c>
    </row>
    <row r="328" spans="1:75" ht="105.95" customHeight="1" x14ac:dyDescent="0.25">
      <c r="A328" s="38" t="s">
        <v>1430</v>
      </c>
      <c r="B328" s="38" t="s">
        <v>1904</v>
      </c>
      <c r="C328" s="39" t="s">
        <v>1431</v>
      </c>
      <c r="D328" s="40" t="s">
        <v>1432</v>
      </c>
      <c r="E328" s="41">
        <v>3887.8003600000002</v>
      </c>
      <c r="F328" s="41">
        <v>639167.46109999996</v>
      </c>
      <c r="G328" s="41">
        <v>100079.3</v>
      </c>
      <c r="H328" s="41">
        <v>249764.9</v>
      </c>
      <c r="I328" s="42">
        <v>0.37900020916126331</v>
      </c>
      <c r="J328" s="41">
        <v>3723.01206</v>
      </c>
      <c r="K328" s="41">
        <v>569162.99540000001</v>
      </c>
      <c r="L328" s="41">
        <v>237445.6</v>
      </c>
      <c r="M328" s="41">
        <v>411904.7</v>
      </c>
      <c r="N328" s="42">
        <v>0.53600868847670935</v>
      </c>
      <c r="O328" s="41">
        <v>4723.74442</v>
      </c>
      <c r="P328" s="41">
        <v>846673.86918000004</v>
      </c>
      <c r="Q328" s="41">
        <v>156430</v>
      </c>
      <c r="R328" s="41">
        <v>249113.8</v>
      </c>
      <c r="S328" s="42">
        <v>0.5969697564229588</v>
      </c>
      <c r="T328" s="41">
        <v>13627.161389999999</v>
      </c>
      <c r="U328" s="41">
        <v>1323353.48061</v>
      </c>
      <c r="V328" s="41">
        <v>96740.6</v>
      </c>
      <c r="W328" s="41">
        <v>254919.2</v>
      </c>
      <c r="X328" s="42">
        <v>0.3613805308013554</v>
      </c>
      <c r="Y328" s="43">
        <v>2</v>
      </c>
      <c r="Z328" s="43" t="s">
        <v>2090</v>
      </c>
      <c r="AA328" s="43" t="s">
        <v>2090</v>
      </c>
      <c r="AB328" s="43" t="s">
        <v>2090</v>
      </c>
      <c r="AC328" s="43" t="s">
        <v>2090</v>
      </c>
      <c r="AD328" s="43">
        <v>0</v>
      </c>
      <c r="AE328" s="43">
        <v>0</v>
      </c>
      <c r="AF328" s="43">
        <v>0</v>
      </c>
      <c r="AG328" s="43">
        <v>0</v>
      </c>
      <c r="AH328" s="43">
        <v>0</v>
      </c>
      <c r="AI328" s="43">
        <v>0</v>
      </c>
      <c r="AJ328" s="43">
        <v>0</v>
      </c>
      <c r="AK328" s="43">
        <v>0</v>
      </c>
      <c r="AL328" s="43">
        <v>0</v>
      </c>
      <c r="AM328" s="43">
        <v>0</v>
      </c>
      <c r="AN328" s="43">
        <v>0</v>
      </c>
      <c r="AO328" s="43">
        <v>0</v>
      </c>
      <c r="AP328" s="43">
        <v>0</v>
      </c>
      <c r="AQ328" s="43">
        <v>0</v>
      </c>
      <c r="AR328" s="43">
        <v>0</v>
      </c>
      <c r="AS328" s="43">
        <v>0</v>
      </c>
      <c r="AT328" s="43">
        <v>0</v>
      </c>
      <c r="AU328" s="43">
        <v>0</v>
      </c>
      <c r="AV328" s="43">
        <v>0</v>
      </c>
      <c r="AW328" s="43">
        <v>0</v>
      </c>
      <c r="AX328" s="43">
        <v>0</v>
      </c>
      <c r="AY328" s="43">
        <v>0</v>
      </c>
      <c r="AZ328" s="43">
        <v>0</v>
      </c>
      <c r="BA328" s="43">
        <v>0</v>
      </c>
      <c r="BB328" s="43">
        <v>0</v>
      </c>
      <c r="BC328" s="43">
        <v>0</v>
      </c>
      <c r="BD328" s="43">
        <v>0</v>
      </c>
      <c r="BE328" s="43">
        <v>0</v>
      </c>
      <c r="BF328" s="43">
        <v>0</v>
      </c>
      <c r="BG328" s="43">
        <v>0</v>
      </c>
      <c r="BH328" s="43">
        <v>0</v>
      </c>
      <c r="BI328" s="43">
        <v>0</v>
      </c>
      <c r="BJ328" s="43" t="s">
        <v>2090</v>
      </c>
      <c r="BK328" s="43" t="s">
        <v>2090</v>
      </c>
      <c r="BL328" s="43" t="s">
        <v>2090</v>
      </c>
      <c r="BM328" s="43" t="s">
        <v>2090</v>
      </c>
      <c r="BN328" s="43" t="s">
        <v>2090</v>
      </c>
      <c r="BO328" s="43" t="s">
        <v>2091</v>
      </c>
      <c r="BP328" s="43" t="s">
        <v>2090</v>
      </c>
      <c r="BQ328" s="43" t="s">
        <v>2091</v>
      </c>
      <c r="BR328" s="43" t="s">
        <v>2091</v>
      </c>
      <c r="BS328" s="43" t="s">
        <v>2090</v>
      </c>
      <c r="BT328" s="43" t="s">
        <v>2091</v>
      </c>
      <c r="BU328" s="43" t="s">
        <v>2090</v>
      </c>
      <c r="BV328" s="43" t="s">
        <v>2090</v>
      </c>
      <c r="BW328" s="43" t="s">
        <v>2090</v>
      </c>
    </row>
    <row r="329" spans="1:75" ht="162.94999999999999" customHeight="1" x14ac:dyDescent="0.25">
      <c r="A329" s="38" t="s">
        <v>1433</v>
      </c>
      <c r="B329" s="38" t="s">
        <v>1905</v>
      </c>
      <c r="C329" s="39" t="s">
        <v>1434</v>
      </c>
      <c r="D329" s="40" t="s">
        <v>1435</v>
      </c>
      <c r="E329" s="41">
        <v>59143.703280000002</v>
      </c>
      <c r="F329" s="41">
        <v>2780403.2204900002</v>
      </c>
      <c r="G329" s="41">
        <v>361540.9</v>
      </c>
      <c r="H329" s="41">
        <v>306478.8</v>
      </c>
      <c r="I329" s="42">
        <v>1.1497878319962846</v>
      </c>
      <c r="J329" s="41">
        <v>79121.737670000002</v>
      </c>
      <c r="K329" s="41">
        <v>3020800.8655900001</v>
      </c>
      <c r="L329" s="41">
        <v>252237.1</v>
      </c>
      <c r="M329" s="41">
        <v>283649.59999999998</v>
      </c>
      <c r="N329" s="42">
        <v>0.85426245992797789</v>
      </c>
      <c r="O329" s="41">
        <v>5681.7061599999997</v>
      </c>
      <c r="P329" s="41">
        <v>864842.35664000001</v>
      </c>
      <c r="Q329" s="41">
        <v>151606.70000000001</v>
      </c>
      <c r="R329" s="41">
        <v>214415.3</v>
      </c>
      <c r="S329" s="42">
        <v>0.68383383149635724</v>
      </c>
      <c r="T329" s="41">
        <v>102372.7896</v>
      </c>
      <c r="U329" s="41">
        <v>3509371.72022</v>
      </c>
      <c r="V329" s="41">
        <v>118496.1</v>
      </c>
      <c r="W329" s="41">
        <v>111894.3</v>
      </c>
      <c r="X329" s="42">
        <v>0.97196141891242349</v>
      </c>
      <c r="Y329" s="43">
        <v>2</v>
      </c>
      <c r="Z329" s="43" t="s">
        <v>2090</v>
      </c>
      <c r="AA329" s="43" t="s">
        <v>2090</v>
      </c>
      <c r="AB329" s="43" t="s">
        <v>2090</v>
      </c>
      <c r="AC329" s="43" t="s">
        <v>2090</v>
      </c>
      <c r="AD329" s="43">
        <v>0</v>
      </c>
      <c r="AE329" s="43">
        <v>0</v>
      </c>
      <c r="AF329" s="43">
        <v>0</v>
      </c>
      <c r="AG329" s="43">
        <v>0</v>
      </c>
      <c r="AH329" s="43">
        <v>0</v>
      </c>
      <c r="AI329" s="43">
        <v>0</v>
      </c>
      <c r="AJ329" s="43">
        <v>0</v>
      </c>
      <c r="AK329" s="43">
        <v>0</v>
      </c>
      <c r="AL329" s="43">
        <v>0</v>
      </c>
      <c r="AM329" s="43">
        <v>0</v>
      </c>
      <c r="AN329" s="43">
        <v>0</v>
      </c>
      <c r="AO329" s="43">
        <v>0</v>
      </c>
      <c r="AP329" s="43">
        <v>0</v>
      </c>
      <c r="AQ329" s="43">
        <v>0</v>
      </c>
      <c r="AR329" s="43">
        <v>0</v>
      </c>
      <c r="AS329" s="43">
        <v>0</v>
      </c>
      <c r="AT329" s="43">
        <v>0</v>
      </c>
      <c r="AU329" s="43">
        <v>0</v>
      </c>
      <c r="AV329" s="43">
        <v>0</v>
      </c>
      <c r="AW329" s="43">
        <v>0</v>
      </c>
      <c r="AX329" s="43">
        <v>0</v>
      </c>
      <c r="AY329" s="43">
        <v>0</v>
      </c>
      <c r="AZ329" s="43">
        <v>0</v>
      </c>
      <c r="BA329" s="43">
        <v>0</v>
      </c>
      <c r="BB329" s="43">
        <v>0</v>
      </c>
      <c r="BC329" s="43">
        <v>0</v>
      </c>
      <c r="BD329" s="43">
        <v>0</v>
      </c>
      <c r="BE329" s="43">
        <v>0</v>
      </c>
      <c r="BF329" s="43">
        <v>0</v>
      </c>
      <c r="BG329" s="43">
        <v>0</v>
      </c>
      <c r="BH329" s="43">
        <v>0</v>
      </c>
      <c r="BI329" s="43">
        <v>0</v>
      </c>
      <c r="BJ329" s="43" t="s">
        <v>2090</v>
      </c>
      <c r="BK329" s="43" t="s">
        <v>2090</v>
      </c>
      <c r="BL329" s="43" t="s">
        <v>2090</v>
      </c>
      <c r="BM329" s="43" t="s">
        <v>2090</v>
      </c>
      <c r="BN329" s="43" t="s">
        <v>2090</v>
      </c>
      <c r="BO329" s="43" t="s">
        <v>2091</v>
      </c>
      <c r="BP329" s="43" t="s">
        <v>2090</v>
      </c>
      <c r="BQ329" s="43" t="s">
        <v>2091</v>
      </c>
      <c r="BR329" s="43" t="s">
        <v>2091</v>
      </c>
      <c r="BS329" s="43" t="s">
        <v>2090</v>
      </c>
      <c r="BT329" s="43" t="s">
        <v>2091</v>
      </c>
      <c r="BU329" s="43" t="s">
        <v>2090</v>
      </c>
      <c r="BV329" s="43" t="s">
        <v>2090</v>
      </c>
      <c r="BW329" s="43" t="s">
        <v>2090</v>
      </c>
    </row>
    <row r="330" spans="1:75" ht="129.94999999999999" customHeight="1" x14ac:dyDescent="0.25">
      <c r="A330" s="38" t="s">
        <v>1436</v>
      </c>
      <c r="B330" s="38" t="s">
        <v>1906</v>
      </c>
      <c r="C330" s="45" t="s">
        <v>616</v>
      </c>
      <c r="D330" s="46" t="s">
        <v>1437</v>
      </c>
      <c r="E330" s="41">
        <v>1427.49674</v>
      </c>
      <c r="F330" s="41">
        <v>305639.57078000001</v>
      </c>
      <c r="G330" s="41">
        <v>47523.5</v>
      </c>
      <c r="H330" s="41">
        <v>136780.5</v>
      </c>
      <c r="I330" s="42">
        <v>0.33039135000141895</v>
      </c>
      <c r="J330" s="41">
        <v>0</v>
      </c>
      <c r="K330" s="41">
        <v>16542.814170000001</v>
      </c>
      <c r="L330" s="41">
        <v>96111.2</v>
      </c>
      <c r="M330" s="41">
        <v>181314.9</v>
      </c>
      <c r="N330" s="42">
        <v>0.51026521723734997</v>
      </c>
      <c r="O330" s="41">
        <v>6022.7247699999998</v>
      </c>
      <c r="P330" s="41">
        <v>986793.37606000004</v>
      </c>
      <c r="Q330" s="41">
        <v>102367.9</v>
      </c>
      <c r="R330" s="41">
        <v>133789.79999999999</v>
      </c>
      <c r="S330" s="42">
        <v>0.7433598715461297</v>
      </c>
      <c r="T330" s="41">
        <v>5248.9978499999997</v>
      </c>
      <c r="U330" s="41">
        <v>766517.56539999996</v>
      </c>
      <c r="V330" s="41">
        <v>317358</v>
      </c>
      <c r="W330" s="41">
        <v>398702.4</v>
      </c>
      <c r="X330" s="42">
        <v>0.75407298769914133</v>
      </c>
      <c r="Y330" s="43">
        <v>1</v>
      </c>
      <c r="Z330" s="43" t="s">
        <v>2090</v>
      </c>
      <c r="AA330" s="43" t="s">
        <v>2090</v>
      </c>
      <c r="AB330" s="43" t="s">
        <v>2090</v>
      </c>
      <c r="AC330" s="43" t="s">
        <v>2090</v>
      </c>
      <c r="AD330" s="43">
        <v>0</v>
      </c>
      <c r="AE330" s="43">
        <v>0</v>
      </c>
      <c r="AF330" s="43">
        <v>0</v>
      </c>
      <c r="AG330" s="43">
        <v>0</v>
      </c>
      <c r="AH330" s="43">
        <v>0</v>
      </c>
      <c r="AI330" s="43">
        <v>1</v>
      </c>
      <c r="AJ330" s="43">
        <v>0</v>
      </c>
      <c r="AK330" s="43">
        <v>0</v>
      </c>
      <c r="AL330" s="43">
        <v>0</v>
      </c>
      <c r="AM330" s="43">
        <v>0</v>
      </c>
      <c r="AN330" s="43">
        <v>0</v>
      </c>
      <c r="AO330" s="43">
        <v>0</v>
      </c>
      <c r="AP330" s="43">
        <v>0</v>
      </c>
      <c r="AQ330" s="43">
        <v>0</v>
      </c>
      <c r="AR330" s="43">
        <v>0</v>
      </c>
      <c r="AS330" s="43">
        <v>0</v>
      </c>
      <c r="AT330" s="43">
        <v>0</v>
      </c>
      <c r="AU330" s="43">
        <v>0</v>
      </c>
      <c r="AV330" s="43">
        <v>0</v>
      </c>
      <c r="AW330" s="43">
        <v>0</v>
      </c>
      <c r="AX330" s="43">
        <v>0</v>
      </c>
      <c r="AY330" s="43">
        <v>0</v>
      </c>
      <c r="AZ330" s="43">
        <v>0</v>
      </c>
      <c r="BA330" s="43">
        <v>0</v>
      </c>
      <c r="BB330" s="43">
        <v>0</v>
      </c>
      <c r="BC330" s="43">
        <v>0</v>
      </c>
      <c r="BD330" s="43">
        <v>0</v>
      </c>
      <c r="BE330" s="43">
        <v>0</v>
      </c>
      <c r="BF330" s="43">
        <v>0</v>
      </c>
      <c r="BG330" s="43">
        <v>0</v>
      </c>
      <c r="BH330" s="43">
        <v>0</v>
      </c>
      <c r="BI330" s="43">
        <v>0</v>
      </c>
      <c r="BJ330" s="43" t="s">
        <v>2090</v>
      </c>
      <c r="BK330" s="43" t="s">
        <v>2090</v>
      </c>
      <c r="BL330" s="43" t="s">
        <v>2090</v>
      </c>
      <c r="BM330" s="43" t="s">
        <v>2090</v>
      </c>
      <c r="BN330" s="43" t="s">
        <v>2090</v>
      </c>
      <c r="BO330" s="43" t="s">
        <v>2090</v>
      </c>
      <c r="BP330" s="43" t="s">
        <v>2090</v>
      </c>
      <c r="BQ330" s="43" t="s">
        <v>2090</v>
      </c>
      <c r="BR330" s="43" t="s">
        <v>2090</v>
      </c>
      <c r="BS330" s="43" t="s">
        <v>2090</v>
      </c>
      <c r="BT330" s="43" t="s">
        <v>2090</v>
      </c>
      <c r="BU330" s="43" t="s">
        <v>2091</v>
      </c>
      <c r="BV330" s="43" t="s">
        <v>2090</v>
      </c>
      <c r="BW330" s="43" t="s">
        <v>2090</v>
      </c>
    </row>
    <row r="331" spans="1:75" ht="157.69999999999999" customHeight="1" x14ac:dyDescent="0.25">
      <c r="A331" s="38" t="s">
        <v>1438</v>
      </c>
      <c r="B331" s="38" t="s">
        <v>1907</v>
      </c>
      <c r="C331" s="45" t="s">
        <v>556</v>
      </c>
      <c r="D331" s="46" t="s">
        <v>1439</v>
      </c>
      <c r="E331" s="41">
        <v>51534.85065</v>
      </c>
      <c r="F331" s="41">
        <v>2622822.4556200001</v>
      </c>
      <c r="G331" s="41">
        <v>49344.6</v>
      </c>
      <c r="H331" s="41">
        <v>68854.5</v>
      </c>
      <c r="I331" s="42">
        <v>0.69353302582681287</v>
      </c>
      <c r="J331" s="41">
        <v>9763.7636600000005</v>
      </c>
      <c r="K331" s="41">
        <v>1091552.6172499999</v>
      </c>
      <c r="L331" s="41">
        <v>113282.4</v>
      </c>
      <c r="M331" s="41">
        <v>213497.5</v>
      </c>
      <c r="N331" s="42">
        <v>0.49807501023930728</v>
      </c>
      <c r="O331" s="41">
        <v>81996.246450000006</v>
      </c>
      <c r="P331" s="41">
        <v>3081013.7233799999</v>
      </c>
      <c r="Q331" s="41">
        <v>207063</v>
      </c>
      <c r="R331" s="41">
        <v>166645.9</v>
      </c>
      <c r="S331" s="42">
        <v>1.215891884562363</v>
      </c>
      <c r="T331" s="41">
        <v>13437.922119999999</v>
      </c>
      <c r="U331" s="41">
        <v>1315611.2307800001</v>
      </c>
      <c r="V331" s="41">
        <v>31654.5</v>
      </c>
      <c r="W331" s="41">
        <v>60036.4</v>
      </c>
      <c r="X331" s="42">
        <v>0.50857031131194186</v>
      </c>
      <c r="Y331" s="43">
        <v>2</v>
      </c>
      <c r="Z331" s="43" t="s">
        <v>2090</v>
      </c>
      <c r="AA331" s="43" t="s">
        <v>2090</v>
      </c>
      <c r="AB331" s="43" t="s">
        <v>2090</v>
      </c>
      <c r="AC331" s="43" t="s">
        <v>2090</v>
      </c>
      <c r="AD331" s="43">
        <v>0</v>
      </c>
      <c r="AE331" s="43">
        <v>0</v>
      </c>
      <c r="AF331" s="43">
        <v>0</v>
      </c>
      <c r="AG331" s="43">
        <v>0</v>
      </c>
      <c r="AH331" s="43">
        <v>0</v>
      </c>
      <c r="AI331" s="43">
        <v>1</v>
      </c>
      <c r="AJ331" s="43">
        <v>0</v>
      </c>
      <c r="AK331" s="43">
        <v>0</v>
      </c>
      <c r="AL331" s="43">
        <v>0</v>
      </c>
      <c r="AM331" s="43">
        <v>1</v>
      </c>
      <c r="AN331" s="43">
        <v>0</v>
      </c>
      <c r="AO331" s="43">
        <v>0</v>
      </c>
      <c r="AP331" s="43">
        <v>0</v>
      </c>
      <c r="AQ331" s="43">
        <v>0</v>
      </c>
      <c r="AR331" s="43">
        <v>0</v>
      </c>
      <c r="AS331" s="43">
        <v>0</v>
      </c>
      <c r="AT331" s="43">
        <v>0</v>
      </c>
      <c r="AU331" s="43">
        <v>0</v>
      </c>
      <c r="AV331" s="43">
        <v>0</v>
      </c>
      <c r="AW331" s="43">
        <v>0</v>
      </c>
      <c r="AX331" s="43">
        <v>0</v>
      </c>
      <c r="AY331" s="43">
        <v>0</v>
      </c>
      <c r="AZ331" s="43">
        <v>0</v>
      </c>
      <c r="BA331" s="43">
        <v>0</v>
      </c>
      <c r="BB331" s="43">
        <v>0</v>
      </c>
      <c r="BC331" s="43">
        <v>0</v>
      </c>
      <c r="BD331" s="43">
        <v>0</v>
      </c>
      <c r="BE331" s="43">
        <v>0</v>
      </c>
      <c r="BF331" s="43">
        <v>0</v>
      </c>
      <c r="BG331" s="43">
        <v>0</v>
      </c>
      <c r="BH331" s="43">
        <v>0</v>
      </c>
      <c r="BI331" s="43">
        <v>0</v>
      </c>
      <c r="BJ331" s="43" t="s">
        <v>2090</v>
      </c>
      <c r="BK331" s="43" t="s">
        <v>2090</v>
      </c>
      <c r="BL331" s="43" t="s">
        <v>2090</v>
      </c>
      <c r="BM331" s="43" t="s">
        <v>2090</v>
      </c>
      <c r="BN331" s="43" t="s">
        <v>2090</v>
      </c>
      <c r="BO331" s="43" t="s">
        <v>2090</v>
      </c>
      <c r="BP331" s="43" t="s">
        <v>2090</v>
      </c>
      <c r="BQ331" s="43" t="s">
        <v>2090</v>
      </c>
      <c r="BR331" s="43" t="s">
        <v>2090</v>
      </c>
      <c r="BS331" s="43" t="s">
        <v>2090</v>
      </c>
      <c r="BT331" s="43" t="s">
        <v>2090</v>
      </c>
      <c r="BU331" s="43" t="s">
        <v>2090</v>
      </c>
      <c r="BV331" s="43" t="s">
        <v>2090</v>
      </c>
      <c r="BW331" s="43" t="s">
        <v>2091</v>
      </c>
    </row>
    <row r="332" spans="1:75" ht="197.45" customHeight="1" x14ac:dyDescent="0.25">
      <c r="A332" s="38" t="s">
        <v>1440</v>
      </c>
      <c r="B332" s="38" t="s">
        <v>1908</v>
      </c>
      <c r="C332" s="39" t="s">
        <v>1441</v>
      </c>
      <c r="D332" s="40" t="s">
        <v>1442</v>
      </c>
      <c r="E332" s="41">
        <v>40681.285409999997</v>
      </c>
      <c r="F332" s="41">
        <v>2364566.0852899998</v>
      </c>
      <c r="G332" s="41">
        <v>80466.600000000006</v>
      </c>
      <c r="H332" s="41">
        <v>79963.600000000006</v>
      </c>
      <c r="I332" s="42">
        <v>0.96992373689227829</v>
      </c>
      <c r="J332" s="41">
        <v>0</v>
      </c>
      <c r="K332" s="41">
        <v>57743.218350000003</v>
      </c>
      <c r="L332" s="41">
        <v>64689.7</v>
      </c>
      <c r="M332" s="41">
        <v>156743.6</v>
      </c>
      <c r="N332" s="42">
        <v>0.39824108439567535</v>
      </c>
      <c r="O332" s="41">
        <v>81141.300329999998</v>
      </c>
      <c r="P332" s="41">
        <v>3142822.2735899999</v>
      </c>
      <c r="Q332" s="41">
        <v>100550.39999999999</v>
      </c>
      <c r="R332" s="41">
        <v>57638.9</v>
      </c>
      <c r="S332" s="42">
        <v>1.6481805043249425</v>
      </c>
      <c r="T332" s="41">
        <v>3093.0249100000001</v>
      </c>
      <c r="U332" s="41">
        <v>524034.71532999998</v>
      </c>
      <c r="V332" s="41">
        <v>32954.6</v>
      </c>
      <c r="W332" s="41">
        <v>93822.2</v>
      </c>
      <c r="X332" s="42">
        <v>0.34444736878558269</v>
      </c>
      <c r="Y332" s="43">
        <v>2</v>
      </c>
      <c r="Z332" s="43" t="s">
        <v>2090</v>
      </c>
      <c r="AA332" s="43" t="s">
        <v>2090</v>
      </c>
      <c r="AB332" s="43" t="s">
        <v>2090</v>
      </c>
      <c r="AC332" s="43" t="s">
        <v>2090</v>
      </c>
      <c r="AD332" s="43">
        <v>0</v>
      </c>
      <c r="AE332" s="43">
        <v>0</v>
      </c>
      <c r="AF332" s="43">
        <v>0</v>
      </c>
      <c r="AG332" s="43">
        <v>0</v>
      </c>
      <c r="AH332" s="43">
        <v>0</v>
      </c>
      <c r="AI332" s="43">
        <v>0</v>
      </c>
      <c r="AJ332" s="43">
        <v>0</v>
      </c>
      <c r="AK332" s="43">
        <v>0</v>
      </c>
      <c r="AL332" s="43">
        <v>0</v>
      </c>
      <c r="AM332" s="43">
        <v>0</v>
      </c>
      <c r="AN332" s="43">
        <v>0</v>
      </c>
      <c r="AO332" s="43">
        <v>0</v>
      </c>
      <c r="AP332" s="43">
        <v>0</v>
      </c>
      <c r="AQ332" s="43">
        <v>0</v>
      </c>
      <c r="AR332" s="43">
        <v>0</v>
      </c>
      <c r="AS332" s="43">
        <v>0</v>
      </c>
      <c r="AT332" s="43">
        <v>0</v>
      </c>
      <c r="AU332" s="43">
        <v>0</v>
      </c>
      <c r="AV332" s="43">
        <v>0</v>
      </c>
      <c r="AW332" s="43">
        <v>0</v>
      </c>
      <c r="AX332" s="43">
        <v>0</v>
      </c>
      <c r="AY332" s="43">
        <v>0</v>
      </c>
      <c r="AZ332" s="43">
        <v>0</v>
      </c>
      <c r="BA332" s="43">
        <v>0</v>
      </c>
      <c r="BB332" s="43">
        <v>0</v>
      </c>
      <c r="BC332" s="43">
        <v>0</v>
      </c>
      <c r="BD332" s="43">
        <v>0</v>
      </c>
      <c r="BE332" s="43">
        <v>0</v>
      </c>
      <c r="BF332" s="43">
        <v>0</v>
      </c>
      <c r="BG332" s="43">
        <v>0</v>
      </c>
      <c r="BH332" s="43">
        <v>0</v>
      </c>
      <c r="BI332" s="43">
        <v>0</v>
      </c>
      <c r="BJ332" s="43" t="s">
        <v>2090</v>
      </c>
      <c r="BK332" s="43" t="s">
        <v>2090</v>
      </c>
      <c r="BL332" s="43" t="s">
        <v>2090</v>
      </c>
      <c r="BM332" s="43" t="s">
        <v>2090</v>
      </c>
      <c r="BN332" s="43" t="s">
        <v>2090</v>
      </c>
      <c r="BO332" s="43" t="s">
        <v>2090</v>
      </c>
      <c r="BP332" s="43" t="s">
        <v>2090</v>
      </c>
      <c r="BQ332" s="43" t="s">
        <v>2090</v>
      </c>
      <c r="BR332" s="43" t="s">
        <v>2090</v>
      </c>
      <c r="BS332" s="43" t="s">
        <v>2091</v>
      </c>
      <c r="BT332" s="43" t="s">
        <v>2091</v>
      </c>
      <c r="BU332" s="43" t="s">
        <v>2090</v>
      </c>
      <c r="BV332" s="43" t="s">
        <v>2090</v>
      </c>
      <c r="BW332" s="43" t="s">
        <v>2090</v>
      </c>
    </row>
    <row r="333" spans="1:75" ht="105.95" customHeight="1" x14ac:dyDescent="0.25">
      <c r="A333" s="38" t="s">
        <v>1443</v>
      </c>
      <c r="B333" s="38" t="s">
        <v>1909</v>
      </c>
      <c r="C333" s="39" t="s">
        <v>1444</v>
      </c>
      <c r="D333" s="40" t="s">
        <v>1445</v>
      </c>
      <c r="E333" s="41">
        <v>58382.836519999997</v>
      </c>
      <c r="F333" s="41">
        <v>2789393.6667900002</v>
      </c>
      <c r="G333" s="41">
        <v>112026</v>
      </c>
      <c r="H333" s="41">
        <v>84988.4</v>
      </c>
      <c r="I333" s="42">
        <v>1.2773403456048085</v>
      </c>
      <c r="J333" s="41">
        <v>4467.4259400000001</v>
      </c>
      <c r="K333" s="41">
        <v>666923.58354999998</v>
      </c>
      <c r="L333" s="41">
        <v>7434.4</v>
      </c>
      <c r="M333" s="41">
        <v>51031.8</v>
      </c>
      <c r="N333" s="42">
        <v>0.17200122711933735</v>
      </c>
      <c r="O333" s="41">
        <v>9087.8996200000001</v>
      </c>
      <c r="P333" s="41">
        <v>1129394.2224000001</v>
      </c>
      <c r="Q333" s="41">
        <v>33262.300000000003</v>
      </c>
      <c r="R333" s="41">
        <v>111357.8</v>
      </c>
      <c r="S333" s="42">
        <v>0.29096639863800028</v>
      </c>
      <c r="T333" s="41">
        <v>17835.168529999999</v>
      </c>
      <c r="U333" s="41">
        <v>1547329.11167</v>
      </c>
      <c r="V333" s="41">
        <v>11539.1</v>
      </c>
      <c r="W333" s="41">
        <v>32419.3</v>
      </c>
      <c r="X333" s="42">
        <v>0.34948304880981007</v>
      </c>
      <c r="Y333" s="43">
        <v>2</v>
      </c>
      <c r="Z333" s="43" t="s">
        <v>2090</v>
      </c>
      <c r="AA333" s="43" t="s">
        <v>2090</v>
      </c>
      <c r="AB333" s="43" t="s">
        <v>2090</v>
      </c>
      <c r="AC333" s="43" t="s">
        <v>2090</v>
      </c>
      <c r="AD333" s="43">
        <v>0</v>
      </c>
      <c r="AE333" s="43">
        <v>0</v>
      </c>
      <c r="AF333" s="43">
        <v>0</v>
      </c>
      <c r="AG333" s="43">
        <v>0</v>
      </c>
      <c r="AH333" s="43">
        <v>0</v>
      </c>
      <c r="AI333" s="43">
        <v>0</v>
      </c>
      <c r="AJ333" s="43">
        <v>0</v>
      </c>
      <c r="AK333" s="43">
        <v>0</v>
      </c>
      <c r="AL333" s="43">
        <v>0</v>
      </c>
      <c r="AM333" s="43">
        <v>0</v>
      </c>
      <c r="AN333" s="43">
        <v>0</v>
      </c>
      <c r="AO333" s="43">
        <v>0</v>
      </c>
      <c r="AP333" s="43">
        <v>0</v>
      </c>
      <c r="AQ333" s="43">
        <v>0</v>
      </c>
      <c r="AR333" s="43">
        <v>0</v>
      </c>
      <c r="AS333" s="43">
        <v>0</v>
      </c>
      <c r="AT333" s="43">
        <v>0</v>
      </c>
      <c r="AU333" s="43">
        <v>0</v>
      </c>
      <c r="AV333" s="43">
        <v>0</v>
      </c>
      <c r="AW333" s="43">
        <v>0</v>
      </c>
      <c r="AX333" s="43">
        <v>0</v>
      </c>
      <c r="AY333" s="43">
        <v>0</v>
      </c>
      <c r="AZ333" s="43">
        <v>0</v>
      </c>
      <c r="BA333" s="43">
        <v>0</v>
      </c>
      <c r="BB333" s="43">
        <v>0</v>
      </c>
      <c r="BC333" s="43">
        <v>0</v>
      </c>
      <c r="BD333" s="43">
        <v>0</v>
      </c>
      <c r="BE333" s="43">
        <v>0</v>
      </c>
      <c r="BF333" s="43">
        <v>0</v>
      </c>
      <c r="BG333" s="43">
        <v>0</v>
      </c>
      <c r="BH333" s="43">
        <v>0</v>
      </c>
      <c r="BI333" s="43">
        <v>0</v>
      </c>
      <c r="BJ333" s="43" t="s">
        <v>2090</v>
      </c>
      <c r="BK333" s="43" t="s">
        <v>2090</v>
      </c>
      <c r="BL333" s="43" t="s">
        <v>2090</v>
      </c>
      <c r="BM333" s="43" t="s">
        <v>2090</v>
      </c>
      <c r="BN333" s="43" t="s">
        <v>2090</v>
      </c>
      <c r="BO333" s="43" t="s">
        <v>2091</v>
      </c>
      <c r="BP333" s="43" t="s">
        <v>2091</v>
      </c>
      <c r="BQ333" s="43" t="s">
        <v>2090</v>
      </c>
      <c r="BR333" s="43" t="s">
        <v>2091</v>
      </c>
      <c r="BS333" s="43" t="s">
        <v>2090</v>
      </c>
      <c r="BT333" s="43" t="s">
        <v>2091</v>
      </c>
      <c r="BU333" s="43" t="s">
        <v>2090</v>
      </c>
      <c r="BV333" s="43" t="s">
        <v>2090</v>
      </c>
      <c r="BW333" s="43" t="s">
        <v>2090</v>
      </c>
    </row>
    <row r="334" spans="1:75" ht="163.69999999999999" customHeight="1" x14ac:dyDescent="0.25">
      <c r="A334" s="38" t="s">
        <v>1446</v>
      </c>
      <c r="B334" s="38" t="s">
        <v>1910</v>
      </c>
      <c r="C334" s="45" t="s">
        <v>691</v>
      </c>
      <c r="D334" s="46" t="s">
        <v>1447</v>
      </c>
      <c r="E334" s="41">
        <v>53797.018329999999</v>
      </c>
      <c r="F334" s="41">
        <v>2707339.6217</v>
      </c>
      <c r="G334" s="41">
        <v>141398.20000000001</v>
      </c>
      <c r="H334" s="41">
        <v>127989.7</v>
      </c>
      <c r="I334" s="42">
        <v>1.0711034328807276</v>
      </c>
      <c r="J334" s="41">
        <v>40384.496310000002</v>
      </c>
      <c r="K334" s="41">
        <v>2293343.3037800002</v>
      </c>
      <c r="L334" s="41">
        <v>203977.3</v>
      </c>
      <c r="M334" s="41">
        <v>206526.2</v>
      </c>
      <c r="N334" s="42">
        <v>0.92925009583910823</v>
      </c>
      <c r="O334" s="41">
        <v>10965.761270000001</v>
      </c>
      <c r="P334" s="41">
        <v>1335839.6161</v>
      </c>
      <c r="Q334" s="41">
        <v>115280.9</v>
      </c>
      <c r="R334" s="41">
        <v>192636</v>
      </c>
      <c r="S334" s="42">
        <v>0.56791901041166726</v>
      </c>
      <c r="T334" s="41">
        <v>60658.61148</v>
      </c>
      <c r="U334" s="41">
        <v>2733389.9040600001</v>
      </c>
      <c r="V334" s="41">
        <v>96476</v>
      </c>
      <c r="W334" s="41">
        <v>92327.1</v>
      </c>
      <c r="X334" s="42">
        <v>0.91506367694856516</v>
      </c>
      <c r="Y334" s="43">
        <v>1</v>
      </c>
      <c r="Z334" s="43" t="s">
        <v>2090</v>
      </c>
      <c r="AA334" s="43" t="s">
        <v>2090</v>
      </c>
      <c r="AB334" s="43" t="s">
        <v>2090</v>
      </c>
      <c r="AC334" s="43" t="s">
        <v>2090</v>
      </c>
      <c r="AD334" s="43">
        <v>0</v>
      </c>
      <c r="AE334" s="43">
        <v>0</v>
      </c>
      <c r="AF334" s="43">
        <v>0</v>
      </c>
      <c r="AG334" s="43">
        <v>0</v>
      </c>
      <c r="AH334" s="43">
        <v>0</v>
      </c>
      <c r="AI334" s="43">
        <v>0</v>
      </c>
      <c r="AJ334" s="43">
        <v>0</v>
      </c>
      <c r="AK334" s="43">
        <v>0</v>
      </c>
      <c r="AL334" s="43">
        <v>1</v>
      </c>
      <c r="AM334" s="43">
        <v>0</v>
      </c>
      <c r="AN334" s="43">
        <v>0</v>
      </c>
      <c r="AO334" s="43">
        <v>0</v>
      </c>
      <c r="AP334" s="43">
        <v>0</v>
      </c>
      <c r="AQ334" s="43">
        <v>0</v>
      </c>
      <c r="AR334" s="43">
        <v>0</v>
      </c>
      <c r="AS334" s="43">
        <v>0</v>
      </c>
      <c r="AT334" s="43">
        <v>0</v>
      </c>
      <c r="AU334" s="43">
        <v>0</v>
      </c>
      <c r="AV334" s="43">
        <v>0</v>
      </c>
      <c r="AW334" s="43">
        <v>0</v>
      </c>
      <c r="AX334" s="43">
        <v>0</v>
      </c>
      <c r="AY334" s="43">
        <v>0</v>
      </c>
      <c r="AZ334" s="43">
        <v>0</v>
      </c>
      <c r="BA334" s="43">
        <v>0</v>
      </c>
      <c r="BB334" s="43">
        <v>0</v>
      </c>
      <c r="BC334" s="43">
        <v>0</v>
      </c>
      <c r="BD334" s="43">
        <v>0</v>
      </c>
      <c r="BE334" s="43">
        <v>0</v>
      </c>
      <c r="BF334" s="43">
        <v>0</v>
      </c>
      <c r="BG334" s="43">
        <v>0</v>
      </c>
      <c r="BH334" s="43">
        <v>0</v>
      </c>
      <c r="BI334" s="43">
        <v>0</v>
      </c>
      <c r="BJ334" s="43" t="s">
        <v>2090</v>
      </c>
      <c r="BK334" s="43" t="s">
        <v>2090</v>
      </c>
      <c r="BL334" s="43" t="s">
        <v>2090</v>
      </c>
      <c r="BM334" s="43" t="s">
        <v>2090</v>
      </c>
      <c r="BN334" s="43" t="s">
        <v>2090</v>
      </c>
      <c r="BO334" s="43" t="s">
        <v>2090</v>
      </c>
      <c r="BP334" s="43" t="s">
        <v>2090</v>
      </c>
      <c r="BQ334" s="43" t="s">
        <v>2090</v>
      </c>
      <c r="BR334" s="43" t="s">
        <v>2090</v>
      </c>
      <c r="BS334" s="43" t="s">
        <v>2090</v>
      </c>
      <c r="BT334" s="43" t="s">
        <v>2090</v>
      </c>
      <c r="BU334" s="43" t="s">
        <v>2090</v>
      </c>
      <c r="BV334" s="43" t="s">
        <v>2090</v>
      </c>
      <c r="BW334" s="43" t="s">
        <v>2090</v>
      </c>
    </row>
    <row r="335" spans="1:75" ht="135.94999999999999" customHeight="1" x14ac:dyDescent="0.25">
      <c r="A335" s="38" t="s">
        <v>1448</v>
      </c>
      <c r="B335" s="38" t="s">
        <v>1911</v>
      </c>
      <c r="C335" s="39" t="s">
        <v>1449</v>
      </c>
      <c r="D335" s="40" t="s">
        <v>1450</v>
      </c>
      <c r="E335" s="41">
        <v>41098.133869999998</v>
      </c>
      <c r="F335" s="41">
        <v>2442469.9836499998</v>
      </c>
      <c r="G335" s="41">
        <v>211635.9</v>
      </c>
      <c r="H335" s="41">
        <v>207103</v>
      </c>
      <c r="I335" s="42">
        <v>0.99401109869782611</v>
      </c>
      <c r="J335" s="41">
        <v>10349.357040000001</v>
      </c>
      <c r="K335" s="41">
        <v>1143738.4735699999</v>
      </c>
      <c r="L335" s="41">
        <v>35769.800000000003</v>
      </c>
      <c r="M335" s="41">
        <v>89577.5</v>
      </c>
      <c r="N335" s="42">
        <v>0.38435871586988318</v>
      </c>
      <c r="O335" s="41">
        <v>26889.104520000001</v>
      </c>
      <c r="P335" s="41">
        <v>2121952.5328299999</v>
      </c>
      <c r="Q335" s="41">
        <v>81910.600000000006</v>
      </c>
      <c r="R335" s="41">
        <v>100310.8</v>
      </c>
      <c r="S335" s="42">
        <v>0.79376729027449688</v>
      </c>
      <c r="T335" s="41">
        <v>24271.447749999999</v>
      </c>
      <c r="U335" s="41">
        <v>1667770.5011100001</v>
      </c>
      <c r="V335" s="41">
        <v>72258.5</v>
      </c>
      <c r="W335" s="41">
        <v>111838.5</v>
      </c>
      <c r="X335" s="42">
        <v>0.60201085780804142</v>
      </c>
      <c r="Y335" s="43">
        <v>3</v>
      </c>
      <c r="Z335" s="43" t="s">
        <v>2090</v>
      </c>
      <c r="AA335" s="43" t="s">
        <v>2090</v>
      </c>
      <c r="AB335" s="43" t="s">
        <v>2090</v>
      </c>
      <c r="AC335" s="43" t="s">
        <v>2090</v>
      </c>
      <c r="AD335" s="43">
        <v>0</v>
      </c>
      <c r="AE335" s="43">
        <v>0</v>
      </c>
      <c r="AF335" s="43">
        <v>0</v>
      </c>
      <c r="AG335" s="43">
        <v>1</v>
      </c>
      <c r="AH335" s="43">
        <v>0</v>
      </c>
      <c r="AI335" s="43">
        <v>1</v>
      </c>
      <c r="AJ335" s="43">
        <v>0</v>
      </c>
      <c r="AK335" s="43">
        <v>0</v>
      </c>
      <c r="AL335" s="43">
        <v>0</v>
      </c>
      <c r="AM335" s="43">
        <v>0</v>
      </c>
      <c r="AN335" s="43">
        <v>1</v>
      </c>
      <c r="AO335" s="43">
        <v>0</v>
      </c>
      <c r="AP335" s="43">
        <v>0</v>
      </c>
      <c r="AQ335" s="43">
        <v>0</v>
      </c>
      <c r="AR335" s="43">
        <v>0</v>
      </c>
      <c r="AS335" s="43">
        <v>0</v>
      </c>
      <c r="AT335" s="43">
        <v>0</v>
      </c>
      <c r="AU335" s="43">
        <v>0</v>
      </c>
      <c r="AV335" s="43">
        <v>0</v>
      </c>
      <c r="AW335" s="43">
        <v>0</v>
      </c>
      <c r="AX335" s="43">
        <v>0</v>
      </c>
      <c r="AY335" s="43">
        <v>0</v>
      </c>
      <c r="AZ335" s="43">
        <v>0</v>
      </c>
      <c r="BA335" s="43">
        <v>0</v>
      </c>
      <c r="BB335" s="43">
        <v>0</v>
      </c>
      <c r="BC335" s="43">
        <v>0</v>
      </c>
      <c r="BD335" s="43">
        <v>0</v>
      </c>
      <c r="BE335" s="43">
        <v>0</v>
      </c>
      <c r="BF335" s="43">
        <v>0</v>
      </c>
      <c r="BG335" s="43">
        <v>0</v>
      </c>
      <c r="BH335" s="43">
        <v>0</v>
      </c>
      <c r="BI335" s="43">
        <v>0</v>
      </c>
      <c r="BJ335" s="43" t="s">
        <v>2090</v>
      </c>
      <c r="BK335" s="43" t="s">
        <v>2090</v>
      </c>
      <c r="BL335" s="43" t="s">
        <v>2090</v>
      </c>
      <c r="BM335" s="43" t="s">
        <v>2090</v>
      </c>
      <c r="BN335" s="43" t="s">
        <v>2090</v>
      </c>
      <c r="BO335" s="43" t="s">
        <v>2090</v>
      </c>
      <c r="BP335" s="43" t="s">
        <v>2090</v>
      </c>
      <c r="BQ335" s="43" t="s">
        <v>2090</v>
      </c>
      <c r="BR335" s="43" t="s">
        <v>2090</v>
      </c>
      <c r="BS335" s="43" t="s">
        <v>2090</v>
      </c>
      <c r="BT335" s="43" t="s">
        <v>2090</v>
      </c>
      <c r="BU335" s="43" t="s">
        <v>2090</v>
      </c>
      <c r="BV335" s="43" t="s">
        <v>2091</v>
      </c>
      <c r="BW335" s="43" t="s">
        <v>2090</v>
      </c>
    </row>
    <row r="336" spans="1:75" ht="213.2" customHeight="1" x14ac:dyDescent="0.25">
      <c r="A336" s="38" t="s">
        <v>1451</v>
      </c>
      <c r="B336" s="38" t="s">
        <v>1912</v>
      </c>
      <c r="C336" s="39" t="s">
        <v>1452</v>
      </c>
      <c r="D336" s="40" t="s">
        <v>1453</v>
      </c>
      <c r="E336" s="41">
        <v>35888.543100000003</v>
      </c>
      <c r="F336" s="41">
        <v>2137741.91261</v>
      </c>
      <c r="G336" s="41">
        <v>208995</v>
      </c>
      <c r="H336" s="41">
        <v>227036.1</v>
      </c>
      <c r="I336" s="42">
        <v>0.88479172869245137</v>
      </c>
      <c r="J336" s="41">
        <v>0</v>
      </c>
      <c r="K336" s="41">
        <v>50706.754959999998</v>
      </c>
      <c r="L336" s="41">
        <v>115649.5</v>
      </c>
      <c r="M336" s="41">
        <v>424936.9</v>
      </c>
      <c r="N336" s="42">
        <v>0.24955853211217541</v>
      </c>
      <c r="O336" s="41">
        <v>19937.056049999999</v>
      </c>
      <c r="P336" s="41">
        <v>1893435.28492</v>
      </c>
      <c r="Q336" s="41">
        <v>177415.6</v>
      </c>
      <c r="R336" s="41">
        <v>218692.1</v>
      </c>
      <c r="S336" s="42">
        <v>0.77964477346417616</v>
      </c>
      <c r="T336" s="41">
        <v>4170.0573100000001</v>
      </c>
      <c r="U336" s="41">
        <v>498540.07400999998</v>
      </c>
      <c r="V336" s="41">
        <v>60118.5</v>
      </c>
      <c r="W336" s="41">
        <v>355526.5</v>
      </c>
      <c r="X336" s="42">
        <v>0.16032677442023893</v>
      </c>
      <c r="Y336" s="43">
        <v>3</v>
      </c>
      <c r="Z336" s="43" t="s">
        <v>2090</v>
      </c>
      <c r="AA336" s="43" t="s">
        <v>2090</v>
      </c>
      <c r="AB336" s="43" t="s">
        <v>2090</v>
      </c>
      <c r="AC336" s="43" t="s">
        <v>2090</v>
      </c>
      <c r="AD336" s="43">
        <v>0</v>
      </c>
      <c r="AE336" s="43">
        <v>0</v>
      </c>
      <c r="AF336" s="43">
        <v>0</v>
      </c>
      <c r="AG336" s="43">
        <v>1</v>
      </c>
      <c r="AH336" s="43">
        <v>0</v>
      </c>
      <c r="AI336" s="43">
        <v>1</v>
      </c>
      <c r="AJ336" s="43">
        <v>0</v>
      </c>
      <c r="AK336" s="43">
        <v>0</v>
      </c>
      <c r="AL336" s="43">
        <v>0</v>
      </c>
      <c r="AM336" s="43">
        <v>1</v>
      </c>
      <c r="AN336" s="43">
        <v>0</v>
      </c>
      <c r="AO336" s="43">
        <v>0</v>
      </c>
      <c r="AP336" s="43">
        <v>0</v>
      </c>
      <c r="AQ336" s="43">
        <v>0</v>
      </c>
      <c r="AR336" s="43">
        <v>0</v>
      </c>
      <c r="AS336" s="43">
        <v>0</v>
      </c>
      <c r="AT336" s="43">
        <v>0</v>
      </c>
      <c r="AU336" s="43">
        <v>0</v>
      </c>
      <c r="AV336" s="43">
        <v>0</v>
      </c>
      <c r="AW336" s="43">
        <v>0</v>
      </c>
      <c r="AX336" s="43">
        <v>0</v>
      </c>
      <c r="AY336" s="43">
        <v>0</v>
      </c>
      <c r="AZ336" s="43">
        <v>0</v>
      </c>
      <c r="BA336" s="43">
        <v>0</v>
      </c>
      <c r="BB336" s="43">
        <v>0</v>
      </c>
      <c r="BC336" s="43">
        <v>0</v>
      </c>
      <c r="BD336" s="43">
        <v>0</v>
      </c>
      <c r="BE336" s="43">
        <v>0</v>
      </c>
      <c r="BF336" s="43">
        <v>0</v>
      </c>
      <c r="BG336" s="43">
        <v>0</v>
      </c>
      <c r="BH336" s="43">
        <v>0</v>
      </c>
      <c r="BI336" s="43">
        <v>0</v>
      </c>
      <c r="BJ336" s="43" t="s">
        <v>2090</v>
      </c>
      <c r="BK336" s="43" t="s">
        <v>2090</v>
      </c>
      <c r="BL336" s="43" t="s">
        <v>2090</v>
      </c>
      <c r="BM336" s="43" t="s">
        <v>2090</v>
      </c>
      <c r="BN336" s="43" t="s">
        <v>2090</v>
      </c>
      <c r="BO336" s="43" t="s">
        <v>2090</v>
      </c>
      <c r="BP336" s="43" t="s">
        <v>2090</v>
      </c>
      <c r="BQ336" s="43" t="s">
        <v>2090</v>
      </c>
      <c r="BR336" s="43" t="s">
        <v>2090</v>
      </c>
      <c r="BS336" s="43" t="s">
        <v>2090</v>
      </c>
      <c r="BT336" s="43" t="s">
        <v>2090</v>
      </c>
      <c r="BU336" s="43" t="s">
        <v>2090</v>
      </c>
      <c r="BV336" s="43" t="s">
        <v>2091</v>
      </c>
      <c r="BW336" s="43" t="s">
        <v>2090</v>
      </c>
    </row>
    <row r="337" spans="1:75" ht="144.94999999999999" customHeight="1" x14ac:dyDescent="0.25">
      <c r="A337" s="38" t="s">
        <v>1454</v>
      </c>
      <c r="B337" s="38" t="s">
        <v>1913</v>
      </c>
      <c r="C337" s="39" t="s">
        <v>1455</v>
      </c>
      <c r="D337" s="40" t="s">
        <v>1456</v>
      </c>
      <c r="E337" s="41">
        <v>32790.483690000001</v>
      </c>
      <c r="F337" s="41">
        <v>2134914.9389300002</v>
      </c>
      <c r="G337" s="41">
        <v>21185.599999999999</v>
      </c>
      <c r="H337" s="41">
        <v>24616.9</v>
      </c>
      <c r="I337" s="42">
        <v>0.82899799907649685</v>
      </c>
      <c r="J337" s="41">
        <v>22921.422589999998</v>
      </c>
      <c r="K337" s="41">
        <v>1781016.60048</v>
      </c>
      <c r="L337" s="41">
        <v>129587.9</v>
      </c>
      <c r="M337" s="41">
        <v>278619.2</v>
      </c>
      <c r="N337" s="42">
        <v>0.44609542313381761</v>
      </c>
      <c r="O337" s="41">
        <v>74469.287110000005</v>
      </c>
      <c r="P337" s="41">
        <v>3038802.7772900001</v>
      </c>
      <c r="Q337" s="41">
        <v>135401.79999999999</v>
      </c>
      <c r="R337" s="41">
        <v>93617.1</v>
      </c>
      <c r="S337" s="42">
        <v>1.4498304642670838</v>
      </c>
      <c r="T337" s="41">
        <v>61854.296090000003</v>
      </c>
      <c r="U337" s="41">
        <v>2780257.6134199998</v>
      </c>
      <c r="V337" s="41">
        <v>41413.599999999999</v>
      </c>
      <c r="W337" s="41">
        <v>68547.899999999994</v>
      </c>
      <c r="X337" s="42">
        <v>0.58320574511519396</v>
      </c>
      <c r="Y337" s="43">
        <v>3</v>
      </c>
      <c r="Z337" s="43" t="s">
        <v>2090</v>
      </c>
      <c r="AA337" s="43" t="s">
        <v>2090</v>
      </c>
      <c r="AB337" s="43" t="s">
        <v>2090</v>
      </c>
      <c r="AC337" s="43" t="s">
        <v>2090</v>
      </c>
      <c r="AD337" s="43">
        <v>0</v>
      </c>
      <c r="AE337" s="43">
        <v>0</v>
      </c>
      <c r="AF337" s="43">
        <v>0</v>
      </c>
      <c r="AG337" s="43">
        <v>1</v>
      </c>
      <c r="AH337" s="43">
        <v>0</v>
      </c>
      <c r="AI337" s="43">
        <v>0</v>
      </c>
      <c r="AJ337" s="43">
        <v>0</v>
      </c>
      <c r="AK337" s="43">
        <v>0</v>
      </c>
      <c r="AL337" s="43">
        <v>0</v>
      </c>
      <c r="AM337" s="43">
        <v>0</v>
      </c>
      <c r="AN337" s="43">
        <v>1</v>
      </c>
      <c r="AO337" s="43">
        <v>0</v>
      </c>
      <c r="AP337" s="43">
        <v>0</v>
      </c>
      <c r="AQ337" s="43">
        <v>0</v>
      </c>
      <c r="AR337" s="43">
        <v>0</v>
      </c>
      <c r="AS337" s="43">
        <v>0</v>
      </c>
      <c r="AT337" s="43">
        <v>0</v>
      </c>
      <c r="AU337" s="43">
        <v>0</v>
      </c>
      <c r="AV337" s="43">
        <v>0</v>
      </c>
      <c r="AW337" s="43">
        <v>0</v>
      </c>
      <c r="AX337" s="43">
        <v>0</v>
      </c>
      <c r="AY337" s="43">
        <v>0</v>
      </c>
      <c r="AZ337" s="43">
        <v>0</v>
      </c>
      <c r="BA337" s="43">
        <v>0</v>
      </c>
      <c r="BB337" s="43">
        <v>0</v>
      </c>
      <c r="BC337" s="43">
        <v>0</v>
      </c>
      <c r="BD337" s="43">
        <v>1</v>
      </c>
      <c r="BE337" s="43">
        <v>0</v>
      </c>
      <c r="BF337" s="43">
        <v>0</v>
      </c>
      <c r="BG337" s="43">
        <v>0</v>
      </c>
      <c r="BH337" s="43">
        <v>0</v>
      </c>
      <c r="BI337" s="43">
        <v>0</v>
      </c>
      <c r="BJ337" s="43" t="s">
        <v>2090</v>
      </c>
      <c r="BK337" s="43" t="s">
        <v>2090</v>
      </c>
      <c r="BL337" s="43" t="s">
        <v>2090</v>
      </c>
      <c r="BM337" s="43" t="s">
        <v>2090</v>
      </c>
      <c r="BN337" s="43" t="s">
        <v>2090</v>
      </c>
      <c r="BO337" s="43" t="s">
        <v>2090</v>
      </c>
      <c r="BP337" s="43" t="s">
        <v>2090</v>
      </c>
      <c r="BQ337" s="43" t="s">
        <v>2090</v>
      </c>
      <c r="BR337" s="43" t="s">
        <v>2090</v>
      </c>
      <c r="BS337" s="43" t="s">
        <v>2090</v>
      </c>
      <c r="BT337" s="43" t="s">
        <v>2090</v>
      </c>
      <c r="BU337" s="43" t="s">
        <v>2090</v>
      </c>
      <c r="BV337" s="43" t="s">
        <v>2090</v>
      </c>
      <c r="BW337" s="43" t="s">
        <v>2090</v>
      </c>
    </row>
    <row r="338" spans="1:75" ht="113.45" customHeight="1" x14ac:dyDescent="0.25">
      <c r="A338" s="38" t="s">
        <v>1457</v>
      </c>
      <c r="B338" s="38" t="s">
        <v>1914</v>
      </c>
      <c r="C338" s="39" t="s">
        <v>1458</v>
      </c>
      <c r="D338" s="40" t="s">
        <v>1459</v>
      </c>
      <c r="E338" s="41">
        <v>47298.570919999998</v>
      </c>
      <c r="F338" s="41">
        <v>2525739.8089800002</v>
      </c>
      <c r="G338" s="41">
        <v>235777.4</v>
      </c>
      <c r="H338" s="41">
        <v>221124.6</v>
      </c>
      <c r="I338" s="42">
        <v>1.0419897552903703</v>
      </c>
      <c r="J338" s="41">
        <v>0</v>
      </c>
      <c r="K338" s="41">
        <v>137753.14634000001</v>
      </c>
      <c r="L338" s="41">
        <v>283.3</v>
      </c>
      <c r="M338" s="41">
        <v>4951.6000000000004</v>
      </c>
      <c r="N338" s="42">
        <v>5.9689718643176438E-2</v>
      </c>
      <c r="O338" s="41">
        <v>4329.3264799999997</v>
      </c>
      <c r="P338" s="41">
        <v>609863.64763999998</v>
      </c>
      <c r="Q338" s="41">
        <v>34164.400000000001</v>
      </c>
      <c r="R338" s="41">
        <v>59884.6</v>
      </c>
      <c r="S338" s="42">
        <v>0.54369434442312259</v>
      </c>
      <c r="T338" s="41">
        <v>3566.71074</v>
      </c>
      <c r="U338" s="41">
        <v>472797.93530999997</v>
      </c>
      <c r="V338" s="41">
        <v>1800.1</v>
      </c>
      <c r="W338" s="41">
        <v>11688.2</v>
      </c>
      <c r="X338" s="42">
        <v>0.15083005679335953</v>
      </c>
      <c r="Y338" s="43">
        <v>2</v>
      </c>
      <c r="Z338" s="43" t="s">
        <v>2090</v>
      </c>
      <c r="AA338" s="43" t="s">
        <v>2090</v>
      </c>
      <c r="AB338" s="43" t="s">
        <v>2090</v>
      </c>
      <c r="AC338" s="43" t="s">
        <v>2090</v>
      </c>
      <c r="AD338" s="43">
        <v>0</v>
      </c>
      <c r="AE338" s="43">
        <v>0</v>
      </c>
      <c r="AF338" s="43">
        <v>0</v>
      </c>
      <c r="AG338" s="43">
        <v>0</v>
      </c>
      <c r="AH338" s="43">
        <v>0</v>
      </c>
      <c r="AI338" s="43">
        <v>1</v>
      </c>
      <c r="AJ338" s="43">
        <v>0</v>
      </c>
      <c r="AK338" s="43">
        <v>0</v>
      </c>
      <c r="AL338" s="43">
        <v>0</v>
      </c>
      <c r="AM338" s="43">
        <v>0</v>
      </c>
      <c r="AN338" s="43">
        <v>0</v>
      </c>
      <c r="AO338" s="43">
        <v>0</v>
      </c>
      <c r="AP338" s="43">
        <v>0</v>
      </c>
      <c r="AQ338" s="43">
        <v>0</v>
      </c>
      <c r="AR338" s="43">
        <v>1</v>
      </c>
      <c r="AS338" s="43">
        <v>0</v>
      </c>
      <c r="AT338" s="43">
        <v>0</v>
      </c>
      <c r="AU338" s="43">
        <v>0</v>
      </c>
      <c r="AV338" s="43">
        <v>0</v>
      </c>
      <c r="AW338" s="43">
        <v>0</v>
      </c>
      <c r="AX338" s="43">
        <v>0</v>
      </c>
      <c r="AY338" s="43">
        <v>0</v>
      </c>
      <c r="AZ338" s="43">
        <v>0</v>
      </c>
      <c r="BA338" s="43">
        <v>0</v>
      </c>
      <c r="BB338" s="43">
        <v>0</v>
      </c>
      <c r="BC338" s="43">
        <v>0</v>
      </c>
      <c r="BD338" s="43">
        <v>0</v>
      </c>
      <c r="BE338" s="43">
        <v>0</v>
      </c>
      <c r="BF338" s="43">
        <v>0</v>
      </c>
      <c r="BG338" s="43">
        <v>0</v>
      </c>
      <c r="BH338" s="43">
        <v>0</v>
      </c>
      <c r="BI338" s="43">
        <v>0</v>
      </c>
      <c r="BJ338" s="43" t="s">
        <v>2090</v>
      </c>
      <c r="BK338" s="43" t="s">
        <v>2090</v>
      </c>
      <c r="BL338" s="43" t="s">
        <v>2090</v>
      </c>
      <c r="BM338" s="43" t="s">
        <v>2090</v>
      </c>
      <c r="BN338" s="43" t="s">
        <v>2090</v>
      </c>
      <c r="BO338" s="43" t="s">
        <v>2090</v>
      </c>
      <c r="BP338" s="43" t="s">
        <v>2090</v>
      </c>
      <c r="BQ338" s="43" t="s">
        <v>2090</v>
      </c>
      <c r="BR338" s="43" t="s">
        <v>2090</v>
      </c>
      <c r="BS338" s="43" t="s">
        <v>2090</v>
      </c>
      <c r="BT338" s="43" t="s">
        <v>2090</v>
      </c>
      <c r="BU338" s="43" t="s">
        <v>2090</v>
      </c>
      <c r="BV338" s="43" t="s">
        <v>2091</v>
      </c>
      <c r="BW338" s="43" t="s">
        <v>2090</v>
      </c>
    </row>
    <row r="339" spans="1:75" ht="138.94999999999999" customHeight="1" x14ac:dyDescent="0.25">
      <c r="A339" s="38" t="s">
        <v>1460</v>
      </c>
      <c r="B339" s="38" t="s">
        <v>1915</v>
      </c>
      <c r="C339" s="39" t="s">
        <v>1461</v>
      </c>
      <c r="D339" s="40" t="s">
        <v>1462</v>
      </c>
      <c r="E339" s="41">
        <v>47337.348720000002</v>
      </c>
      <c r="F339" s="41">
        <v>2518164.8911700002</v>
      </c>
      <c r="G339" s="41">
        <v>327586.5</v>
      </c>
      <c r="H339" s="41">
        <v>297871</v>
      </c>
      <c r="I339" s="42">
        <v>1.0744843861388573</v>
      </c>
      <c r="J339" s="41">
        <v>2001.0810100000001</v>
      </c>
      <c r="K339" s="41">
        <v>342840.75975999999</v>
      </c>
      <c r="L339" s="41">
        <v>77356.7</v>
      </c>
      <c r="M339" s="41">
        <v>241064.8</v>
      </c>
      <c r="N339" s="42">
        <v>0.30769429129898862</v>
      </c>
      <c r="O339" s="41">
        <v>4014.4212499999999</v>
      </c>
      <c r="P339" s="41">
        <v>330927.67852000002</v>
      </c>
      <c r="Q339" s="41">
        <v>85790.8</v>
      </c>
      <c r="R339" s="41">
        <v>294462.3</v>
      </c>
      <c r="S339" s="42">
        <v>0.26724546172059982</v>
      </c>
      <c r="T339" s="41">
        <v>11283.350930000001</v>
      </c>
      <c r="U339" s="41">
        <v>1095114.4307500001</v>
      </c>
      <c r="V339" s="41">
        <v>52626.400000000001</v>
      </c>
      <c r="W339" s="41">
        <v>189105.6</v>
      </c>
      <c r="X339" s="42">
        <v>0.26465656176798752</v>
      </c>
      <c r="Y339" s="43">
        <v>2</v>
      </c>
      <c r="Z339" s="43" t="s">
        <v>2090</v>
      </c>
      <c r="AA339" s="43" t="s">
        <v>2090</v>
      </c>
      <c r="AB339" s="43" t="s">
        <v>2090</v>
      </c>
      <c r="AC339" s="43" t="s">
        <v>2090</v>
      </c>
      <c r="AD339" s="43">
        <v>0</v>
      </c>
      <c r="AE339" s="43">
        <v>0</v>
      </c>
      <c r="AF339" s="43">
        <v>0</v>
      </c>
      <c r="AG339" s="43">
        <v>0</v>
      </c>
      <c r="AH339" s="43">
        <v>0</v>
      </c>
      <c r="AI339" s="43">
        <v>1</v>
      </c>
      <c r="AJ339" s="43">
        <v>0</v>
      </c>
      <c r="AK339" s="43">
        <v>0</v>
      </c>
      <c r="AL339" s="43">
        <v>0</v>
      </c>
      <c r="AM339" s="43">
        <v>0</v>
      </c>
      <c r="AN339" s="43">
        <v>0</v>
      </c>
      <c r="AO339" s="43">
        <v>0</v>
      </c>
      <c r="AP339" s="43">
        <v>0</v>
      </c>
      <c r="AQ339" s="43">
        <v>0</v>
      </c>
      <c r="AR339" s="43">
        <v>1</v>
      </c>
      <c r="AS339" s="43">
        <v>0</v>
      </c>
      <c r="AT339" s="43">
        <v>0</v>
      </c>
      <c r="AU339" s="43">
        <v>0</v>
      </c>
      <c r="AV339" s="43">
        <v>0</v>
      </c>
      <c r="AW339" s="43">
        <v>0</v>
      </c>
      <c r="AX339" s="43">
        <v>0</v>
      </c>
      <c r="AY339" s="43">
        <v>0</v>
      </c>
      <c r="AZ339" s="43">
        <v>0</v>
      </c>
      <c r="BA339" s="43">
        <v>0</v>
      </c>
      <c r="BB339" s="43">
        <v>0</v>
      </c>
      <c r="BC339" s="43">
        <v>0</v>
      </c>
      <c r="BD339" s="43">
        <v>0</v>
      </c>
      <c r="BE339" s="43">
        <v>0</v>
      </c>
      <c r="BF339" s="43">
        <v>0</v>
      </c>
      <c r="BG339" s="43">
        <v>0</v>
      </c>
      <c r="BH339" s="43">
        <v>0</v>
      </c>
      <c r="BI339" s="43">
        <v>0</v>
      </c>
      <c r="BJ339" s="43" t="s">
        <v>2090</v>
      </c>
      <c r="BK339" s="43" t="s">
        <v>2090</v>
      </c>
      <c r="BL339" s="43" t="s">
        <v>2090</v>
      </c>
      <c r="BM339" s="43" t="s">
        <v>2090</v>
      </c>
      <c r="BN339" s="43" t="s">
        <v>2090</v>
      </c>
      <c r="BO339" s="43" t="s">
        <v>2090</v>
      </c>
      <c r="BP339" s="43" t="s">
        <v>2090</v>
      </c>
      <c r="BQ339" s="43" t="s">
        <v>2090</v>
      </c>
      <c r="BR339" s="43" t="s">
        <v>2090</v>
      </c>
      <c r="BS339" s="43" t="s">
        <v>2090</v>
      </c>
      <c r="BT339" s="43" t="s">
        <v>2090</v>
      </c>
      <c r="BU339" s="43" t="s">
        <v>2090</v>
      </c>
      <c r="BV339" s="43" t="s">
        <v>2090</v>
      </c>
      <c r="BW339" s="43" t="s">
        <v>2091</v>
      </c>
    </row>
    <row r="340" spans="1:75" ht="174.95" customHeight="1" x14ac:dyDescent="0.25">
      <c r="A340" s="38" t="s">
        <v>1463</v>
      </c>
      <c r="B340" s="38" t="s">
        <v>1916</v>
      </c>
      <c r="C340" s="45" t="s">
        <v>514</v>
      </c>
      <c r="D340" s="46" t="s">
        <v>1464</v>
      </c>
      <c r="E340" s="41">
        <v>58062.026949999999</v>
      </c>
      <c r="F340" s="41">
        <v>2755340.9715499999</v>
      </c>
      <c r="G340" s="41">
        <v>179946.6</v>
      </c>
      <c r="H340" s="41">
        <v>152232.20000000001</v>
      </c>
      <c r="I340" s="42">
        <v>1.1541171254023517</v>
      </c>
      <c r="J340" s="41">
        <v>113501.16340999999</v>
      </c>
      <c r="K340" s="41">
        <v>3459182.0832099998</v>
      </c>
      <c r="L340" s="41">
        <v>373947.1</v>
      </c>
      <c r="M340" s="41">
        <v>280361.5</v>
      </c>
      <c r="N340" s="42">
        <v>1.29728625143044</v>
      </c>
      <c r="O340" s="41">
        <v>83574.576849999998</v>
      </c>
      <c r="P340" s="41">
        <v>3188237.1792600001</v>
      </c>
      <c r="Q340" s="41">
        <v>477250.9</v>
      </c>
      <c r="R340" s="41">
        <v>317906.90000000002</v>
      </c>
      <c r="S340" s="42">
        <v>1.5067966554751575</v>
      </c>
      <c r="T340" s="41">
        <v>102732.65472999999</v>
      </c>
      <c r="U340" s="41">
        <v>3471870.8772</v>
      </c>
      <c r="V340" s="41">
        <v>81280.800000000003</v>
      </c>
      <c r="W340" s="41">
        <v>81321.5</v>
      </c>
      <c r="X340" s="42">
        <v>0.93452061332856029</v>
      </c>
      <c r="Y340" s="43">
        <v>2</v>
      </c>
      <c r="Z340" s="43" t="s">
        <v>2090</v>
      </c>
      <c r="AA340" s="43" t="s">
        <v>2090</v>
      </c>
      <c r="AB340" s="43" t="s">
        <v>2090</v>
      </c>
      <c r="AC340" s="43" t="s">
        <v>2090</v>
      </c>
      <c r="AD340" s="43">
        <v>0</v>
      </c>
      <c r="AE340" s="43">
        <v>0</v>
      </c>
      <c r="AF340" s="43">
        <v>0</v>
      </c>
      <c r="AG340" s="43">
        <v>0</v>
      </c>
      <c r="AH340" s="43">
        <v>0</v>
      </c>
      <c r="AI340" s="43">
        <v>2</v>
      </c>
      <c r="AJ340" s="43">
        <v>0</v>
      </c>
      <c r="AK340" s="43">
        <v>0</v>
      </c>
      <c r="AL340" s="43">
        <v>0</v>
      </c>
      <c r="AM340" s="43">
        <v>0</v>
      </c>
      <c r="AN340" s="43">
        <v>0</v>
      </c>
      <c r="AO340" s="43">
        <v>0</v>
      </c>
      <c r="AP340" s="43">
        <v>0</v>
      </c>
      <c r="AQ340" s="43">
        <v>0</v>
      </c>
      <c r="AR340" s="43">
        <v>0</v>
      </c>
      <c r="AS340" s="43">
        <v>0</v>
      </c>
      <c r="AT340" s="43">
        <v>0</v>
      </c>
      <c r="AU340" s="43">
        <v>0</v>
      </c>
      <c r="AV340" s="43">
        <v>0</v>
      </c>
      <c r="AW340" s="43">
        <v>0</v>
      </c>
      <c r="AX340" s="43">
        <v>0</v>
      </c>
      <c r="AY340" s="43">
        <v>0</v>
      </c>
      <c r="AZ340" s="43">
        <v>0</v>
      </c>
      <c r="BA340" s="43">
        <v>0</v>
      </c>
      <c r="BB340" s="43">
        <v>0</v>
      </c>
      <c r="BC340" s="43">
        <v>0</v>
      </c>
      <c r="BD340" s="43">
        <v>0</v>
      </c>
      <c r="BE340" s="43">
        <v>0</v>
      </c>
      <c r="BF340" s="43">
        <v>0</v>
      </c>
      <c r="BG340" s="43">
        <v>0</v>
      </c>
      <c r="BH340" s="43">
        <v>0</v>
      </c>
      <c r="BI340" s="43">
        <v>0</v>
      </c>
      <c r="BJ340" s="43" t="s">
        <v>2090</v>
      </c>
      <c r="BK340" s="43" t="s">
        <v>2090</v>
      </c>
      <c r="BL340" s="43" t="s">
        <v>2090</v>
      </c>
      <c r="BM340" s="43" t="s">
        <v>2090</v>
      </c>
      <c r="BN340" s="43" t="s">
        <v>2090</v>
      </c>
      <c r="BO340" s="43" t="s">
        <v>2090</v>
      </c>
      <c r="BP340" s="43" t="s">
        <v>2090</v>
      </c>
      <c r="BQ340" s="43" t="s">
        <v>2090</v>
      </c>
      <c r="BR340" s="43" t="s">
        <v>2090</v>
      </c>
      <c r="BS340" s="43" t="s">
        <v>2090</v>
      </c>
      <c r="BT340" s="43" t="s">
        <v>2090</v>
      </c>
      <c r="BU340" s="43" t="s">
        <v>2090</v>
      </c>
      <c r="BV340" s="43" t="s">
        <v>2090</v>
      </c>
      <c r="BW340" s="43" t="s">
        <v>2090</v>
      </c>
    </row>
    <row r="341" spans="1:75" ht="164.45" customHeight="1" x14ac:dyDescent="0.25">
      <c r="A341" s="38" t="s">
        <v>1465</v>
      </c>
      <c r="B341" s="38" t="s">
        <v>1917</v>
      </c>
      <c r="C341" s="39" t="s">
        <v>1466</v>
      </c>
      <c r="D341" s="40" t="s">
        <v>1467</v>
      </c>
      <c r="E341" s="41">
        <v>53273.456919999997</v>
      </c>
      <c r="F341" s="41">
        <v>2690222.2850600001</v>
      </c>
      <c r="G341" s="41">
        <v>177932.9</v>
      </c>
      <c r="H341" s="41">
        <v>171966.7</v>
      </c>
      <c r="I341" s="42">
        <v>1.0115426418375479</v>
      </c>
      <c r="J341" s="41">
        <v>19259.905060000001</v>
      </c>
      <c r="K341" s="41">
        <v>1593653.83898</v>
      </c>
      <c r="L341" s="41">
        <v>193485.3</v>
      </c>
      <c r="M341" s="41">
        <v>228305.8</v>
      </c>
      <c r="N341" s="42">
        <v>0.82161591555014202</v>
      </c>
      <c r="O341" s="41">
        <v>6068.7816899999998</v>
      </c>
      <c r="P341" s="41">
        <v>903758.29157999996</v>
      </c>
      <c r="Q341" s="41">
        <v>143631</v>
      </c>
      <c r="R341" s="41">
        <v>285493.59999999998</v>
      </c>
      <c r="S341" s="42">
        <v>0.47896063941826578</v>
      </c>
      <c r="T341" s="41">
        <v>19144.642889999999</v>
      </c>
      <c r="U341" s="41">
        <v>1564401.8114199999</v>
      </c>
      <c r="V341" s="41">
        <v>95291</v>
      </c>
      <c r="W341" s="41">
        <v>204787.6</v>
      </c>
      <c r="X341" s="42">
        <v>0.44616519619996736</v>
      </c>
      <c r="Y341" s="43">
        <v>2</v>
      </c>
      <c r="Z341" s="43" t="s">
        <v>2090</v>
      </c>
      <c r="AA341" s="43" t="s">
        <v>2090</v>
      </c>
      <c r="AB341" s="43" t="s">
        <v>2090</v>
      </c>
      <c r="AC341" s="43" t="s">
        <v>2090</v>
      </c>
      <c r="AD341" s="43">
        <v>0</v>
      </c>
      <c r="AE341" s="43">
        <v>0</v>
      </c>
      <c r="AF341" s="43">
        <v>0</v>
      </c>
      <c r="AG341" s="43">
        <v>0</v>
      </c>
      <c r="AH341" s="43">
        <v>0</v>
      </c>
      <c r="AI341" s="43">
        <v>1</v>
      </c>
      <c r="AJ341" s="43">
        <v>0</v>
      </c>
      <c r="AK341" s="43">
        <v>0</v>
      </c>
      <c r="AL341" s="43">
        <v>0</v>
      </c>
      <c r="AM341" s="43">
        <v>0</v>
      </c>
      <c r="AN341" s="43">
        <v>1</v>
      </c>
      <c r="AO341" s="43">
        <v>0</v>
      </c>
      <c r="AP341" s="43">
        <v>0</v>
      </c>
      <c r="AQ341" s="43">
        <v>0</v>
      </c>
      <c r="AR341" s="43">
        <v>0</v>
      </c>
      <c r="AS341" s="43">
        <v>0</v>
      </c>
      <c r="AT341" s="43">
        <v>0</v>
      </c>
      <c r="AU341" s="43">
        <v>0</v>
      </c>
      <c r="AV341" s="43">
        <v>0</v>
      </c>
      <c r="AW341" s="43">
        <v>0</v>
      </c>
      <c r="AX341" s="43">
        <v>0</v>
      </c>
      <c r="AY341" s="43">
        <v>0</v>
      </c>
      <c r="AZ341" s="43">
        <v>0</v>
      </c>
      <c r="BA341" s="43">
        <v>0</v>
      </c>
      <c r="BB341" s="43">
        <v>0</v>
      </c>
      <c r="BC341" s="43">
        <v>0</v>
      </c>
      <c r="BD341" s="43">
        <v>0</v>
      </c>
      <c r="BE341" s="43">
        <v>0</v>
      </c>
      <c r="BF341" s="43">
        <v>0</v>
      </c>
      <c r="BG341" s="43">
        <v>0</v>
      </c>
      <c r="BH341" s="43">
        <v>0</v>
      </c>
      <c r="BI341" s="43">
        <v>0</v>
      </c>
      <c r="BJ341" s="43" t="s">
        <v>2090</v>
      </c>
      <c r="BK341" s="43" t="s">
        <v>2090</v>
      </c>
      <c r="BL341" s="43" t="s">
        <v>2090</v>
      </c>
      <c r="BM341" s="43" t="s">
        <v>2090</v>
      </c>
      <c r="BN341" s="43" t="s">
        <v>2090</v>
      </c>
      <c r="BO341" s="43" t="s">
        <v>2090</v>
      </c>
      <c r="BP341" s="43" t="s">
        <v>2090</v>
      </c>
      <c r="BQ341" s="43" t="s">
        <v>2090</v>
      </c>
      <c r="BR341" s="43" t="s">
        <v>2090</v>
      </c>
      <c r="BS341" s="43" t="s">
        <v>2090</v>
      </c>
      <c r="BT341" s="43" t="s">
        <v>2090</v>
      </c>
      <c r="BU341" s="43" t="s">
        <v>2090</v>
      </c>
      <c r="BV341" s="43" t="s">
        <v>2091</v>
      </c>
      <c r="BW341" s="43" t="s">
        <v>2090</v>
      </c>
    </row>
    <row r="342" spans="1:75" ht="192.2" customHeight="1" x14ac:dyDescent="0.25">
      <c r="A342" s="38" t="s">
        <v>1468</v>
      </c>
      <c r="B342" s="38" t="s">
        <v>1918</v>
      </c>
      <c r="C342" s="45" t="s">
        <v>757</v>
      </c>
      <c r="D342" s="46" t="s">
        <v>1469</v>
      </c>
      <c r="E342" s="41">
        <v>58118.233820000001</v>
      </c>
      <c r="F342" s="41">
        <v>2768148.1131699998</v>
      </c>
      <c r="G342" s="41">
        <v>203677.1</v>
      </c>
      <c r="H342" s="41">
        <v>159381.5</v>
      </c>
      <c r="I342" s="42">
        <v>1.2324985529616053</v>
      </c>
      <c r="J342" s="41">
        <v>21382.848709999998</v>
      </c>
      <c r="K342" s="41">
        <v>1704634.93759</v>
      </c>
      <c r="L342" s="41">
        <v>136182.1</v>
      </c>
      <c r="M342" s="41">
        <v>155366.9</v>
      </c>
      <c r="N342" s="42">
        <v>0.84804598618817617</v>
      </c>
      <c r="O342" s="41">
        <v>83533.762239999996</v>
      </c>
      <c r="P342" s="41">
        <v>3181044.9224299998</v>
      </c>
      <c r="Q342" s="41">
        <v>435038.1</v>
      </c>
      <c r="R342" s="41">
        <v>302503</v>
      </c>
      <c r="S342" s="42">
        <v>1.4127688347429981</v>
      </c>
      <c r="T342" s="41">
        <v>59951.900629999996</v>
      </c>
      <c r="U342" s="41">
        <v>2720825.0865199999</v>
      </c>
      <c r="V342" s="41">
        <v>189485.6</v>
      </c>
      <c r="W342" s="41">
        <v>186661.9</v>
      </c>
      <c r="X342" s="42">
        <v>0.93463739239277599</v>
      </c>
      <c r="Y342" s="43">
        <v>2</v>
      </c>
      <c r="Z342" s="43" t="s">
        <v>2091</v>
      </c>
      <c r="AA342" s="43" t="s">
        <v>2090</v>
      </c>
      <c r="AB342" s="43" t="s">
        <v>2090</v>
      </c>
      <c r="AC342" s="43" t="s">
        <v>2090</v>
      </c>
      <c r="AD342" s="43">
        <v>0</v>
      </c>
      <c r="AE342" s="43">
        <v>0</v>
      </c>
      <c r="AF342" s="43">
        <v>0</v>
      </c>
      <c r="AG342" s="43">
        <v>0</v>
      </c>
      <c r="AH342" s="43">
        <v>0</v>
      </c>
      <c r="AI342" s="43">
        <v>1</v>
      </c>
      <c r="AJ342" s="43">
        <v>0</v>
      </c>
      <c r="AK342" s="43">
        <v>0</v>
      </c>
      <c r="AL342" s="43">
        <v>0</v>
      </c>
      <c r="AM342" s="43">
        <v>0</v>
      </c>
      <c r="AN342" s="43">
        <v>0</v>
      </c>
      <c r="AO342" s="43">
        <v>0</v>
      </c>
      <c r="AP342" s="43">
        <v>0</v>
      </c>
      <c r="AQ342" s="43">
        <v>0</v>
      </c>
      <c r="AR342" s="43">
        <v>0</v>
      </c>
      <c r="AS342" s="43">
        <v>0</v>
      </c>
      <c r="AT342" s="43">
        <v>0</v>
      </c>
      <c r="AU342" s="43">
        <v>0</v>
      </c>
      <c r="AV342" s="43">
        <v>0</v>
      </c>
      <c r="AW342" s="43">
        <v>0</v>
      </c>
      <c r="AX342" s="43">
        <v>0</v>
      </c>
      <c r="AY342" s="43">
        <v>0</v>
      </c>
      <c r="AZ342" s="43">
        <v>0</v>
      </c>
      <c r="BA342" s="43">
        <v>0</v>
      </c>
      <c r="BB342" s="43">
        <v>0</v>
      </c>
      <c r="BC342" s="43">
        <v>0</v>
      </c>
      <c r="BD342" s="43">
        <v>0</v>
      </c>
      <c r="BE342" s="43">
        <v>0</v>
      </c>
      <c r="BF342" s="43">
        <v>0</v>
      </c>
      <c r="BG342" s="43">
        <v>0</v>
      </c>
      <c r="BH342" s="43">
        <v>0</v>
      </c>
      <c r="BI342" s="43">
        <v>0</v>
      </c>
      <c r="BJ342" s="43" t="s">
        <v>2090</v>
      </c>
      <c r="BK342" s="43" t="s">
        <v>2090</v>
      </c>
      <c r="BL342" s="43" t="s">
        <v>2090</v>
      </c>
      <c r="BM342" s="43" t="s">
        <v>2090</v>
      </c>
      <c r="BN342" s="43" t="s">
        <v>2090</v>
      </c>
      <c r="BO342" s="43" t="s">
        <v>2090</v>
      </c>
      <c r="BP342" s="43" t="s">
        <v>2090</v>
      </c>
      <c r="BQ342" s="43" t="s">
        <v>2090</v>
      </c>
      <c r="BR342" s="43" t="s">
        <v>2090</v>
      </c>
      <c r="BS342" s="43" t="s">
        <v>2090</v>
      </c>
      <c r="BT342" s="43" t="s">
        <v>2090</v>
      </c>
      <c r="BU342" s="43" t="s">
        <v>2090</v>
      </c>
      <c r="BV342" s="43" t="s">
        <v>2091</v>
      </c>
      <c r="BW342" s="43" t="s">
        <v>2090</v>
      </c>
    </row>
    <row r="343" spans="1:75" ht="135.19999999999999" customHeight="1" x14ac:dyDescent="0.25">
      <c r="A343" s="38" t="s">
        <v>1470</v>
      </c>
      <c r="B343" s="38" t="s">
        <v>1919</v>
      </c>
      <c r="C343" s="39" t="s">
        <v>1471</v>
      </c>
      <c r="D343" s="40" t="s">
        <v>1472</v>
      </c>
      <c r="E343" s="41">
        <v>48165.714399999997</v>
      </c>
      <c r="F343" s="41">
        <v>2517003.2949999999</v>
      </c>
      <c r="G343" s="41">
        <v>365580.5</v>
      </c>
      <c r="H343" s="41">
        <v>396493.2</v>
      </c>
      <c r="I343" s="42">
        <v>0.89074363621288044</v>
      </c>
      <c r="J343" s="41">
        <v>1352.5197499999999</v>
      </c>
      <c r="K343" s="41">
        <v>235660.58624999999</v>
      </c>
      <c r="L343" s="41">
        <v>135688.4</v>
      </c>
      <c r="M343" s="41">
        <v>241191.9</v>
      </c>
      <c r="N343" s="42">
        <v>0.53984237508608157</v>
      </c>
      <c r="O343" s="41">
        <v>5043.7173499999999</v>
      </c>
      <c r="P343" s="41">
        <v>912244.18133000005</v>
      </c>
      <c r="Q343" s="41">
        <v>87590.1</v>
      </c>
      <c r="R343" s="41">
        <v>153292.5</v>
      </c>
      <c r="S343" s="42">
        <v>0.54077146823560518</v>
      </c>
      <c r="T343" s="41">
        <v>5323.19139</v>
      </c>
      <c r="U343" s="41">
        <v>697599.71426000004</v>
      </c>
      <c r="V343" s="41">
        <v>48987.9</v>
      </c>
      <c r="W343" s="41">
        <v>97760.3</v>
      </c>
      <c r="X343" s="42">
        <v>0.48275200981582544</v>
      </c>
      <c r="Y343" s="43">
        <v>2</v>
      </c>
      <c r="Z343" s="43" t="s">
        <v>2090</v>
      </c>
      <c r="AA343" s="43" t="s">
        <v>2090</v>
      </c>
      <c r="AB343" s="43" t="s">
        <v>2090</v>
      </c>
      <c r="AC343" s="43" t="s">
        <v>2090</v>
      </c>
      <c r="AD343" s="43">
        <v>0</v>
      </c>
      <c r="AE343" s="43">
        <v>0</v>
      </c>
      <c r="AF343" s="43">
        <v>0</v>
      </c>
      <c r="AG343" s="43">
        <v>0</v>
      </c>
      <c r="AH343" s="43">
        <v>0</v>
      </c>
      <c r="AI343" s="43">
        <v>1</v>
      </c>
      <c r="AJ343" s="43">
        <v>0</v>
      </c>
      <c r="AK343" s="43">
        <v>0</v>
      </c>
      <c r="AL343" s="43">
        <v>0</v>
      </c>
      <c r="AM343" s="43">
        <v>0</v>
      </c>
      <c r="AN343" s="43">
        <v>0</v>
      </c>
      <c r="AO343" s="43">
        <v>0</v>
      </c>
      <c r="AP343" s="43">
        <v>0</v>
      </c>
      <c r="AQ343" s="43">
        <v>0</v>
      </c>
      <c r="AR343" s="43">
        <v>1</v>
      </c>
      <c r="AS343" s="43">
        <v>0</v>
      </c>
      <c r="AT343" s="43">
        <v>0</v>
      </c>
      <c r="AU343" s="43">
        <v>0</v>
      </c>
      <c r="AV343" s="43">
        <v>0</v>
      </c>
      <c r="AW343" s="43">
        <v>0</v>
      </c>
      <c r="AX343" s="43">
        <v>0</v>
      </c>
      <c r="AY343" s="43">
        <v>0</v>
      </c>
      <c r="AZ343" s="43">
        <v>0</v>
      </c>
      <c r="BA343" s="43">
        <v>0</v>
      </c>
      <c r="BB343" s="43">
        <v>0</v>
      </c>
      <c r="BC343" s="43">
        <v>0</v>
      </c>
      <c r="BD343" s="43">
        <v>0</v>
      </c>
      <c r="BE343" s="43">
        <v>0</v>
      </c>
      <c r="BF343" s="43">
        <v>0</v>
      </c>
      <c r="BG343" s="43">
        <v>0</v>
      </c>
      <c r="BH343" s="43">
        <v>0</v>
      </c>
      <c r="BI343" s="43">
        <v>0</v>
      </c>
      <c r="BJ343" s="43" t="s">
        <v>2090</v>
      </c>
      <c r="BK343" s="43" t="s">
        <v>2090</v>
      </c>
      <c r="BL343" s="43" t="s">
        <v>2090</v>
      </c>
      <c r="BM343" s="43" t="s">
        <v>2090</v>
      </c>
      <c r="BN343" s="43" t="s">
        <v>2090</v>
      </c>
      <c r="BO343" s="43" t="s">
        <v>2090</v>
      </c>
      <c r="BP343" s="43" t="s">
        <v>2090</v>
      </c>
      <c r="BQ343" s="43" t="s">
        <v>2090</v>
      </c>
      <c r="BR343" s="43" t="s">
        <v>2090</v>
      </c>
      <c r="BS343" s="43" t="s">
        <v>2090</v>
      </c>
      <c r="BT343" s="43" t="s">
        <v>2090</v>
      </c>
      <c r="BU343" s="43" t="s">
        <v>2090</v>
      </c>
      <c r="BV343" s="43" t="s">
        <v>2090</v>
      </c>
      <c r="BW343" s="43" t="s">
        <v>2091</v>
      </c>
    </row>
    <row r="344" spans="1:75" ht="111.95" customHeight="1" x14ac:dyDescent="0.25">
      <c r="A344" s="38" t="s">
        <v>1473</v>
      </c>
      <c r="B344" s="38" t="s">
        <v>1920</v>
      </c>
      <c r="C344" s="39" t="s">
        <v>1474</v>
      </c>
      <c r="D344" s="40" t="s">
        <v>1475</v>
      </c>
      <c r="E344" s="41">
        <v>15480.243990000001</v>
      </c>
      <c r="F344" s="41">
        <v>1466827.8052699999</v>
      </c>
      <c r="G344" s="41">
        <v>100227.9</v>
      </c>
      <c r="H344" s="41">
        <v>169785.3</v>
      </c>
      <c r="I344" s="42">
        <v>0.55794311636374494</v>
      </c>
      <c r="J344" s="41">
        <v>0</v>
      </c>
      <c r="K344" s="41">
        <v>1099.1217799999999</v>
      </c>
      <c r="L344" s="41">
        <v>141934.6</v>
      </c>
      <c r="M344" s="41">
        <v>396092.4</v>
      </c>
      <c r="N344" s="42">
        <v>0.33521980100518201</v>
      </c>
      <c r="O344" s="41">
        <v>4085.0250099999998</v>
      </c>
      <c r="P344" s="41">
        <v>851333.17660999997</v>
      </c>
      <c r="Q344" s="41">
        <v>59813.8</v>
      </c>
      <c r="R344" s="41">
        <v>132638.9</v>
      </c>
      <c r="S344" s="42">
        <v>0.4309795658352526</v>
      </c>
      <c r="T344" s="41">
        <v>2963.6442699999998</v>
      </c>
      <c r="U344" s="41">
        <v>478311.04700999998</v>
      </c>
      <c r="V344" s="41">
        <v>103167.5</v>
      </c>
      <c r="W344" s="41">
        <v>294191.59999999998</v>
      </c>
      <c r="X344" s="42">
        <v>0.32653311378689015</v>
      </c>
      <c r="Y344" s="43">
        <v>3</v>
      </c>
      <c r="Z344" s="43" t="s">
        <v>2090</v>
      </c>
      <c r="AA344" s="43" t="s">
        <v>2091</v>
      </c>
      <c r="AB344" s="43" t="s">
        <v>2090</v>
      </c>
      <c r="AC344" s="43" t="s">
        <v>2090</v>
      </c>
      <c r="AD344" s="43">
        <v>0</v>
      </c>
      <c r="AE344" s="43">
        <v>0</v>
      </c>
      <c r="AF344" s="43">
        <v>0</v>
      </c>
      <c r="AG344" s="43">
        <v>0</v>
      </c>
      <c r="AH344" s="43">
        <v>0</v>
      </c>
      <c r="AI344" s="43">
        <v>0</v>
      </c>
      <c r="AJ344" s="43">
        <v>0</v>
      </c>
      <c r="AK344" s="43">
        <v>1</v>
      </c>
      <c r="AL344" s="43">
        <v>0</v>
      </c>
      <c r="AM344" s="43">
        <v>0</v>
      </c>
      <c r="AN344" s="43">
        <v>0</v>
      </c>
      <c r="AO344" s="43">
        <v>0</v>
      </c>
      <c r="AP344" s="43">
        <v>0</v>
      </c>
      <c r="AQ344" s="43">
        <v>0</v>
      </c>
      <c r="AR344" s="43">
        <v>0</v>
      </c>
      <c r="AS344" s="43">
        <v>0</v>
      </c>
      <c r="AT344" s="43">
        <v>0</v>
      </c>
      <c r="AU344" s="43">
        <v>0</v>
      </c>
      <c r="AV344" s="43">
        <v>0</v>
      </c>
      <c r="AW344" s="43">
        <v>0</v>
      </c>
      <c r="AX344" s="43">
        <v>0</v>
      </c>
      <c r="AY344" s="43">
        <v>0</v>
      </c>
      <c r="AZ344" s="43">
        <v>1</v>
      </c>
      <c r="BA344" s="43">
        <v>0</v>
      </c>
      <c r="BB344" s="43">
        <v>0</v>
      </c>
      <c r="BC344" s="43">
        <v>0</v>
      </c>
      <c r="BD344" s="43">
        <v>0</v>
      </c>
      <c r="BE344" s="43">
        <v>0</v>
      </c>
      <c r="BF344" s="43">
        <v>0</v>
      </c>
      <c r="BG344" s="43">
        <v>0</v>
      </c>
      <c r="BH344" s="43">
        <v>0</v>
      </c>
      <c r="BI344" s="43">
        <v>0</v>
      </c>
      <c r="BJ344" s="43" t="s">
        <v>2091</v>
      </c>
      <c r="BK344" s="43" t="s">
        <v>2090</v>
      </c>
      <c r="BL344" s="43" t="s">
        <v>2090</v>
      </c>
      <c r="BM344" s="43" t="s">
        <v>2090</v>
      </c>
      <c r="BN344" s="43" t="s">
        <v>2090</v>
      </c>
      <c r="BO344" s="43" t="s">
        <v>2090</v>
      </c>
      <c r="BP344" s="43" t="s">
        <v>2090</v>
      </c>
      <c r="BQ344" s="43" t="s">
        <v>2090</v>
      </c>
      <c r="BR344" s="43" t="s">
        <v>2091</v>
      </c>
      <c r="BS344" s="43" t="s">
        <v>2090</v>
      </c>
      <c r="BT344" s="43" t="s">
        <v>2091</v>
      </c>
      <c r="BU344" s="43" t="s">
        <v>2090</v>
      </c>
      <c r="BV344" s="43" t="s">
        <v>2090</v>
      </c>
      <c r="BW344" s="43" t="s">
        <v>2090</v>
      </c>
    </row>
    <row r="345" spans="1:75" ht="216.95" customHeight="1" x14ac:dyDescent="0.25">
      <c r="A345" s="38" t="s">
        <v>1476</v>
      </c>
      <c r="B345" s="38" t="s">
        <v>1921</v>
      </c>
      <c r="C345" s="45" t="s">
        <v>775</v>
      </c>
      <c r="D345" s="46" t="s">
        <v>1477</v>
      </c>
      <c r="E345" s="41">
        <v>53550.26973</v>
      </c>
      <c r="F345" s="41">
        <v>2645014.5100699998</v>
      </c>
      <c r="G345" s="41">
        <v>558596</v>
      </c>
      <c r="H345" s="41">
        <v>492418.7</v>
      </c>
      <c r="I345" s="42">
        <v>1.1135625151643458</v>
      </c>
      <c r="J345" s="41">
        <v>27585.450919999999</v>
      </c>
      <c r="K345" s="41">
        <v>1975877.5822000001</v>
      </c>
      <c r="L345" s="41">
        <v>227456.6</v>
      </c>
      <c r="M345" s="41">
        <v>280761</v>
      </c>
      <c r="N345" s="42">
        <v>0.77973255834068533</v>
      </c>
      <c r="O345" s="41">
        <v>83139.836559999996</v>
      </c>
      <c r="P345" s="41">
        <v>3147453.95768</v>
      </c>
      <c r="Q345" s="41">
        <v>485512.1</v>
      </c>
      <c r="R345" s="41">
        <v>347140.5</v>
      </c>
      <c r="S345" s="42">
        <v>1.3903642531610869</v>
      </c>
      <c r="T345" s="41">
        <v>45137.725160000002</v>
      </c>
      <c r="U345" s="41">
        <v>2398119.7769800001</v>
      </c>
      <c r="V345" s="41">
        <v>237714.5</v>
      </c>
      <c r="W345" s="41">
        <v>283752.90000000002</v>
      </c>
      <c r="X345" s="42">
        <v>0.77743354658875297</v>
      </c>
      <c r="Y345" s="43">
        <v>1</v>
      </c>
      <c r="Z345" s="43" t="s">
        <v>2090</v>
      </c>
      <c r="AA345" s="43" t="s">
        <v>2090</v>
      </c>
      <c r="AB345" s="43" t="s">
        <v>2090</v>
      </c>
      <c r="AC345" s="43" t="s">
        <v>2090</v>
      </c>
      <c r="AD345" s="43">
        <v>0</v>
      </c>
      <c r="AE345" s="43">
        <v>0</v>
      </c>
      <c r="AF345" s="43">
        <v>0</v>
      </c>
      <c r="AG345" s="43">
        <v>0</v>
      </c>
      <c r="AH345" s="43">
        <v>0</v>
      </c>
      <c r="AI345" s="43">
        <v>1</v>
      </c>
      <c r="AJ345" s="43">
        <v>0</v>
      </c>
      <c r="AK345" s="43">
        <v>0</v>
      </c>
      <c r="AL345" s="43">
        <v>0</v>
      </c>
      <c r="AM345" s="43">
        <v>0</v>
      </c>
      <c r="AN345" s="43">
        <v>0</v>
      </c>
      <c r="AO345" s="43">
        <v>0</v>
      </c>
      <c r="AP345" s="43">
        <v>0</v>
      </c>
      <c r="AQ345" s="43">
        <v>0</v>
      </c>
      <c r="AR345" s="43">
        <v>0</v>
      </c>
      <c r="AS345" s="43">
        <v>0</v>
      </c>
      <c r="AT345" s="43">
        <v>0</v>
      </c>
      <c r="AU345" s="43">
        <v>0</v>
      </c>
      <c r="AV345" s="43">
        <v>0</v>
      </c>
      <c r="AW345" s="43">
        <v>0</v>
      </c>
      <c r="AX345" s="43">
        <v>0</v>
      </c>
      <c r="AY345" s="43">
        <v>0</v>
      </c>
      <c r="AZ345" s="43">
        <v>0</v>
      </c>
      <c r="BA345" s="43">
        <v>0</v>
      </c>
      <c r="BB345" s="43">
        <v>0</v>
      </c>
      <c r="BC345" s="43">
        <v>0</v>
      </c>
      <c r="BD345" s="43">
        <v>0</v>
      </c>
      <c r="BE345" s="43">
        <v>0</v>
      </c>
      <c r="BF345" s="43">
        <v>0</v>
      </c>
      <c r="BG345" s="43">
        <v>0</v>
      </c>
      <c r="BH345" s="43">
        <v>0</v>
      </c>
      <c r="BI345" s="43">
        <v>0</v>
      </c>
      <c r="BJ345" s="43" t="s">
        <v>2090</v>
      </c>
      <c r="BK345" s="43" t="s">
        <v>2090</v>
      </c>
      <c r="BL345" s="43" t="s">
        <v>2090</v>
      </c>
      <c r="BM345" s="43" t="s">
        <v>2090</v>
      </c>
      <c r="BN345" s="43" t="s">
        <v>2090</v>
      </c>
      <c r="BO345" s="43" t="s">
        <v>2090</v>
      </c>
      <c r="BP345" s="43" t="s">
        <v>2090</v>
      </c>
      <c r="BQ345" s="43" t="s">
        <v>2090</v>
      </c>
      <c r="BR345" s="43" t="s">
        <v>2090</v>
      </c>
      <c r="BS345" s="43" t="s">
        <v>2090</v>
      </c>
      <c r="BT345" s="43" t="s">
        <v>2090</v>
      </c>
      <c r="BU345" s="43" t="s">
        <v>2090</v>
      </c>
      <c r="BV345" s="43" t="s">
        <v>2091</v>
      </c>
      <c r="BW345" s="43" t="s">
        <v>2090</v>
      </c>
    </row>
    <row r="346" spans="1:75" ht="195.2" customHeight="1" x14ac:dyDescent="0.25">
      <c r="A346" s="38" t="s">
        <v>1478</v>
      </c>
      <c r="B346" s="38" t="s">
        <v>1922</v>
      </c>
      <c r="C346" s="39" t="s">
        <v>1479</v>
      </c>
      <c r="D346" s="40" t="s">
        <v>1480</v>
      </c>
      <c r="E346" s="41">
        <v>55882.417439999997</v>
      </c>
      <c r="F346" s="41">
        <v>2714438.50997</v>
      </c>
      <c r="G346" s="41">
        <v>449593.9</v>
      </c>
      <c r="H346" s="41">
        <v>394697.8</v>
      </c>
      <c r="I346" s="42">
        <v>1.1147664135533324</v>
      </c>
      <c r="J346" s="41">
        <v>19997.90509</v>
      </c>
      <c r="K346" s="41">
        <v>1657100.5715099999</v>
      </c>
      <c r="L346" s="41">
        <v>196931.4</v>
      </c>
      <c r="M346" s="41">
        <v>255731.7</v>
      </c>
      <c r="N346" s="42">
        <v>0.73112025255907387</v>
      </c>
      <c r="O346" s="41">
        <v>4573.3224200000004</v>
      </c>
      <c r="P346" s="41">
        <v>780690.26872000005</v>
      </c>
      <c r="Q346" s="41">
        <v>170342</v>
      </c>
      <c r="R346" s="41">
        <v>302919.8</v>
      </c>
      <c r="S346" s="42">
        <v>0.53696279798729696</v>
      </c>
      <c r="T346" s="41">
        <v>47963.721559999998</v>
      </c>
      <c r="U346" s="41">
        <v>2485440.8559500002</v>
      </c>
      <c r="V346" s="41">
        <v>193904.7</v>
      </c>
      <c r="W346" s="41">
        <v>219300.2</v>
      </c>
      <c r="X346" s="42">
        <v>0.82316958819181685</v>
      </c>
      <c r="Y346" s="43">
        <v>1</v>
      </c>
      <c r="Z346" s="43" t="s">
        <v>2090</v>
      </c>
      <c r="AA346" s="43" t="s">
        <v>2090</v>
      </c>
      <c r="AB346" s="43" t="s">
        <v>2090</v>
      </c>
      <c r="AC346" s="43" t="s">
        <v>2091</v>
      </c>
      <c r="AD346" s="43">
        <v>0</v>
      </c>
      <c r="AE346" s="43">
        <v>0</v>
      </c>
      <c r="AF346" s="43">
        <v>0</v>
      </c>
      <c r="AG346" s="43">
        <v>0</v>
      </c>
      <c r="AH346" s="43">
        <v>0</v>
      </c>
      <c r="AI346" s="43">
        <v>0</v>
      </c>
      <c r="AJ346" s="43">
        <v>0</v>
      </c>
      <c r="AK346" s="43">
        <v>0</v>
      </c>
      <c r="AL346" s="43">
        <v>0</v>
      </c>
      <c r="AM346" s="43">
        <v>0</v>
      </c>
      <c r="AN346" s="43">
        <v>0</v>
      </c>
      <c r="AO346" s="43">
        <v>0</v>
      </c>
      <c r="AP346" s="43">
        <v>0</v>
      </c>
      <c r="AQ346" s="43">
        <v>0</v>
      </c>
      <c r="AR346" s="43">
        <v>0</v>
      </c>
      <c r="AS346" s="43">
        <v>0</v>
      </c>
      <c r="AT346" s="43">
        <v>0</v>
      </c>
      <c r="AU346" s="43">
        <v>0</v>
      </c>
      <c r="AV346" s="43">
        <v>0</v>
      </c>
      <c r="AW346" s="43">
        <v>0</v>
      </c>
      <c r="AX346" s="43">
        <v>0</v>
      </c>
      <c r="AY346" s="43">
        <v>0</v>
      </c>
      <c r="AZ346" s="43">
        <v>0</v>
      </c>
      <c r="BA346" s="43">
        <v>0</v>
      </c>
      <c r="BB346" s="43">
        <v>0</v>
      </c>
      <c r="BC346" s="43">
        <v>0</v>
      </c>
      <c r="BD346" s="43">
        <v>0</v>
      </c>
      <c r="BE346" s="43">
        <v>0</v>
      </c>
      <c r="BF346" s="43">
        <v>0</v>
      </c>
      <c r="BG346" s="43">
        <v>0</v>
      </c>
      <c r="BH346" s="43">
        <v>0</v>
      </c>
      <c r="BI346" s="43">
        <v>0</v>
      </c>
      <c r="BJ346" s="43" t="s">
        <v>2090</v>
      </c>
      <c r="BK346" s="43" t="s">
        <v>2090</v>
      </c>
      <c r="BL346" s="43" t="s">
        <v>2090</v>
      </c>
      <c r="BM346" s="43" t="s">
        <v>2090</v>
      </c>
      <c r="BN346" s="43" t="s">
        <v>2090</v>
      </c>
      <c r="BO346" s="43" t="s">
        <v>2090</v>
      </c>
      <c r="BP346" s="43" t="s">
        <v>2090</v>
      </c>
      <c r="BQ346" s="43" t="s">
        <v>2090</v>
      </c>
      <c r="BR346" s="43" t="s">
        <v>2090</v>
      </c>
      <c r="BS346" s="43" t="s">
        <v>2090</v>
      </c>
      <c r="BT346" s="43" t="s">
        <v>2090</v>
      </c>
      <c r="BU346" s="43" t="s">
        <v>2090</v>
      </c>
      <c r="BV346" s="43" t="s">
        <v>2090</v>
      </c>
      <c r="BW346" s="43" t="s">
        <v>2090</v>
      </c>
    </row>
    <row r="347" spans="1:75" ht="173.45" customHeight="1" x14ac:dyDescent="0.25">
      <c r="A347" s="38" t="s">
        <v>1481</v>
      </c>
      <c r="B347" s="38" t="s">
        <v>1923</v>
      </c>
      <c r="C347" s="39" t="s">
        <v>1482</v>
      </c>
      <c r="D347" s="40" t="s">
        <v>1483</v>
      </c>
      <c r="E347" s="41">
        <v>51344.878190000003</v>
      </c>
      <c r="F347" s="41">
        <v>2656683.73728</v>
      </c>
      <c r="G347" s="41">
        <v>317406.8</v>
      </c>
      <c r="H347" s="41">
        <v>271489.3</v>
      </c>
      <c r="I347" s="42">
        <v>1.1425071084414455</v>
      </c>
      <c r="J347" s="41">
        <v>3268.1066599999999</v>
      </c>
      <c r="K347" s="41">
        <v>534362.51895000006</v>
      </c>
      <c r="L347" s="41">
        <v>124180</v>
      </c>
      <c r="M347" s="41">
        <v>214704.8</v>
      </c>
      <c r="N347" s="42">
        <v>0.55413082291835747</v>
      </c>
      <c r="O347" s="41">
        <v>67354.210949999993</v>
      </c>
      <c r="P347" s="41">
        <v>2987740.2953900001</v>
      </c>
      <c r="Q347" s="41">
        <v>123242.5</v>
      </c>
      <c r="R347" s="41">
        <v>110479.6</v>
      </c>
      <c r="S347" s="42">
        <v>1.0907012372043361</v>
      </c>
      <c r="T347" s="41">
        <v>4379.73621</v>
      </c>
      <c r="U347" s="41">
        <v>682861.23661000002</v>
      </c>
      <c r="V347" s="41">
        <v>164735</v>
      </c>
      <c r="W347" s="41">
        <v>507582.6</v>
      </c>
      <c r="X347" s="42">
        <v>0.29413718804645217</v>
      </c>
      <c r="Y347" s="43">
        <v>3</v>
      </c>
      <c r="Z347" s="43" t="s">
        <v>2090</v>
      </c>
      <c r="AA347" s="43" t="s">
        <v>2090</v>
      </c>
      <c r="AB347" s="43" t="s">
        <v>2090</v>
      </c>
      <c r="AC347" s="43" t="s">
        <v>2090</v>
      </c>
      <c r="AD347" s="43">
        <v>0</v>
      </c>
      <c r="AE347" s="43">
        <v>0</v>
      </c>
      <c r="AF347" s="43">
        <v>0</v>
      </c>
      <c r="AG347" s="43">
        <v>0</v>
      </c>
      <c r="AH347" s="43">
        <v>0</v>
      </c>
      <c r="AI347" s="43">
        <v>0</v>
      </c>
      <c r="AJ347" s="43">
        <v>0</v>
      </c>
      <c r="AK347" s="43">
        <v>0</v>
      </c>
      <c r="AL347" s="43">
        <v>0</v>
      </c>
      <c r="AM347" s="43">
        <v>0</v>
      </c>
      <c r="AN347" s="43">
        <v>0</v>
      </c>
      <c r="AO347" s="43">
        <v>0</v>
      </c>
      <c r="AP347" s="43">
        <v>0</v>
      </c>
      <c r="AQ347" s="43">
        <v>0</v>
      </c>
      <c r="AR347" s="43">
        <v>0</v>
      </c>
      <c r="AS347" s="43">
        <v>0</v>
      </c>
      <c r="AT347" s="43">
        <v>0</v>
      </c>
      <c r="AU347" s="43">
        <v>0</v>
      </c>
      <c r="AV347" s="43">
        <v>0</v>
      </c>
      <c r="AW347" s="43">
        <v>0</v>
      </c>
      <c r="AX347" s="43">
        <v>0</v>
      </c>
      <c r="AY347" s="43">
        <v>0</v>
      </c>
      <c r="AZ347" s="43">
        <v>0</v>
      </c>
      <c r="BA347" s="43">
        <v>0</v>
      </c>
      <c r="BB347" s="43">
        <v>0</v>
      </c>
      <c r="BC347" s="43">
        <v>0</v>
      </c>
      <c r="BD347" s="43">
        <v>0</v>
      </c>
      <c r="BE347" s="43">
        <v>0</v>
      </c>
      <c r="BF347" s="43">
        <v>0</v>
      </c>
      <c r="BG347" s="43">
        <v>0</v>
      </c>
      <c r="BH347" s="43">
        <v>0</v>
      </c>
      <c r="BI347" s="43">
        <v>1</v>
      </c>
      <c r="BJ347" s="43" t="s">
        <v>2090</v>
      </c>
      <c r="BK347" s="43" t="s">
        <v>2090</v>
      </c>
      <c r="BL347" s="43" t="s">
        <v>2090</v>
      </c>
      <c r="BM347" s="43" t="s">
        <v>2090</v>
      </c>
      <c r="BN347" s="43" t="s">
        <v>2090</v>
      </c>
      <c r="BO347" s="43" t="s">
        <v>2090</v>
      </c>
      <c r="BP347" s="43" t="s">
        <v>2090</v>
      </c>
      <c r="BQ347" s="43" t="s">
        <v>2090</v>
      </c>
      <c r="BR347" s="43" t="s">
        <v>2090</v>
      </c>
      <c r="BS347" s="43" t="s">
        <v>2090</v>
      </c>
      <c r="BT347" s="43" t="s">
        <v>2090</v>
      </c>
      <c r="BU347" s="43" t="s">
        <v>2090</v>
      </c>
      <c r="BV347" s="43" t="s">
        <v>2090</v>
      </c>
      <c r="BW347" s="43" t="s">
        <v>2090</v>
      </c>
    </row>
    <row r="348" spans="1:75" ht="101.45" customHeight="1" x14ac:dyDescent="0.25">
      <c r="A348" s="38" t="s">
        <v>1484</v>
      </c>
      <c r="B348" s="38" t="s">
        <v>1924</v>
      </c>
      <c r="C348" s="39" t="s">
        <v>1485</v>
      </c>
      <c r="D348" s="40" t="s">
        <v>1486</v>
      </c>
      <c r="E348" s="41">
        <v>62433.245819999996</v>
      </c>
      <c r="F348" s="41">
        <v>2827696.4997800002</v>
      </c>
      <c r="G348" s="41">
        <v>490479.5</v>
      </c>
      <c r="H348" s="41">
        <v>400798.5</v>
      </c>
      <c r="I348" s="42">
        <v>1.2077865644319252</v>
      </c>
      <c r="J348" s="41">
        <v>22686.601549999999</v>
      </c>
      <c r="K348" s="41">
        <v>1751814.14704</v>
      </c>
      <c r="L348" s="41">
        <v>183197</v>
      </c>
      <c r="M348" s="41">
        <v>226952.4</v>
      </c>
      <c r="N348" s="42">
        <v>0.77378826952324276</v>
      </c>
      <c r="O348" s="41">
        <v>49726.559670000002</v>
      </c>
      <c r="P348" s="41">
        <v>2703237.0836399999</v>
      </c>
      <c r="Q348" s="41">
        <v>431108.7</v>
      </c>
      <c r="R348" s="41">
        <v>339362.3</v>
      </c>
      <c r="S348" s="42">
        <v>1.2275872910392038</v>
      </c>
      <c r="T348" s="41">
        <v>66948.403510000004</v>
      </c>
      <c r="U348" s="41">
        <v>2932527.6870400002</v>
      </c>
      <c r="V348" s="41">
        <v>232000.9</v>
      </c>
      <c r="W348" s="41">
        <v>188787.20000000001</v>
      </c>
      <c r="X348" s="42">
        <v>1.1595346072845203</v>
      </c>
      <c r="Y348" s="43">
        <v>2</v>
      </c>
      <c r="Z348" s="43" t="s">
        <v>2090</v>
      </c>
      <c r="AA348" s="43" t="s">
        <v>2090</v>
      </c>
      <c r="AB348" s="43" t="s">
        <v>2090</v>
      </c>
      <c r="AC348" s="43" t="s">
        <v>2090</v>
      </c>
      <c r="AD348" s="43">
        <v>0</v>
      </c>
      <c r="AE348" s="43">
        <v>0</v>
      </c>
      <c r="AF348" s="43">
        <v>0</v>
      </c>
      <c r="AG348" s="43">
        <v>1</v>
      </c>
      <c r="AH348" s="43">
        <v>0</v>
      </c>
      <c r="AI348" s="43">
        <v>0</v>
      </c>
      <c r="AJ348" s="43">
        <v>0</v>
      </c>
      <c r="AK348" s="43">
        <v>0</v>
      </c>
      <c r="AL348" s="43">
        <v>0</v>
      </c>
      <c r="AM348" s="43">
        <v>0</v>
      </c>
      <c r="AN348" s="43">
        <v>0</v>
      </c>
      <c r="AO348" s="43">
        <v>0</v>
      </c>
      <c r="AP348" s="43">
        <v>0</v>
      </c>
      <c r="AQ348" s="43">
        <v>0</v>
      </c>
      <c r="AR348" s="43">
        <v>1</v>
      </c>
      <c r="AS348" s="43">
        <v>0</v>
      </c>
      <c r="AT348" s="43">
        <v>0</v>
      </c>
      <c r="AU348" s="43">
        <v>0</v>
      </c>
      <c r="AV348" s="43">
        <v>0</v>
      </c>
      <c r="AW348" s="43">
        <v>0</v>
      </c>
      <c r="AX348" s="43">
        <v>0</v>
      </c>
      <c r="AY348" s="43">
        <v>0</v>
      </c>
      <c r="AZ348" s="43">
        <v>0</v>
      </c>
      <c r="BA348" s="43">
        <v>0</v>
      </c>
      <c r="BB348" s="43">
        <v>0</v>
      </c>
      <c r="BC348" s="43">
        <v>0</v>
      </c>
      <c r="BD348" s="43">
        <v>0</v>
      </c>
      <c r="BE348" s="43">
        <v>0</v>
      </c>
      <c r="BF348" s="43">
        <v>0</v>
      </c>
      <c r="BG348" s="43">
        <v>0</v>
      </c>
      <c r="BH348" s="43">
        <v>0</v>
      </c>
      <c r="BI348" s="43">
        <v>0</v>
      </c>
      <c r="BJ348" s="43" t="s">
        <v>2090</v>
      </c>
      <c r="BK348" s="43" t="s">
        <v>2090</v>
      </c>
      <c r="BL348" s="43" t="s">
        <v>2090</v>
      </c>
      <c r="BM348" s="43" t="s">
        <v>2090</v>
      </c>
      <c r="BN348" s="43" t="s">
        <v>2090</v>
      </c>
      <c r="BO348" s="43" t="s">
        <v>2090</v>
      </c>
      <c r="BP348" s="43" t="s">
        <v>2090</v>
      </c>
      <c r="BQ348" s="43" t="s">
        <v>2090</v>
      </c>
      <c r="BR348" s="43" t="s">
        <v>2090</v>
      </c>
      <c r="BS348" s="43" t="s">
        <v>2090</v>
      </c>
      <c r="BT348" s="43" t="s">
        <v>2090</v>
      </c>
      <c r="BU348" s="43" t="s">
        <v>2090</v>
      </c>
      <c r="BV348" s="43" t="s">
        <v>2090</v>
      </c>
      <c r="BW348" s="43" t="s">
        <v>2090</v>
      </c>
    </row>
    <row r="349" spans="1:75" ht="113.45" customHeight="1" x14ac:dyDescent="0.25">
      <c r="A349" s="38" t="s">
        <v>1487</v>
      </c>
      <c r="B349" s="38" t="s">
        <v>1925</v>
      </c>
      <c r="C349" s="39" t="s">
        <v>1488</v>
      </c>
      <c r="D349" s="40" t="s">
        <v>1489</v>
      </c>
      <c r="E349" s="41">
        <v>53301.559289999997</v>
      </c>
      <c r="F349" s="41">
        <v>2673673.3912499999</v>
      </c>
      <c r="G349" s="41">
        <v>324404.2</v>
      </c>
      <c r="H349" s="41">
        <v>266251.09999999998</v>
      </c>
      <c r="I349" s="42">
        <v>1.1698449244000684</v>
      </c>
      <c r="J349" s="41">
        <v>24506.301780000002</v>
      </c>
      <c r="K349" s="41">
        <v>1831000.5974099999</v>
      </c>
      <c r="L349" s="41">
        <v>186892</v>
      </c>
      <c r="M349" s="41">
        <v>230717.4</v>
      </c>
      <c r="N349" s="42">
        <v>0.76434480059614762</v>
      </c>
      <c r="O349" s="41">
        <v>75443.455239999996</v>
      </c>
      <c r="P349" s="41">
        <v>3083372.2518199999</v>
      </c>
      <c r="Q349" s="41">
        <v>181224.6</v>
      </c>
      <c r="R349" s="41">
        <v>150058.20000000001</v>
      </c>
      <c r="S349" s="42">
        <v>1.1787557280270817</v>
      </c>
      <c r="T349" s="41">
        <v>68205.466119999997</v>
      </c>
      <c r="U349" s="41">
        <v>2830191.6453499999</v>
      </c>
      <c r="V349" s="41">
        <v>155479.1</v>
      </c>
      <c r="W349" s="41">
        <v>129735.6</v>
      </c>
      <c r="X349" s="42">
        <v>1.0924932129553633</v>
      </c>
      <c r="Y349" s="43">
        <v>2</v>
      </c>
      <c r="Z349" s="43" t="s">
        <v>2090</v>
      </c>
      <c r="AA349" s="43" t="s">
        <v>2090</v>
      </c>
      <c r="AB349" s="43" t="s">
        <v>2090</v>
      </c>
      <c r="AC349" s="43" t="s">
        <v>2090</v>
      </c>
      <c r="AD349" s="43">
        <v>0</v>
      </c>
      <c r="AE349" s="43">
        <v>0</v>
      </c>
      <c r="AF349" s="43">
        <v>0</v>
      </c>
      <c r="AG349" s="43">
        <v>1</v>
      </c>
      <c r="AH349" s="43">
        <v>0</v>
      </c>
      <c r="AI349" s="43">
        <v>0</v>
      </c>
      <c r="AJ349" s="43">
        <v>0</v>
      </c>
      <c r="AK349" s="43">
        <v>0</v>
      </c>
      <c r="AL349" s="43">
        <v>0</v>
      </c>
      <c r="AM349" s="43">
        <v>0</v>
      </c>
      <c r="AN349" s="43">
        <v>1</v>
      </c>
      <c r="AO349" s="43">
        <v>0</v>
      </c>
      <c r="AP349" s="43">
        <v>0</v>
      </c>
      <c r="AQ349" s="43">
        <v>0</v>
      </c>
      <c r="AR349" s="43">
        <v>0</v>
      </c>
      <c r="AS349" s="43">
        <v>0</v>
      </c>
      <c r="AT349" s="43">
        <v>0</v>
      </c>
      <c r="AU349" s="43">
        <v>0</v>
      </c>
      <c r="AV349" s="43">
        <v>0</v>
      </c>
      <c r="AW349" s="43">
        <v>0</v>
      </c>
      <c r="AX349" s="43">
        <v>0</v>
      </c>
      <c r="AY349" s="43">
        <v>0</v>
      </c>
      <c r="AZ349" s="43">
        <v>0</v>
      </c>
      <c r="BA349" s="43">
        <v>0</v>
      </c>
      <c r="BB349" s="43">
        <v>0</v>
      </c>
      <c r="BC349" s="43">
        <v>0</v>
      </c>
      <c r="BD349" s="43">
        <v>0</v>
      </c>
      <c r="BE349" s="43">
        <v>0</v>
      </c>
      <c r="BF349" s="43">
        <v>0</v>
      </c>
      <c r="BG349" s="43">
        <v>0</v>
      </c>
      <c r="BH349" s="43">
        <v>0</v>
      </c>
      <c r="BI349" s="43">
        <v>0</v>
      </c>
      <c r="BJ349" s="43" t="s">
        <v>2090</v>
      </c>
      <c r="BK349" s="43" t="s">
        <v>2090</v>
      </c>
      <c r="BL349" s="43" t="s">
        <v>2090</v>
      </c>
      <c r="BM349" s="43" t="s">
        <v>2090</v>
      </c>
      <c r="BN349" s="43" t="s">
        <v>2090</v>
      </c>
      <c r="BO349" s="43" t="s">
        <v>2090</v>
      </c>
      <c r="BP349" s="43" t="s">
        <v>2090</v>
      </c>
      <c r="BQ349" s="43" t="s">
        <v>2090</v>
      </c>
      <c r="BR349" s="43" t="s">
        <v>2090</v>
      </c>
      <c r="BS349" s="43" t="s">
        <v>2090</v>
      </c>
      <c r="BT349" s="43" t="s">
        <v>2090</v>
      </c>
      <c r="BU349" s="43" t="s">
        <v>2090</v>
      </c>
      <c r="BV349" s="43" t="s">
        <v>2090</v>
      </c>
      <c r="BW349" s="43" t="s">
        <v>2090</v>
      </c>
    </row>
    <row r="350" spans="1:75" ht="132.94999999999999" customHeight="1" x14ac:dyDescent="0.25">
      <c r="A350" s="38" t="s">
        <v>1490</v>
      </c>
      <c r="B350" s="38" t="s">
        <v>1926</v>
      </c>
      <c r="C350" s="39" t="s">
        <v>1491</v>
      </c>
      <c r="D350" s="40" t="s">
        <v>1492</v>
      </c>
      <c r="E350" s="41">
        <v>69448.384919999997</v>
      </c>
      <c r="F350" s="41">
        <v>2904394.56794</v>
      </c>
      <c r="G350" s="41">
        <v>281787.8</v>
      </c>
      <c r="H350" s="41">
        <v>207040.4</v>
      </c>
      <c r="I350" s="42">
        <v>1.2330495775210712</v>
      </c>
      <c r="J350" s="41">
        <v>0</v>
      </c>
      <c r="K350" s="41">
        <v>20671.901549999999</v>
      </c>
      <c r="L350" s="41">
        <v>247107.20000000001</v>
      </c>
      <c r="M350" s="41">
        <v>335431</v>
      </c>
      <c r="N350" s="42">
        <v>0.69269683333799159</v>
      </c>
      <c r="O350" s="41">
        <v>22771.581279999999</v>
      </c>
      <c r="P350" s="41">
        <v>2116179.8946000002</v>
      </c>
      <c r="Q350" s="41">
        <v>118550.5</v>
      </c>
      <c r="R350" s="41">
        <v>142534.5</v>
      </c>
      <c r="S350" s="42">
        <v>0.79946909500035157</v>
      </c>
      <c r="T350" s="41">
        <v>22058.154989999999</v>
      </c>
      <c r="U350" s="41">
        <v>1617029.8593599999</v>
      </c>
      <c r="V350" s="41">
        <v>70230.7</v>
      </c>
      <c r="W350" s="41">
        <v>138720.79999999999</v>
      </c>
      <c r="X350" s="42">
        <v>0.47904859492741136</v>
      </c>
      <c r="Y350" s="43">
        <v>2</v>
      </c>
      <c r="Z350" s="43" t="s">
        <v>2090</v>
      </c>
      <c r="AA350" s="43" t="s">
        <v>2090</v>
      </c>
      <c r="AB350" s="43" t="s">
        <v>2090</v>
      </c>
      <c r="AC350" s="43" t="s">
        <v>2090</v>
      </c>
      <c r="AD350" s="43">
        <v>0</v>
      </c>
      <c r="AE350" s="43">
        <v>0</v>
      </c>
      <c r="AF350" s="43">
        <v>0</v>
      </c>
      <c r="AG350" s="43">
        <v>0</v>
      </c>
      <c r="AH350" s="43">
        <v>0</v>
      </c>
      <c r="AI350" s="43">
        <v>0</v>
      </c>
      <c r="AJ350" s="43">
        <v>0</v>
      </c>
      <c r="AK350" s="43">
        <v>0</v>
      </c>
      <c r="AL350" s="43">
        <v>0</v>
      </c>
      <c r="AM350" s="43">
        <v>0</v>
      </c>
      <c r="AN350" s="43">
        <v>0</v>
      </c>
      <c r="AO350" s="43">
        <v>0</v>
      </c>
      <c r="AP350" s="43">
        <v>0</v>
      </c>
      <c r="AQ350" s="43">
        <v>0</v>
      </c>
      <c r="AR350" s="43">
        <v>2</v>
      </c>
      <c r="AS350" s="43">
        <v>0</v>
      </c>
      <c r="AT350" s="43">
        <v>0</v>
      </c>
      <c r="AU350" s="43">
        <v>0</v>
      </c>
      <c r="AV350" s="43">
        <v>0</v>
      </c>
      <c r="AW350" s="43">
        <v>0</v>
      </c>
      <c r="AX350" s="43">
        <v>0</v>
      </c>
      <c r="AY350" s="43">
        <v>0</v>
      </c>
      <c r="AZ350" s="43">
        <v>0</v>
      </c>
      <c r="BA350" s="43">
        <v>0</v>
      </c>
      <c r="BB350" s="43">
        <v>0</v>
      </c>
      <c r="BC350" s="43">
        <v>0</v>
      </c>
      <c r="BD350" s="43">
        <v>0</v>
      </c>
      <c r="BE350" s="43">
        <v>0</v>
      </c>
      <c r="BF350" s="43">
        <v>0</v>
      </c>
      <c r="BG350" s="43">
        <v>0</v>
      </c>
      <c r="BH350" s="43">
        <v>0</v>
      </c>
      <c r="BI350" s="43">
        <v>0</v>
      </c>
      <c r="BJ350" s="43" t="s">
        <v>2090</v>
      </c>
      <c r="BK350" s="43" t="s">
        <v>2090</v>
      </c>
      <c r="BL350" s="43" t="s">
        <v>2090</v>
      </c>
      <c r="BM350" s="43" t="s">
        <v>2090</v>
      </c>
      <c r="BN350" s="43" t="s">
        <v>2090</v>
      </c>
      <c r="BO350" s="43" t="s">
        <v>2090</v>
      </c>
      <c r="BP350" s="43" t="s">
        <v>2090</v>
      </c>
      <c r="BQ350" s="43" t="s">
        <v>2090</v>
      </c>
      <c r="BR350" s="43" t="s">
        <v>2090</v>
      </c>
      <c r="BS350" s="43" t="s">
        <v>2090</v>
      </c>
      <c r="BT350" s="43" t="s">
        <v>2090</v>
      </c>
      <c r="BU350" s="43" t="s">
        <v>2090</v>
      </c>
      <c r="BV350" s="43" t="s">
        <v>2090</v>
      </c>
      <c r="BW350" s="43" t="s">
        <v>2090</v>
      </c>
    </row>
    <row r="351" spans="1:75" ht="136.69999999999999" customHeight="1" x14ac:dyDescent="0.25">
      <c r="A351" s="38" t="s">
        <v>1493</v>
      </c>
      <c r="B351" s="38" t="s">
        <v>1927</v>
      </c>
      <c r="C351" s="39" t="s">
        <v>1494</v>
      </c>
      <c r="D351" s="40" t="s">
        <v>1495</v>
      </c>
      <c r="E351" s="41">
        <v>55056.128069999999</v>
      </c>
      <c r="F351" s="41">
        <v>2744447.5477</v>
      </c>
      <c r="G351" s="41">
        <v>447652.9</v>
      </c>
      <c r="H351" s="41">
        <v>379760.5</v>
      </c>
      <c r="I351" s="42">
        <v>1.1531429624522191</v>
      </c>
      <c r="J351" s="41">
        <v>25271.48691</v>
      </c>
      <c r="K351" s="41">
        <v>1882586.73829</v>
      </c>
      <c r="L351" s="41">
        <v>250608.9</v>
      </c>
      <c r="M351" s="41">
        <v>326058.59999999998</v>
      </c>
      <c r="N351" s="42">
        <v>0.72878077726200663</v>
      </c>
      <c r="O351" s="41">
        <v>74086.556039999996</v>
      </c>
      <c r="P351" s="41">
        <v>3119049.3021</v>
      </c>
      <c r="Q351" s="41">
        <v>352729.3</v>
      </c>
      <c r="R351" s="41">
        <v>245805.2</v>
      </c>
      <c r="S351" s="42">
        <v>1.4057551293978774</v>
      </c>
      <c r="T351" s="41">
        <v>69181.050589999999</v>
      </c>
      <c r="U351" s="41">
        <v>2898543.3881199998</v>
      </c>
      <c r="V351" s="41">
        <v>256281.9</v>
      </c>
      <c r="W351" s="41">
        <v>210554.6</v>
      </c>
      <c r="X351" s="42">
        <v>1.0829367849473253</v>
      </c>
      <c r="Y351" s="43">
        <v>1</v>
      </c>
      <c r="Z351" s="43" t="s">
        <v>2090</v>
      </c>
      <c r="AA351" s="43" t="s">
        <v>2090</v>
      </c>
      <c r="AB351" s="43" t="s">
        <v>2090</v>
      </c>
      <c r="AC351" s="43" t="s">
        <v>2090</v>
      </c>
      <c r="AD351" s="43">
        <v>0</v>
      </c>
      <c r="AE351" s="43">
        <v>0</v>
      </c>
      <c r="AF351" s="43">
        <v>0</v>
      </c>
      <c r="AG351" s="43">
        <v>0</v>
      </c>
      <c r="AH351" s="43">
        <v>0</v>
      </c>
      <c r="AI351" s="43">
        <v>0</v>
      </c>
      <c r="AJ351" s="43">
        <v>0</v>
      </c>
      <c r="AK351" s="43">
        <v>0</v>
      </c>
      <c r="AL351" s="43">
        <v>0</v>
      </c>
      <c r="AM351" s="43">
        <v>0</v>
      </c>
      <c r="AN351" s="43">
        <v>1</v>
      </c>
      <c r="AO351" s="43">
        <v>0</v>
      </c>
      <c r="AP351" s="43">
        <v>0</v>
      </c>
      <c r="AQ351" s="43">
        <v>0</v>
      </c>
      <c r="AR351" s="43">
        <v>0</v>
      </c>
      <c r="AS351" s="43">
        <v>0</v>
      </c>
      <c r="AT351" s="43">
        <v>0</v>
      </c>
      <c r="AU351" s="43">
        <v>0</v>
      </c>
      <c r="AV351" s="43">
        <v>0</v>
      </c>
      <c r="AW351" s="43">
        <v>0</v>
      </c>
      <c r="AX351" s="43">
        <v>0</v>
      </c>
      <c r="AY351" s="43">
        <v>0</v>
      </c>
      <c r="AZ351" s="43">
        <v>0</v>
      </c>
      <c r="BA351" s="43">
        <v>0</v>
      </c>
      <c r="BB351" s="43">
        <v>0</v>
      </c>
      <c r="BC351" s="43">
        <v>0</v>
      </c>
      <c r="BD351" s="43">
        <v>0</v>
      </c>
      <c r="BE351" s="43">
        <v>0</v>
      </c>
      <c r="BF351" s="43">
        <v>0</v>
      </c>
      <c r="BG351" s="43">
        <v>0</v>
      </c>
      <c r="BH351" s="43">
        <v>0</v>
      </c>
      <c r="BI351" s="43">
        <v>0</v>
      </c>
      <c r="BJ351" s="43" t="s">
        <v>2090</v>
      </c>
      <c r="BK351" s="43" t="s">
        <v>2090</v>
      </c>
      <c r="BL351" s="43" t="s">
        <v>2090</v>
      </c>
      <c r="BM351" s="43" t="s">
        <v>2090</v>
      </c>
      <c r="BN351" s="43" t="s">
        <v>2090</v>
      </c>
      <c r="BO351" s="43" t="s">
        <v>2090</v>
      </c>
      <c r="BP351" s="43" t="s">
        <v>2090</v>
      </c>
      <c r="BQ351" s="43" t="s">
        <v>2090</v>
      </c>
      <c r="BR351" s="43" t="s">
        <v>2090</v>
      </c>
      <c r="BS351" s="43" t="s">
        <v>2090</v>
      </c>
      <c r="BT351" s="43" t="s">
        <v>2090</v>
      </c>
      <c r="BU351" s="43" t="s">
        <v>2090</v>
      </c>
      <c r="BV351" s="43" t="s">
        <v>2090</v>
      </c>
      <c r="BW351" s="43" t="s">
        <v>2090</v>
      </c>
    </row>
    <row r="352" spans="1:75" ht="186.95" customHeight="1" x14ac:dyDescent="0.25">
      <c r="A352" s="38" t="s">
        <v>1496</v>
      </c>
      <c r="B352" s="38" t="s">
        <v>1928</v>
      </c>
      <c r="C352" s="39" t="s">
        <v>1497</v>
      </c>
      <c r="D352" s="40" t="s">
        <v>1498</v>
      </c>
      <c r="E352" s="41">
        <v>61947.337290000003</v>
      </c>
      <c r="F352" s="41">
        <v>2827209.4346099999</v>
      </c>
      <c r="G352" s="41">
        <v>497291.3</v>
      </c>
      <c r="H352" s="41">
        <v>421787.9</v>
      </c>
      <c r="I352" s="42">
        <v>1.1639579590671749</v>
      </c>
      <c r="J352" s="41">
        <v>20668.409909999998</v>
      </c>
      <c r="K352" s="41">
        <v>1640468.3938800001</v>
      </c>
      <c r="L352" s="41">
        <v>67935.5</v>
      </c>
      <c r="M352" s="41">
        <v>105806.7</v>
      </c>
      <c r="N352" s="42">
        <v>0.60967964093186744</v>
      </c>
      <c r="O352" s="41">
        <v>13685.55085</v>
      </c>
      <c r="P352" s="41">
        <v>1739868.7082400001</v>
      </c>
      <c r="Q352" s="41">
        <v>264413.7</v>
      </c>
      <c r="R352" s="41">
        <v>325828.40000000002</v>
      </c>
      <c r="S352" s="42">
        <v>0.77097822082807743</v>
      </c>
      <c r="T352" s="41">
        <v>22299.23054</v>
      </c>
      <c r="U352" s="41">
        <v>1735911.9605700001</v>
      </c>
      <c r="V352" s="41">
        <v>254538.8</v>
      </c>
      <c r="W352" s="41">
        <v>357779.5</v>
      </c>
      <c r="X352" s="42">
        <v>0.65901899265688924</v>
      </c>
      <c r="Y352" s="43">
        <v>1</v>
      </c>
      <c r="Z352" s="43" t="s">
        <v>2090</v>
      </c>
      <c r="AA352" s="43" t="s">
        <v>2090</v>
      </c>
      <c r="AB352" s="43" t="s">
        <v>2090</v>
      </c>
      <c r="AC352" s="43" t="s">
        <v>2090</v>
      </c>
      <c r="AD352" s="43">
        <v>0</v>
      </c>
      <c r="AE352" s="43">
        <v>0</v>
      </c>
      <c r="AF352" s="43">
        <v>0</v>
      </c>
      <c r="AG352" s="43">
        <v>0</v>
      </c>
      <c r="AH352" s="43">
        <v>0</v>
      </c>
      <c r="AI352" s="43">
        <v>0</v>
      </c>
      <c r="AJ352" s="43">
        <v>0</v>
      </c>
      <c r="AK352" s="43">
        <v>0</v>
      </c>
      <c r="AL352" s="43">
        <v>0</v>
      </c>
      <c r="AM352" s="43">
        <v>0</v>
      </c>
      <c r="AN352" s="43">
        <v>0</v>
      </c>
      <c r="AO352" s="43">
        <v>0</v>
      </c>
      <c r="AP352" s="43">
        <v>1</v>
      </c>
      <c r="AQ352" s="43">
        <v>0</v>
      </c>
      <c r="AR352" s="43">
        <v>0</v>
      </c>
      <c r="AS352" s="43">
        <v>0</v>
      </c>
      <c r="AT352" s="43">
        <v>0</v>
      </c>
      <c r="AU352" s="43">
        <v>0</v>
      </c>
      <c r="AV352" s="43">
        <v>0</v>
      </c>
      <c r="AW352" s="43">
        <v>0</v>
      </c>
      <c r="AX352" s="43">
        <v>0</v>
      </c>
      <c r="AY352" s="43">
        <v>0</v>
      </c>
      <c r="AZ352" s="43">
        <v>0</v>
      </c>
      <c r="BA352" s="43">
        <v>0</v>
      </c>
      <c r="BB352" s="43">
        <v>0</v>
      </c>
      <c r="BC352" s="43">
        <v>0</v>
      </c>
      <c r="BD352" s="43">
        <v>0</v>
      </c>
      <c r="BE352" s="43">
        <v>0</v>
      </c>
      <c r="BF352" s="43">
        <v>0</v>
      </c>
      <c r="BG352" s="43">
        <v>0</v>
      </c>
      <c r="BH352" s="43">
        <v>0</v>
      </c>
      <c r="BI352" s="43">
        <v>0</v>
      </c>
      <c r="BJ352" s="43" t="s">
        <v>2090</v>
      </c>
      <c r="BK352" s="43" t="s">
        <v>2090</v>
      </c>
      <c r="BL352" s="43" t="s">
        <v>2090</v>
      </c>
      <c r="BM352" s="43" t="s">
        <v>2090</v>
      </c>
      <c r="BN352" s="43" t="s">
        <v>2090</v>
      </c>
      <c r="BO352" s="43" t="s">
        <v>2090</v>
      </c>
      <c r="BP352" s="43" t="s">
        <v>2090</v>
      </c>
      <c r="BQ352" s="43" t="s">
        <v>2090</v>
      </c>
      <c r="BR352" s="43" t="s">
        <v>2090</v>
      </c>
      <c r="BS352" s="43" t="s">
        <v>2090</v>
      </c>
      <c r="BT352" s="43" t="s">
        <v>2090</v>
      </c>
      <c r="BU352" s="43" t="s">
        <v>2090</v>
      </c>
      <c r="BV352" s="43" t="s">
        <v>2090</v>
      </c>
      <c r="BW352" s="43" t="s">
        <v>2090</v>
      </c>
    </row>
    <row r="353" spans="1:75" ht="258.95" customHeight="1" x14ac:dyDescent="0.25">
      <c r="A353" s="38" t="s">
        <v>1499</v>
      </c>
      <c r="B353" s="38" t="s">
        <v>1929</v>
      </c>
      <c r="C353" s="45" t="s">
        <v>550</v>
      </c>
      <c r="D353" s="46" t="s">
        <v>1500</v>
      </c>
      <c r="E353" s="41">
        <v>59375.744059999997</v>
      </c>
      <c r="F353" s="41">
        <v>2785094.90136</v>
      </c>
      <c r="G353" s="41">
        <v>636822</v>
      </c>
      <c r="H353" s="41">
        <v>599902.1</v>
      </c>
      <c r="I353" s="42">
        <v>1.0433001025727495</v>
      </c>
      <c r="J353" s="41">
        <v>9084.9328499999992</v>
      </c>
      <c r="K353" s="41">
        <v>1036632.0473100001</v>
      </c>
      <c r="L353" s="41">
        <v>178945.7</v>
      </c>
      <c r="M353" s="41">
        <v>374520.4</v>
      </c>
      <c r="N353" s="42">
        <v>0.44747614755078241</v>
      </c>
      <c r="O353" s="41">
        <v>10300.94362</v>
      </c>
      <c r="P353" s="41">
        <v>1299593.9828300001</v>
      </c>
      <c r="Q353" s="41">
        <v>154394.20000000001</v>
      </c>
      <c r="R353" s="41">
        <v>235788.9</v>
      </c>
      <c r="S353" s="42">
        <v>0.61995945381294082</v>
      </c>
      <c r="T353" s="41">
        <v>68459.727209999997</v>
      </c>
      <c r="U353" s="41">
        <v>2830520.28198</v>
      </c>
      <c r="V353" s="41">
        <v>124498.5</v>
      </c>
      <c r="W353" s="41">
        <v>102609.8</v>
      </c>
      <c r="X353" s="42">
        <v>1.0961480485146446</v>
      </c>
      <c r="Y353" s="43">
        <v>2</v>
      </c>
      <c r="Z353" s="43" t="s">
        <v>2090</v>
      </c>
      <c r="AA353" s="43" t="s">
        <v>2090</v>
      </c>
      <c r="AB353" s="43" t="s">
        <v>2090</v>
      </c>
      <c r="AC353" s="43" t="s">
        <v>2090</v>
      </c>
      <c r="AD353" s="43">
        <v>0</v>
      </c>
      <c r="AE353" s="43">
        <v>0</v>
      </c>
      <c r="AF353" s="43">
        <v>0</v>
      </c>
      <c r="AG353" s="43">
        <v>0</v>
      </c>
      <c r="AH353" s="43">
        <v>0</v>
      </c>
      <c r="AI353" s="43">
        <v>1</v>
      </c>
      <c r="AJ353" s="43">
        <v>0</v>
      </c>
      <c r="AK353" s="43">
        <v>0</v>
      </c>
      <c r="AL353" s="43">
        <v>1</v>
      </c>
      <c r="AM353" s="43">
        <v>0</v>
      </c>
      <c r="AN353" s="43">
        <v>0</v>
      </c>
      <c r="AO353" s="43">
        <v>0</v>
      </c>
      <c r="AP353" s="43">
        <v>0</v>
      </c>
      <c r="AQ353" s="43">
        <v>0</v>
      </c>
      <c r="AR353" s="43">
        <v>0</v>
      </c>
      <c r="AS353" s="43">
        <v>0</v>
      </c>
      <c r="AT353" s="43">
        <v>0</v>
      </c>
      <c r="AU353" s="43">
        <v>0</v>
      </c>
      <c r="AV353" s="43">
        <v>0</v>
      </c>
      <c r="AW353" s="43">
        <v>0</v>
      </c>
      <c r="AX353" s="43">
        <v>0</v>
      </c>
      <c r="AY353" s="43">
        <v>0</v>
      </c>
      <c r="AZ353" s="43">
        <v>0</v>
      </c>
      <c r="BA353" s="43">
        <v>0</v>
      </c>
      <c r="BB353" s="43">
        <v>0</v>
      </c>
      <c r="BC353" s="43">
        <v>0</v>
      </c>
      <c r="BD353" s="43">
        <v>0</v>
      </c>
      <c r="BE353" s="43">
        <v>0</v>
      </c>
      <c r="BF353" s="43">
        <v>0</v>
      </c>
      <c r="BG353" s="43">
        <v>0</v>
      </c>
      <c r="BH353" s="43">
        <v>0</v>
      </c>
      <c r="BI353" s="43">
        <v>0</v>
      </c>
      <c r="BJ353" s="43" t="s">
        <v>2090</v>
      </c>
      <c r="BK353" s="43" t="s">
        <v>2090</v>
      </c>
      <c r="BL353" s="43" t="s">
        <v>2090</v>
      </c>
      <c r="BM353" s="43" t="s">
        <v>2090</v>
      </c>
      <c r="BN353" s="43" t="s">
        <v>2090</v>
      </c>
      <c r="BO353" s="43" t="s">
        <v>2090</v>
      </c>
      <c r="BP353" s="43" t="s">
        <v>2090</v>
      </c>
      <c r="BQ353" s="43" t="s">
        <v>2090</v>
      </c>
      <c r="BR353" s="43" t="s">
        <v>2090</v>
      </c>
      <c r="BS353" s="43" t="s">
        <v>2090</v>
      </c>
      <c r="BT353" s="43" t="s">
        <v>2090</v>
      </c>
      <c r="BU353" s="43" t="s">
        <v>2090</v>
      </c>
      <c r="BV353" s="43" t="s">
        <v>2091</v>
      </c>
      <c r="BW353" s="43" t="s">
        <v>2090</v>
      </c>
    </row>
    <row r="354" spans="1:75" ht="119.45" customHeight="1" x14ac:dyDescent="0.25">
      <c r="A354" s="38" t="s">
        <v>1501</v>
      </c>
      <c r="B354" s="38" t="s">
        <v>1930</v>
      </c>
      <c r="C354" s="39" t="s">
        <v>1502</v>
      </c>
      <c r="D354" s="40" t="s">
        <v>899</v>
      </c>
      <c r="E354" s="41">
        <v>16210.40372</v>
      </c>
      <c r="F354" s="41">
        <v>1555323.6735100001</v>
      </c>
      <c r="G354" s="41">
        <v>25200.3</v>
      </c>
      <c r="H354" s="41">
        <v>50734.6</v>
      </c>
      <c r="I354" s="42">
        <v>0.47444812501580397</v>
      </c>
      <c r="J354" s="41">
        <v>20789.14733</v>
      </c>
      <c r="K354" s="41">
        <v>1683322.4331</v>
      </c>
      <c r="L354" s="41">
        <v>16174.1</v>
      </c>
      <c r="M354" s="41">
        <v>24121.1</v>
      </c>
      <c r="N354" s="42">
        <v>0.639429044269756</v>
      </c>
      <c r="O354" s="41">
        <v>0</v>
      </c>
      <c r="P354" s="41">
        <v>236914.41097</v>
      </c>
      <c r="Q354" s="41">
        <v>26061.4</v>
      </c>
      <c r="R354" s="41">
        <v>55783.7</v>
      </c>
      <c r="S354" s="42">
        <v>0.45206236613620138</v>
      </c>
      <c r="T354" s="41">
        <v>26282.461719999999</v>
      </c>
      <c r="U354" s="41">
        <v>1865308.34115</v>
      </c>
      <c r="V354" s="41">
        <v>9147.7999999999993</v>
      </c>
      <c r="W354" s="41">
        <v>29713</v>
      </c>
      <c r="X354" s="42">
        <v>0.29716476462196867</v>
      </c>
      <c r="Y354" s="43">
        <v>1</v>
      </c>
      <c r="Z354" s="43" t="s">
        <v>2090</v>
      </c>
      <c r="AA354" s="43" t="s">
        <v>2090</v>
      </c>
      <c r="AB354" s="43" t="s">
        <v>2091</v>
      </c>
      <c r="AC354" s="43" t="s">
        <v>2090</v>
      </c>
      <c r="AD354" s="43">
        <v>0</v>
      </c>
      <c r="AE354" s="43">
        <v>0</v>
      </c>
      <c r="AF354" s="43">
        <v>0</v>
      </c>
      <c r="AG354" s="43">
        <v>0</v>
      </c>
      <c r="AH354" s="43">
        <v>0</v>
      </c>
      <c r="AI354" s="43">
        <v>0</v>
      </c>
      <c r="AJ354" s="43">
        <v>0</v>
      </c>
      <c r="AK354" s="43">
        <v>0</v>
      </c>
      <c r="AL354" s="43">
        <v>0</v>
      </c>
      <c r="AM354" s="43">
        <v>0</v>
      </c>
      <c r="AN354" s="43">
        <v>0</v>
      </c>
      <c r="AO354" s="43">
        <v>0</v>
      </c>
      <c r="AP354" s="43">
        <v>0</v>
      </c>
      <c r="AQ354" s="43">
        <v>0</v>
      </c>
      <c r="AR354" s="43">
        <v>0</v>
      </c>
      <c r="AS354" s="43">
        <v>0</v>
      </c>
      <c r="AT354" s="43">
        <v>0</v>
      </c>
      <c r="AU354" s="43">
        <v>0</v>
      </c>
      <c r="AV354" s="43">
        <v>0</v>
      </c>
      <c r="AW354" s="43">
        <v>0</v>
      </c>
      <c r="AX354" s="43">
        <v>0</v>
      </c>
      <c r="AY354" s="43">
        <v>0</v>
      </c>
      <c r="AZ354" s="43">
        <v>0</v>
      </c>
      <c r="BA354" s="43">
        <v>0</v>
      </c>
      <c r="BB354" s="43">
        <v>0</v>
      </c>
      <c r="BC354" s="43">
        <v>0</v>
      </c>
      <c r="BD354" s="43">
        <v>0</v>
      </c>
      <c r="BE354" s="43">
        <v>0</v>
      </c>
      <c r="BF354" s="43">
        <v>0</v>
      </c>
      <c r="BG354" s="43">
        <v>0</v>
      </c>
      <c r="BH354" s="43">
        <v>0</v>
      </c>
      <c r="BI354" s="43">
        <v>0</v>
      </c>
      <c r="BJ354" s="43" t="s">
        <v>2090</v>
      </c>
      <c r="BK354" s="43" t="s">
        <v>2090</v>
      </c>
      <c r="BL354" s="43" t="s">
        <v>2090</v>
      </c>
      <c r="BM354" s="43" t="s">
        <v>2090</v>
      </c>
      <c r="BN354" s="43" t="s">
        <v>2090</v>
      </c>
      <c r="BO354" s="43" t="s">
        <v>2090</v>
      </c>
      <c r="BP354" s="43" t="s">
        <v>2090</v>
      </c>
      <c r="BQ354" s="43" t="s">
        <v>2090</v>
      </c>
      <c r="BR354" s="43" t="s">
        <v>2090</v>
      </c>
      <c r="BS354" s="43" t="s">
        <v>2090</v>
      </c>
      <c r="BT354" s="43" t="s">
        <v>2090</v>
      </c>
      <c r="BU354" s="43" t="s">
        <v>2090</v>
      </c>
      <c r="BV354" s="43" t="s">
        <v>2090</v>
      </c>
      <c r="BW354" s="43" t="s">
        <v>2090</v>
      </c>
    </row>
    <row r="355" spans="1:75" ht="101.45" customHeight="1" x14ac:dyDescent="0.25">
      <c r="A355" s="38" t="s">
        <v>1503</v>
      </c>
      <c r="B355" s="38" t="s">
        <v>1931</v>
      </c>
      <c r="C355" s="39" t="s">
        <v>1504</v>
      </c>
      <c r="D355" s="40" t="s">
        <v>1505</v>
      </c>
      <c r="E355" s="41">
        <v>52802.109340000003</v>
      </c>
      <c r="F355" s="41">
        <v>2644801.0388099998</v>
      </c>
      <c r="G355" s="41">
        <v>197118.5</v>
      </c>
      <c r="H355" s="41">
        <v>174146.9</v>
      </c>
      <c r="I355" s="42">
        <v>1.090958491827948</v>
      </c>
      <c r="J355" s="41">
        <v>51238.585709999999</v>
      </c>
      <c r="K355" s="41">
        <v>2533719.5691</v>
      </c>
      <c r="L355" s="41">
        <v>204090.5</v>
      </c>
      <c r="M355" s="41">
        <v>164883.20000000001</v>
      </c>
      <c r="N355" s="42">
        <v>1.1462727030203399</v>
      </c>
      <c r="O355" s="41">
        <v>71622.499089999998</v>
      </c>
      <c r="P355" s="41">
        <v>3071018.4995900001</v>
      </c>
      <c r="Q355" s="41">
        <v>472318.9</v>
      </c>
      <c r="R355" s="41">
        <v>312033.8</v>
      </c>
      <c r="S355" s="42">
        <v>1.4741609458428679</v>
      </c>
      <c r="T355" s="41">
        <v>65929.567840000003</v>
      </c>
      <c r="U355" s="41">
        <v>2791879.9600200001</v>
      </c>
      <c r="V355" s="41">
        <v>168870</v>
      </c>
      <c r="W355" s="41">
        <v>178771.20000000001</v>
      </c>
      <c r="X355" s="42">
        <v>0.87103026589225763</v>
      </c>
      <c r="Y355" s="43">
        <v>1</v>
      </c>
      <c r="Z355" s="43" t="s">
        <v>2090</v>
      </c>
      <c r="AA355" s="43" t="s">
        <v>2090</v>
      </c>
      <c r="AB355" s="43" t="s">
        <v>2090</v>
      </c>
      <c r="AC355" s="43" t="s">
        <v>2090</v>
      </c>
      <c r="AD355" s="43">
        <v>0</v>
      </c>
      <c r="AE355" s="43">
        <v>0</v>
      </c>
      <c r="AF355" s="43">
        <v>0</v>
      </c>
      <c r="AG355" s="43">
        <v>0</v>
      </c>
      <c r="AH355" s="43">
        <v>0</v>
      </c>
      <c r="AI355" s="43">
        <v>0</v>
      </c>
      <c r="AJ355" s="43">
        <v>0</v>
      </c>
      <c r="AK355" s="43">
        <v>0</v>
      </c>
      <c r="AL355" s="43">
        <v>0</v>
      </c>
      <c r="AM355" s="43">
        <v>0</v>
      </c>
      <c r="AN355" s="43">
        <v>0</v>
      </c>
      <c r="AO355" s="43">
        <v>0</v>
      </c>
      <c r="AP355" s="43">
        <v>0</v>
      </c>
      <c r="AQ355" s="43">
        <v>0</v>
      </c>
      <c r="AR355" s="43">
        <v>0</v>
      </c>
      <c r="AS355" s="43">
        <v>1</v>
      </c>
      <c r="AT355" s="43">
        <v>0</v>
      </c>
      <c r="AU355" s="43">
        <v>0</v>
      </c>
      <c r="AV355" s="43">
        <v>0</v>
      </c>
      <c r="AW355" s="43">
        <v>0</v>
      </c>
      <c r="AX355" s="43">
        <v>0</v>
      </c>
      <c r="AY355" s="43">
        <v>0</v>
      </c>
      <c r="AZ355" s="43">
        <v>0</v>
      </c>
      <c r="BA355" s="43">
        <v>0</v>
      </c>
      <c r="BB355" s="43">
        <v>0</v>
      </c>
      <c r="BC355" s="43">
        <v>0</v>
      </c>
      <c r="BD355" s="43">
        <v>0</v>
      </c>
      <c r="BE355" s="43">
        <v>0</v>
      </c>
      <c r="BF355" s="43">
        <v>0</v>
      </c>
      <c r="BG355" s="43">
        <v>0</v>
      </c>
      <c r="BH355" s="43">
        <v>0</v>
      </c>
      <c r="BI355" s="43">
        <v>0</v>
      </c>
      <c r="BJ355" s="43" t="s">
        <v>2090</v>
      </c>
      <c r="BK355" s="43" t="s">
        <v>2090</v>
      </c>
      <c r="BL355" s="43" t="s">
        <v>2090</v>
      </c>
      <c r="BM355" s="43" t="s">
        <v>2090</v>
      </c>
      <c r="BN355" s="43" t="s">
        <v>2090</v>
      </c>
      <c r="BO355" s="43" t="s">
        <v>2090</v>
      </c>
      <c r="BP355" s="43" t="s">
        <v>2090</v>
      </c>
      <c r="BQ355" s="43" t="s">
        <v>2090</v>
      </c>
      <c r="BR355" s="43" t="s">
        <v>2090</v>
      </c>
      <c r="BS355" s="43" t="s">
        <v>2090</v>
      </c>
      <c r="BT355" s="43" t="s">
        <v>2090</v>
      </c>
      <c r="BU355" s="43" t="s">
        <v>2090</v>
      </c>
      <c r="BV355" s="43" t="s">
        <v>2090</v>
      </c>
      <c r="BW355" s="43" t="s">
        <v>2090</v>
      </c>
    </row>
    <row r="356" spans="1:75" ht="102.2" customHeight="1" x14ac:dyDescent="0.25">
      <c r="A356" s="38" t="s">
        <v>1506</v>
      </c>
      <c r="B356" s="38" t="s">
        <v>1932</v>
      </c>
      <c r="C356" s="39" t="s">
        <v>1507</v>
      </c>
      <c r="D356" s="40" t="s">
        <v>1508</v>
      </c>
      <c r="E356" s="41">
        <v>49259.66444</v>
      </c>
      <c r="F356" s="41">
        <v>2530106.9166299999</v>
      </c>
      <c r="G356" s="41">
        <v>330716.59999999998</v>
      </c>
      <c r="H356" s="41">
        <v>288478.3</v>
      </c>
      <c r="I356" s="42">
        <v>1.1100770992721929</v>
      </c>
      <c r="J356" s="41">
        <v>6544.7093000000004</v>
      </c>
      <c r="K356" s="41">
        <v>856611.29302999994</v>
      </c>
      <c r="L356" s="41">
        <v>162753.5</v>
      </c>
      <c r="M356" s="41">
        <v>293632.40000000002</v>
      </c>
      <c r="N356" s="42">
        <v>0.53092557939878382</v>
      </c>
      <c r="O356" s="41">
        <v>77427.525659999999</v>
      </c>
      <c r="P356" s="41">
        <v>3112963.3802200002</v>
      </c>
      <c r="Q356" s="41">
        <v>357530.9</v>
      </c>
      <c r="R356" s="41">
        <v>215251.8</v>
      </c>
      <c r="S356" s="42">
        <v>1.6279690696626097</v>
      </c>
      <c r="T356" s="41">
        <v>14998.08929</v>
      </c>
      <c r="U356" s="41">
        <v>1365503.7193100001</v>
      </c>
      <c r="V356" s="41">
        <v>28245.5</v>
      </c>
      <c r="W356" s="41">
        <v>95163</v>
      </c>
      <c r="X356" s="42">
        <v>0.28252711131816649</v>
      </c>
      <c r="Y356" s="43">
        <v>1</v>
      </c>
      <c r="Z356" s="43" t="s">
        <v>2090</v>
      </c>
      <c r="AA356" s="43" t="s">
        <v>2091</v>
      </c>
      <c r="AB356" s="43" t="s">
        <v>2090</v>
      </c>
      <c r="AC356" s="43" t="s">
        <v>2090</v>
      </c>
      <c r="AD356" s="43">
        <v>0</v>
      </c>
      <c r="AE356" s="43">
        <v>0</v>
      </c>
      <c r="AF356" s="43">
        <v>0</v>
      </c>
      <c r="AG356" s="43">
        <v>0</v>
      </c>
      <c r="AH356" s="43">
        <v>0</v>
      </c>
      <c r="AI356" s="43">
        <v>0</v>
      </c>
      <c r="AJ356" s="43">
        <v>0</v>
      </c>
      <c r="AK356" s="43">
        <v>0</v>
      </c>
      <c r="AL356" s="43">
        <v>0</v>
      </c>
      <c r="AM356" s="43">
        <v>0</v>
      </c>
      <c r="AN356" s="43">
        <v>0</v>
      </c>
      <c r="AO356" s="43">
        <v>0</v>
      </c>
      <c r="AP356" s="43">
        <v>0</v>
      </c>
      <c r="AQ356" s="43">
        <v>0</v>
      </c>
      <c r="AR356" s="43">
        <v>0</v>
      </c>
      <c r="AS356" s="43">
        <v>0</v>
      </c>
      <c r="AT356" s="43">
        <v>0</v>
      </c>
      <c r="AU356" s="43">
        <v>0</v>
      </c>
      <c r="AV356" s="43">
        <v>0</v>
      </c>
      <c r="AW356" s="43">
        <v>0</v>
      </c>
      <c r="AX356" s="43">
        <v>0</v>
      </c>
      <c r="AY356" s="43">
        <v>0</v>
      </c>
      <c r="AZ356" s="43">
        <v>0</v>
      </c>
      <c r="BA356" s="43">
        <v>0</v>
      </c>
      <c r="BB356" s="43">
        <v>0</v>
      </c>
      <c r="BC356" s="43">
        <v>0</v>
      </c>
      <c r="BD356" s="43">
        <v>0</v>
      </c>
      <c r="BE356" s="43">
        <v>0</v>
      </c>
      <c r="BF356" s="43">
        <v>0</v>
      </c>
      <c r="BG356" s="43">
        <v>0</v>
      </c>
      <c r="BH356" s="43">
        <v>0</v>
      </c>
      <c r="BI356" s="43">
        <v>0</v>
      </c>
      <c r="BJ356" s="43" t="s">
        <v>2090</v>
      </c>
      <c r="BK356" s="43" t="s">
        <v>2090</v>
      </c>
      <c r="BL356" s="43" t="s">
        <v>2090</v>
      </c>
      <c r="BM356" s="43" t="s">
        <v>2090</v>
      </c>
      <c r="BN356" s="43" t="s">
        <v>2090</v>
      </c>
      <c r="BO356" s="43" t="s">
        <v>2090</v>
      </c>
      <c r="BP356" s="43" t="s">
        <v>2090</v>
      </c>
      <c r="BQ356" s="43" t="s">
        <v>2090</v>
      </c>
      <c r="BR356" s="43" t="s">
        <v>2091</v>
      </c>
      <c r="BS356" s="43" t="s">
        <v>2091</v>
      </c>
      <c r="BT356" s="43" t="s">
        <v>2090</v>
      </c>
      <c r="BU356" s="43" t="s">
        <v>2090</v>
      </c>
      <c r="BV356" s="43" t="s">
        <v>2090</v>
      </c>
      <c r="BW356" s="43" t="s">
        <v>2090</v>
      </c>
    </row>
    <row r="357" spans="1:75" ht="207.95" customHeight="1" x14ac:dyDescent="0.25">
      <c r="A357" s="38" t="s">
        <v>1509</v>
      </c>
      <c r="B357" s="38" t="s">
        <v>1933</v>
      </c>
      <c r="C357" s="39" t="s">
        <v>1510</v>
      </c>
      <c r="D357" s="40" t="s">
        <v>1511</v>
      </c>
      <c r="E357" s="41">
        <v>65748.239740000005</v>
      </c>
      <c r="F357" s="41">
        <v>2918502.5760499998</v>
      </c>
      <c r="G357" s="41">
        <v>199822.2</v>
      </c>
      <c r="H357" s="41">
        <v>169528.6</v>
      </c>
      <c r="I357" s="42">
        <v>1.1670749843737651</v>
      </c>
      <c r="J357" s="41">
        <v>13353.931479999999</v>
      </c>
      <c r="K357" s="41">
        <v>1317111.4197800001</v>
      </c>
      <c r="L357" s="41">
        <v>167883</v>
      </c>
      <c r="M357" s="41">
        <v>228292.7</v>
      </c>
      <c r="N357" s="42">
        <v>0.70684328374276051</v>
      </c>
      <c r="O357" s="41">
        <v>0</v>
      </c>
      <c r="P357" s="41">
        <v>83652.803400000004</v>
      </c>
      <c r="Q357" s="41">
        <v>110393.1</v>
      </c>
      <c r="R357" s="41">
        <v>299211</v>
      </c>
      <c r="S357" s="42">
        <v>0.34723457522153045</v>
      </c>
      <c r="T357" s="41">
        <v>22096.31796</v>
      </c>
      <c r="U357" s="41">
        <v>1747687.46529</v>
      </c>
      <c r="V357" s="41">
        <v>41068.5</v>
      </c>
      <c r="W357" s="41">
        <v>106086.3</v>
      </c>
      <c r="X357" s="42">
        <v>0.36922615130629538</v>
      </c>
      <c r="Y357" s="43">
        <v>1</v>
      </c>
      <c r="Z357" s="43" t="s">
        <v>2090</v>
      </c>
      <c r="AA357" s="43" t="s">
        <v>2091</v>
      </c>
      <c r="AB357" s="43" t="s">
        <v>2090</v>
      </c>
      <c r="AC357" s="43" t="s">
        <v>2090</v>
      </c>
      <c r="AD357" s="43">
        <v>0</v>
      </c>
      <c r="AE357" s="43">
        <v>0</v>
      </c>
      <c r="AF357" s="43">
        <v>0</v>
      </c>
      <c r="AG357" s="43">
        <v>0</v>
      </c>
      <c r="AH357" s="43">
        <v>0</v>
      </c>
      <c r="AI357" s="43">
        <v>0</v>
      </c>
      <c r="AJ357" s="43">
        <v>0</v>
      </c>
      <c r="AK357" s="43">
        <v>0</v>
      </c>
      <c r="AL357" s="43">
        <v>0</v>
      </c>
      <c r="AM357" s="43">
        <v>0</v>
      </c>
      <c r="AN357" s="43">
        <v>0</v>
      </c>
      <c r="AO357" s="43">
        <v>0</v>
      </c>
      <c r="AP357" s="43">
        <v>0</v>
      </c>
      <c r="AQ357" s="43">
        <v>0</v>
      </c>
      <c r="AR357" s="43">
        <v>0</v>
      </c>
      <c r="AS357" s="43">
        <v>0</v>
      </c>
      <c r="AT357" s="43">
        <v>0</v>
      </c>
      <c r="AU357" s="43">
        <v>0</v>
      </c>
      <c r="AV357" s="43">
        <v>0</v>
      </c>
      <c r="AW357" s="43">
        <v>0</v>
      </c>
      <c r="AX357" s="43">
        <v>0</v>
      </c>
      <c r="AY357" s="43">
        <v>0</v>
      </c>
      <c r="AZ357" s="43">
        <v>0</v>
      </c>
      <c r="BA357" s="43">
        <v>0</v>
      </c>
      <c r="BB357" s="43">
        <v>0</v>
      </c>
      <c r="BC357" s="43">
        <v>0</v>
      </c>
      <c r="BD357" s="43">
        <v>0</v>
      </c>
      <c r="BE357" s="43">
        <v>0</v>
      </c>
      <c r="BF357" s="43">
        <v>0</v>
      </c>
      <c r="BG357" s="43">
        <v>0</v>
      </c>
      <c r="BH357" s="43">
        <v>0</v>
      </c>
      <c r="BI357" s="43">
        <v>0</v>
      </c>
      <c r="BJ357" s="43" t="s">
        <v>2090</v>
      </c>
      <c r="BK357" s="43" t="s">
        <v>2090</v>
      </c>
      <c r="BL357" s="43" t="s">
        <v>2090</v>
      </c>
      <c r="BM357" s="43" t="s">
        <v>2090</v>
      </c>
      <c r="BN357" s="43" t="s">
        <v>2090</v>
      </c>
      <c r="BO357" s="43" t="s">
        <v>2091</v>
      </c>
      <c r="BP357" s="43" t="s">
        <v>2090</v>
      </c>
      <c r="BQ357" s="43" t="s">
        <v>2091</v>
      </c>
      <c r="BR357" s="43" t="s">
        <v>2090</v>
      </c>
      <c r="BS357" s="43" t="s">
        <v>2090</v>
      </c>
      <c r="BT357" s="43" t="s">
        <v>2090</v>
      </c>
      <c r="BU357" s="43" t="s">
        <v>2090</v>
      </c>
      <c r="BV357" s="43" t="s">
        <v>2090</v>
      </c>
      <c r="BW357" s="43" t="s">
        <v>2090</v>
      </c>
    </row>
    <row r="358" spans="1:75" ht="118.7" customHeight="1" x14ac:dyDescent="0.25">
      <c r="A358" s="38" t="s">
        <v>1512</v>
      </c>
      <c r="B358" s="38" t="s">
        <v>1934</v>
      </c>
      <c r="C358" s="39" t="s">
        <v>1513</v>
      </c>
      <c r="D358" s="40" t="s">
        <v>962</v>
      </c>
      <c r="E358" s="41">
        <v>49886.370470000002</v>
      </c>
      <c r="F358" s="41">
        <v>2590841.7513600001</v>
      </c>
      <c r="G358" s="41">
        <v>381537.8</v>
      </c>
      <c r="H358" s="41">
        <v>327850.90000000002</v>
      </c>
      <c r="I358" s="42">
        <v>1.1379891481558826</v>
      </c>
      <c r="J358" s="41">
        <v>46674.928590000003</v>
      </c>
      <c r="K358" s="41">
        <v>2463282.3303700001</v>
      </c>
      <c r="L358" s="41">
        <v>166137.60000000001</v>
      </c>
      <c r="M358" s="41">
        <v>140557.70000000001</v>
      </c>
      <c r="N358" s="42">
        <v>1.1184636702173725</v>
      </c>
      <c r="O358" s="41">
        <v>56967.84633</v>
      </c>
      <c r="P358" s="41">
        <v>2833172.5253400002</v>
      </c>
      <c r="Q358" s="41">
        <v>432541.9</v>
      </c>
      <c r="R358" s="41">
        <v>343964.2</v>
      </c>
      <c r="S358" s="42">
        <v>1.2300035355870436</v>
      </c>
      <c r="T358" s="41">
        <v>57504.699820000002</v>
      </c>
      <c r="U358" s="41">
        <v>2715585.1094</v>
      </c>
      <c r="V358" s="41">
        <v>93834.1</v>
      </c>
      <c r="W358" s="41">
        <v>89663.1</v>
      </c>
      <c r="X358" s="42">
        <v>0.87259569377990431</v>
      </c>
      <c r="Y358" s="43">
        <v>2</v>
      </c>
      <c r="Z358" s="43" t="s">
        <v>2091</v>
      </c>
      <c r="AA358" s="43" t="s">
        <v>2090</v>
      </c>
      <c r="AB358" s="43" t="s">
        <v>2090</v>
      </c>
      <c r="AC358" s="43" t="s">
        <v>2090</v>
      </c>
      <c r="AD358" s="43">
        <v>0</v>
      </c>
      <c r="AE358" s="43">
        <v>0</v>
      </c>
      <c r="AF358" s="43">
        <v>0</v>
      </c>
      <c r="AG358" s="43">
        <v>0</v>
      </c>
      <c r="AH358" s="43">
        <v>0</v>
      </c>
      <c r="AI358" s="43">
        <v>0</v>
      </c>
      <c r="AJ358" s="43">
        <v>0</v>
      </c>
      <c r="AK358" s="43">
        <v>1</v>
      </c>
      <c r="AL358" s="43">
        <v>0</v>
      </c>
      <c r="AM358" s="43">
        <v>0</v>
      </c>
      <c r="AN358" s="43">
        <v>0</v>
      </c>
      <c r="AO358" s="43">
        <v>0</v>
      </c>
      <c r="AP358" s="43">
        <v>0</v>
      </c>
      <c r="AQ358" s="43">
        <v>0</v>
      </c>
      <c r="AR358" s="43">
        <v>0</v>
      </c>
      <c r="AS358" s="43">
        <v>0</v>
      </c>
      <c r="AT358" s="43">
        <v>0</v>
      </c>
      <c r="AU358" s="43">
        <v>0</v>
      </c>
      <c r="AV358" s="43">
        <v>0</v>
      </c>
      <c r="AW358" s="43">
        <v>0</v>
      </c>
      <c r="AX358" s="43">
        <v>0</v>
      </c>
      <c r="AY358" s="43">
        <v>0</v>
      </c>
      <c r="AZ358" s="43">
        <v>0</v>
      </c>
      <c r="BA358" s="43">
        <v>0</v>
      </c>
      <c r="BB358" s="43">
        <v>0</v>
      </c>
      <c r="BC358" s="43">
        <v>0</v>
      </c>
      <c r="BD358" s="43">
        <v>0</v>
      </c>
      <c r="BE358" s="43">
        <v>0</v>
      </c>
      <c r="BF358" s="43">
        <v>0</v>
      </c>
      <c r="BG358" s="43">
        <v>0</v>
      </c>
      <c r="BH358" s="43">
        <v>0</v>
      </c>
      <c r="BI358" s="43">
        <v>0</v>
      </c>
      <c r="BJ358" s="43" t="s">
        <v>2090</v>
      </c>
      <c r="BK358" s="43" t="s">
        <v>2091</v>
      </c>
      <c r="BL358" s="43" t="s">
        <v>2090</v>
      </c>
      <c r="BM358" s="43" t="s">
        <v>2090</v>
      </c>
      <c r="BN358" s="43" t="s">
        <v>2090</v>
      </c>
      <c r="BO358" s="43" t="s">
        <v>2090</v>
      </c>
      <c r="BP358" s="43" t="s">
        <v>2090</v>
      </c>
      <c r="BQ358" s="43" t="s">
        <v>2090</v>
      </c>
      <c r="BR358" s="43" t="s">
        <v>2090</v>
      </c>
      <c r="BS358" s="43" t="s">
        <v>2090</v>
      </c>
      <c r="BT358" s="43" t="s">
        <v>2090</v>
      </c>
      <c r="BU358" s="43" t="s">
        <v>2090</v>
      </c>
      <c r="BV358" s="43" t="s">
        <v>2090</v>
      </c>
      <c r="BW358" s="43" t="s">
        <v>2090</v>
      </c>
    </row>
    <row r="359" spans="1:75" ht="184.7" customHeight="1" x14ac:dyDescent="0.25">
      <c r="A359" s="38" t="s">
        <v>1514</v>
      </c>
      <c r="B359" s="38" t="s">
        <v>1935</v>
      </c>
      <c r="C359" s="39" t="s">
        <v>1170</v>
      </c>
      <c r="D359" s="40" t="s">
        <v>1515</v>
      </c>
      <c r="E359" s="41">
        <v>57958.427819999997</v>
      </c>
      <c r="F359" s="41">
        <v>2704463.9085400002</v>
      </c>
      <c r="G359" s="41">
        <v>228652.79999999999</v>
      </c>
      <c r="H359" s="41">
        <v>198174.3</v>
      </c>
      <c r="I359" s="42">
        <v>1.1285472558415894</v>
      </c>
      <c r="J359" s="41">
        <v>0</v>
      </c>
      <c r="K359" s="41">
        <v>3457.1338099999998</v>
      </c>
      <c r="L359" s="41">
        <v>51612</v>
      </c>
      <c r="M359" s="41">
        <v>256175.3</v>
      </c>
      <c r="N359" s="42">
        <v>0.18804172739127101</v>
      </c>
      <c r="O359" s="41">
        <v>0</v>
      </c>
      <c r="P359" s="41">
        <v>61264.805540000001</v>
      </c>
      <c r="Q359" s="41">
        <v>12926.1</v>
      </c>
      <c r="R359" s="41">
        <v>39648.699999999997</v>
      </c>
      <c r="S359" s="42">
        <v>0.315320798231846</v>
      </c>
      <c r="T359" s="41">
        <v>3348.7085499999998</v>
      </c>
      <c r="U359" s="41">
        <v>554921.62632000004</v>
      </c>
      <c r="V359" s="41">
        <v>209223.2</v>
      </c>
      <c r="W359" s="41">
        <v>398987.2</v>
      </c>
      <c r="X359" s="42">
        <v>0.48902228410591669</v>
      </c>
      <c r="Y359" s="43">
        <v>1</v>
      </c>
      <c r="Z359" s="43" t="s">
        <v>2090</v>
      </c>
      <c r="AA359" s="43" t="s">
        <v>2090</v>
      </c>
      <c r="AB359" s="43" t="s">
        <v>2090</v>
      </c>
      <c r="AC359" s="43" t="s">
        <v>2090</v>
      </c>
      <c r="AD359" s="43">
        <v>0</v>
      </c>
      <c r="AE359" s="43">
        <v>0</v>
      </c>
      <c r="AF359" s="43">
        <v>0</v>
      </c>
      <c r="AG359" s="43">
        <v>0</v>
      </c>
      <c r="AH359" s="43">
        <v>0</v>
      </c>
      <c r="AI359" s="43">
        <v>0</v>
      </c>
      <c r="AJ359" s="43">
        <v>0</v>
      </c>
      <c r="AK359" s="43">
        <v>0</v>
      </c>
      <c r="AL359" s="43">
        <v>0</v>
      </c>
      <c r="AM359" s="43">
        <v>0</v>
      </c>
      <c r="AN359" s="43">
        <v>0</v>
      </c>
      <c r="AO359" s="43">
        <v>0</v>
      </c>
      <c r="AP359" s="43">
        <v>0</v>
      </c>
      <c r="AQ359" s="43">
        <v>0</v>
      </c>
      <c r="AR359" s="43">
        <v>0</v>
      </c>
      <c r="AS359" s="43">
        <v>0</v>
      </c>
      <c r="AT359" s="43">
        <v>0</v>
      </c>
      <c r="AU359" s="43">
        <v>0</v>
      </c>
      <c r="AV359" s="43">
        <v>1</v>
      </c>
      <c r="AW359" s="43">
        <v>0</v>
      </c>
      <c r="AX359" s="43">
        <v>0</v>
      </c>
      <c r="AY359" s="43">
        <v>0</v>
      </c>
      <c r="AZ359" s="43">
        <v>0</v>
      </c>
      <c r="BA359" s="43">
        <v>0</v>
      </c>
      <c r="BB359" s="43">
        <v>0</v>
      </c>
      <c r="BC359" s="43">
        <v>0</v>
      </c>
      <c r="BD359" s="43">
        <v>0</v>
      </c>
      <c r="BE359" s="43">
        <v>0</v>
      </c>
      <c r="BF359" s="43">
        <v>0</v>
      </c>
      <c r="BG359" s="43">
        <v>0</v>
      </c>
      <c r="BH359" s="43">
        <v>0</v>
      </c>
      <c r="BI359" s="43">
        <v>0</v>
      </c>
      <c r="BJ359" s="43" t="s">
        <v>2090</v>
      </c>
      <c r="BK359" s="43" t="s">
        <v>2090</v>
      </c>
      <c r="BL359" s="43" t="s">
        <v>2090</v>
      </c>
      <c r="BM359" s="43" t="s">
        <v>2090</v>
      </c>
      <c r="BN359" s="43" t="s">
        <v>2090</v>
      </c>
      <c r="BO359" s="43" t="s">
        <v>2090</v>
      </c>
      <c r="BP359" s="43" t="s">
        <v>2090</v>
      </c>
      <c r="BQ359" s="43" t="s">
        <v>2090</v>
      </c>
      <c r="BR359" s="43" t="s">
        <v>2090</v>
      </c>
      <c r="BS359" s="43" t="s">
        <v>2090</v>
      </c>
      <c r="BT359" s="43" t="s">
        <v>2090</v>
      </c>
      <c r="BU359" s="43" t="s">
        <v>2090</v>
      </c>
      <c r="BV359" s="43" t="s">
        <v>2090</v>
      </c>
      <c r="BW359" s="43" t="s">
        <v>2090</v>
      </c>
    </row>
    <row r="360" spans="1:75" ht="177.95" customHeight="1" x14ac:dyDescent="0.25">
      <c r="A360" s="38" t="s">
        <v>1516</v>
      </c>
      <c r="B360" s="38" t="s">
        <v>1936</v>
      </c>
      <c r="C360" s="45" t="s">
        <v>517</v>
      </c>
      <c r="D360" s="46" t="s">
        <v>1517</v>
      </c>
      <c r="E360" s="41">
        <v>48096.058940000003</v>
      </c>
      <c r="F360" s="41">
        <v>2529591.4856599998</v>
      </c>
      <c r="G360" s="41">
        <v>155189.1</v>
      </c>
      <c r="H360" s="41">
        <v>139281.60000000001</v>
      </c>
      <c r="I360" s="42">
        <v>1.0393294979795906</v>
      </c>
      <c r="J360" s="41">
        <v>72336.964590000003</v>
      </c>
      <c r="K360" s="41">
        <v>1518175.9028</v>
      </c>
      <c r="L360" s="41">
        <v>124573.3</v>
      </c>
      <c r="M360" s="41">
        <v>163490.1</v>
      </c>
      <c r="N360" s="42">
        <v>0.7213128238874722</v>
      </c>
      <c r="O360" s="41">
        <v>75302.689840000006</v>
      </c>
      <c r="P360" s="41">
        <v>3014366.8806699999</v>
      </c>
      <c r="Q360" s="41">
        <v>313751.3</v>
      </c>
      <c r="R360" s="41">
        <v>198540.79999999999</v>
      </c>
      <c r="S360" s="42">
        <v>1.2943702214761923</v>
      </c>
      <c r="T360" s="41">
        <v>64731.087019999999</v>
      </c>
      <c r="U360" s="41">
        <v>2748970.2253299998</v>
      </c>
      <c r="V360" s="41">
        <v>141224</v>
      </c>
      <c r="W360" s="41">
        <v>150436.4</v>
      </c>
      <c r="X360" s="42">
        <v>0.7415134128473031</v>
      </c>
      <c r="Y360" s="43">
        <v>1</v>
      </c>
      <c r="Z360" s="43" t="s">
        <v>2090</v>
      </c>
      <c r="AA360" s="43" t="s">
        <v>2091</v>
      </c>
      <c r="AB360" s="43" t="s">
        <v>2090</v>
      </c>
      <c r="AC360" s="43" t="s">
        <v>2090</v>
      </c>
      <c r="AD360" s="43">
        <v>0</v>
      </c>
      <c r="AE360" s="43">
        <v>0</v>
      </c>
      <c r="AF360" s="43">
        <v>0</v>
      </c>
      <c r="AG360" s="43">
        <v>0</v>
      </c>
      <c r="AH360" s="43">
        <v>0</v>
      </c>
      <c r="AI360" s="43">
        <v>0</v>
      </c>
      <c r="AJ360" s="43">
        <v>0</v>
      </c>
      <c r="AK360" s="43">
        <v>0</v>
      </c>
      <c r="AL360" s="43">
        <v>0</v>
      </c>
      <c r="AM360" s="43">
        <v>0</v>
      </c>
      <c r="AN360" s="43">
        <v>0</v>
      </c>
      <c r="AO360" s="43">
        <v>0</v>
      </c>
      <c r="AP360" s="43">
        <v>0</v>
      </c>
      <c r="AQ360" s="43">
        <v>0</v>
      </c>
      <c r="AR360" s="43">
        <v>0</v>
      </c>
      <c r="AS360" s="43">
        <v>0</v>
      </c>
      <c r="AT360" s="43">
        <v>0</v>
      </c>
      <c r="AU360" s="43">
        <v>0</v>
      </c>
      <c r="AV360" s="43">
        <v>0</v>
      </c>
      <c r="AW360" s="43">
        <v>0</v>
      </c>
      <c r="AX360" s="43">
        <v>0</v>
      </c>
      <c r="AY360" s="43">
        <v>0</v>
      </c>
      <c r="AZ360" s="43">
        <v>0</v>
      </c>
      <c r="BA360" s="43">
        <v>0</v>
      </c>
      <c r="BB360" s="43">
        <v>0</v>
      </c>
      <c r="BC360" s="43">
        <v>0</v>
      </c>
      <c r="BD360" s="43">
        <v>0</v>
      </c>
      <c r="BE360" s="43">
        <v>0</v>
      </c>
      <c r="BF360" s="43">
        <v>0</v>
      </c>
      <c r="BG360" s="43">
        <v>0</v>
      </c>
      <c r="BH360" s="43">
        <v>0</v>
      </c>
      <c r="BI360" s="43">
        <v>0</v>
      </c>
      <c r="BJ360" s="43" t="s">
        <v>2090</v>
      </c>
      <c r="BK360" s="43" t="s">
        <v>2090</v>
      </c>
      <c r="BL360" s="43" t="s">
        <v>2090</v>
      </c>
      <c r="BM360" s="43" t="s">
        <v>2090</v>
      </c>
      <c r="BN360" s="43" t="s">
        <v>2090</v>
      </c>
      <c r="BO360" s="43" t="s">
        <v>2090</v>
      </c>
      <c r="BP360" s="43" t="s">
        <v>2090</v>
      </c>
      <c r="BQ360" s="43" t="s">
        <v>2090</v>
      </c>
      <c r="BR360" s="43" t="s">
        <v>2091</v>
      </c>
      <c r="BS360" s="43" t="s">
        <v>2090</v>
      </c>
      <c r="BT360" s="43" t="s">
        <v>2090</v>
      </c>
      <c r="BU360" s="43" t="s">
        <v>2090</v>
      </c>
      <c r="BV360" s="43" t="s">
        <v>2090</v>
      </c>
      <c r="BW360" s="43" t="s">
        <v>2090</v>
      </c>
    </row>
    <row r="361" spans="1:75" ht="156.19999999999999" customHeight="1" x14ac:dyDescent="0.25">
      <c r="A361" s="38" t="s">
        <v>1518</v>
      </c>
      <c r="B361" s="38" t="s">
        <v>1937</v>
      </c>
      <c r="C361" s="39" t="s">
        <v>1519</v>
      </c>
      <c r="D361" s="40" t="s">
        <v>1520</v>
      </c>
      <c r="E361" s="41">
        <v>57455.611380000002</v>
      </c>
      <c r="F361" s="41">
        <v>2753324.2086800002</v>
      </c>
      <c r="G361" s="41">
        <v>412876.4</v>
      </c>
      <c r="H361" s="41">
        <v>346667.1</v>
      </c>
      <c r="I361" s="42">
        <v>1.1736014158593167</v>
      </c>
      <c r="J361" s="41">
        <v>5519.1949800000002</v>
      </c>
      <c r="K361" s="41">
        <v>749374.55871999997</v>
      </c>
      <c r="L361" s="41">
        <v>102419.1</v>
      </c>
      <c r="M361" s="41">
        <v>225032.9</v>
      </c>
      <c r="N361" s="42">
        <v>0.43156382126177911</v>
      </c>
      <c r="O361" s="41">
        <v>79803.703210000007</v>
      </c>
      <c r="P361" s="41">
        <v>3156852.6412599999</v>
      </c>
      <c r="Q361" s="41">
        <v>453127.7</v>
      </c>
      <c r="R361" s="41">
        <v>310310</v>
      </c>
      <c r="S361" s="42">
        <v>1.442177884634241</v>
      </c>
      <c r="T361" s="41">
        <v>32389.061089999999</v>
      </c>
      <c r="U361" s="41">
        <v>1984231.6287799999</v>
      </c>
      <c r="V361" s="41">
        <v>84461.1</v>
      </c>
      <c r="W361" s="41">
        <v>116359.7</v>
      </c>
      <c r="X361" s="42">
        <v>0.69043791815101219</v>
      </c>
      <c r="Y361" s="43">
        <v>2</v>
      </c>
      <c r="Z361" s="43" t="s">
        <v>2090</v>
      </c>
      <c r="AA361" s="43" t="s">
        <v>2091</v>
      </c>
      <c r="AB361" s="43" t="s">
        <v>2090</v>
      </c>
      <c r="AC361" s="43" t="s">
        <v>2090</v>
      </c>
      <c r="AD361" s="43">
        <v>0</v>
      </c>
      <c r="AE361" s="43">
        <v>0</v>
      </c>
      <c r="AF361" s="43">
        <v>0</v>
      </c>
      <c r="AG361" s="43">
        <v>0</v>
      </c>
      <c r="AH361" s="43">
        <v>0</v>
      </c>
      <c r="AI361" s="43">
        <v>0</v>
      </c>
      <c r="AJ361" s="43">
        <v>0</v>
      </c>
      <c r="AK361" s="43">
        <v>0</v>
      </c>
      <c r="AL361" s="43">
        <v>1</v>
      </c>
      <c r="AM361" s="43">
        <v>0</v>
      </c>
      <c r="AN361" s="43">
        <v>0</v>
      </c>
      <c r="AO361" s="43">
        <v>0</v>
      </c>
      <c r="AP361" s="43">
        <v>0</v>
      </c>
      <c r="AQ361" s="43">
        <v>0</v>
      </c>
      <c r="AR361" s="43">
        <v>0</v>
      </c>
      <c r="AS361" s="43">
        <v>0</v>
      </c>
      <c r="AT361" s="43">
        <v>0</v>
      </c>
      <c r="AU361" s="43">
        <v>0</v>
      </c>
      <c r="AV361" s="43">
        <v>0</v>
      </c>
      <c r="AW361" s="43">
        <v>0</v>
      </c>
      <c r="AX361" s="43">
        <v>0</v>
      </c>
      <c r="AY361" s="43">
        <v>0</v>
      </c>
      <c r="AZ361" s="43">
        <v>0</v>
      </c>
      <c r="BA361" s="43">
        <v>0</v>
      </c>
      <c r="BB361" s="43">
        <v>0</v>
      </c>
      <c r="BC361" s="43">
        <v>0</v>
      </c>
      <c r="BD361" s="43">
        <v>0</v>
      </c>
      <c r="BE361" s="43">
        <v>0</v>
      </c>
      <c r="BF361" s="43">
        <v>0</v>
      </c>
      <c r="BG361" s="43">
        <v>0</v>
      </c>
      <c r="BH361" s="43">
        <v>0</v>
      </c>
      <c r="BI361" s="43">
        <v>0</v>
      </c>
      <c r="BJ361" s="43" t="s">
        <v>2090</v>
      </c>
      <c r="BK361" s="43" t="s">
        <v>2090</v>
      </c>
      <c r="BL361" s="43" t="s">
        <v>2090</v>
      </c>
      <c r="BM361" s="43" t="s">
        <v>2090</v>
      </c>
      <c r="BN361" s="43" t="s">
        <v>2090</v>
      </c>
      <c r="BO361" s="43" t="s">
        <v>2090</v>
      </c>
      <c r="BP361" s="43" t="s">
        <v>2090</v>
      </c>
      <c r="BQ361" s="43" t="s">
        <v>2090</v>
      </c>
      <c r="BR361" s="43" t="s">
        <v>2091</v>
      </c>
      <c r="BS361" s="43" t="s">
        <v>2090</v>
      </c>
      <c r="BT361" s="43" t="s">
        <v>2091</v>
      </c>
      <c r="BU361" s="43" t="s">
        <v>2090</v>
      </c>
      <c r="BV361" s="43" t="s">
        <v>2090</v>
      </c>
      <c r="BW361" s="43" t="s">
        <v>2090</v>
      </c>
    </row>
    <row r="362" spans="1:75" ht="158.44999999999999" customHeight="1" x14ac:dyDescent="0.25">
      <c r="A362" s="38" t="s">
        <v>1521</v>
      </c>
      <c r="B362" s="38" t="s">
        <v>1938</v>
      </c>
      <c r="C362" s="45" t="s">
        <v>541</v>
      </c>
      <c r="D362" s="46" t="s">
        <v>1522</v>
      </c>
      <c r="E362" s="41">
        <v>42158.801520000001</v>
      </c>
      <c r="F362" s="41">
        <v>2395645.9369399999</v>
      </c>
      <c r="G362" s="41">
        <v>212911</v>
      </c>
      <c r="H362" s="41">
        <v>211477</v>
      </c>
      <c r="I362" s="42">
        <v>0.96714087726987352</v>
      </c>
      <c r="J362" s="41">
        <v>0</v>
      </c>
      <c r="K362" s="41">
        <v>0</v>
      </c>
      <c r="L362" s="41">
        <v>123063.6</v>
      </c>
      <c r="M362" s="41">
        <v>292132.90000000002</v>
      </c>
      <c r="N362" s="42">
        <v>0.40511802319648998</v>
      </c>
      <c r="O362" s="41">
        <v>7559.0407800000003</v>
      </c>
      <c r="P362" s="41">
        <v>1102491.6457400001</v>
      </c>
      <c r="Q362" s="41">
        <v>71476.600000000006</v>
      </c>
      <c r="R362" s="41">
        <v>172744.8</v>
      </c>
      <c r="S362" s="42">
        <v>0.39764517187329129</v>
      </c>
      <c r="T362" s="41">
        <v>3526.8008</v>
      </c>
      <c r="U362" s="41">
        <v>524788.74242999998</v>
      </c>
      <c r="V362" s="41">
        <v>87547.5</v>
      </c>
      <c r="W362" s="41">
        <v>272330.59999999998</v>
      </c>
      <c r="X362" s="42">
        <v>0.29891894119424717</v>
      </c>
      <c r="Y362" s="43">
        <v>3</v>
      </c>
      <c r="Z362" s="43" t="s">
        <v>2090</v>
      </c>
      <c r="AA362" s="43" t="s">
        <v>2091</v>
      </c>
      <c r="AB362" s="43" t="s">
        <v>2090</v>
      </c>
      <c r="AC362" s="43" t="s">
        <v>2090</v>
      </c>
      <c r="AD362" s="43">
        <v>0</v>
      </c>
      <c r="AE362" s="43">
        <v>0</v>
      </c>
      <c r="AF362" s="43">
        <v>0</v>
      </c>
      <c r="AG362" s="43">
        <v>0</v>
      </c>
      <c r="AH362" s="43">
        <v>0</v>
      </c>
      <c r="AI362" s="43">
        <v>1</v>
      </c>
      <c r="AJ362" s="43">
        <v>0</v>
      </c>
      <c r="AK362" s="43">
        <v>0</v>
      </c>
      <c r="AL362" s="43">
        <v>0</v>
      </c>
      <c r="AM362" s="43">
        <v>0</v>
      </c>
      <c r="AN362" s="43">
        <v>1</v>
      </c>
      <c r="AO362" s="43">
        <v>0</v>
      </c>
      <c r="AP362" s="43">
        <v>0</v>
      </c>
      <c r="AQ362" s="43">
        <v>0</v>
      </c>
      <c r="AR362" s="43">
        <v>0</v>
      </c>
      <c r="AS362" s="43">
        <v>0</v>
      </c>
      <c r="AT362" s="43">
        <v>0</v>
      </c>
      <c r="AU362" s="43">
        <v>0</v>
      </c>
      <c r="AV362" s="43">
        <v>0</v>
      </c>
      <c r="AW362" s="43">
        <v>0</v>
      </c>
      <c r="AX362" s="43">
        <v>0</v>
      </c>
      <c r="AY362" s="43">
        <v>0</v>
      </c>
      <c r="AZ362" s="43">
        <v>0</v>
      </c>
      <c r="BA362" s="43">
        <v>0</v>
      </c>
      <c r="BB362" s="43">
        <v>0</v>
      </c>
      <c r="BC362" s="43">
        <v>0</v>
      </c>
      <c r="BD362" s="43">
        <v>0</v>
      </c>
      <c r="BE362" s="43">
        <v>0</v>
      </c>
      <c r="BF362" s="43">
        <v>0</v>
      </c>
      <c r="BG362" s="43">
        <v>0</v>
      </c>
      <c r="BH362" s="43">
        <v>0</v>
      </c>
      <c r="BI362" s="43">
        <v>0</v>
      </c>
      <c r="BJ362" s="43" t="s">
        <v>2090</v>
      </c>
      <c r="BK362" s="43" t="s">
        <v>2090</v>
      </c>
      <c r="BL362" s="43" t="s">
        <v>2090</v>
      </c>
      <c r="BM362" s="43" t="s">
        <v>2090</v>
      </c>
      <c r="BN362" s="43" t="s">
        <v>2090</v>
      </c>
      <c r="BO362" s="43" t="s">
        <v>2090</v>
      </c>
      <c r="BP362" s="43" t="s">
        <v>2090</v>
      </c>
      <c r="BQ362" s="43" t="s">
        <v>2090</v>
      </c>
      <c r="BR362" s="43" t="s">
        <v>2091</v>
      </c>
      <c r="BS362" s="43" t="s">
        <v>2091</v>
      </c>
      <c r="BT362" s="43" t="s">
        <v>2090</v>
      </c>
      <c r="BU362" s="43" t="s">
        <v>2090</v>
      </c>
      <c r="BV362" s="43" t="s">
        <v>2091</v>
      </c>
      <c r="BW362" s="43" t="s">
        <v>2090</v>
      </c>
    </row>
    <row r="363" spans="1:75" ht="111.95" customHeight="1" x14ac:dyDescent="0.25">
      <c r="A363" s="38" t="s">
        <v>1523</v>
      </c>
      <c r="B363" s="38" t="s">
        <v>1939</v>
      </c>
      <c r="C363" s="39" t="s">
        <v>1524</v>
      </c>
      <c r="D363" s="40" t="s">
        <v>1525</v>
      </c>
      <c r="E363" s="41">
        <v>0</v>
      </c>
      <c r="F363" s="41">
        <v>196921.37710000001</v>
      </c>
      <c r="G363" s="41">
        <v>2574.6999999999998</v>
      </c>
      <c r="H363" s="41">
        <v>8759.9</v>
      </c>
      <c r="I363" s="42">
        <v>0.28786299329858528</v>
      </c>
      <c r="J363" s="41">
        <v>1291.4980499999999</v>
      </c>
      <c r="K363" s="41">
        <v>0</v>
      </c>
      <c r="L363" s="41">
        <v>95525.3</v>
      </c>
      <c r="M363" s="41">
        <v>172744.1</v>
      </c>
      <c r="N363" s="42">
        <v>0.5336506763463531</v>
      </c>
      <c r="O363" s="41">
        <v>2348.5241500000002</v>
      </c>
      <c r="P363" s="41">
        <v>255149.13482000001</v>
      </c>
      <c r="Q363" s="41">
        <v>15794.4</v>
      </c>
      <c r="R363" s="41">
        <v>68253.8</v>
      </c>
      <c r="S363" s="42">
        <v>0.22567287784679088</v>
      </c>
      <c r="T363" s="41">
        <v>3131.2795000000001</v>
      </c>
      <c r="U363" s="41">
        <v>530818.38173000002</v>
      </c>
      <c r="V363" s="41">
        <v>29963.5</v>
      </c>
      <c r="W363" s="41">
        <v>170845.1</v>
      </c>
      <c r="X363" s="42">
        <v>0.16884023009834848</v>
      </c>
      <c r="Y363" s="43">
        <v>2</v>
      </c>
      <c r="Z363" s="43" t="s">
        <v>2090</v>
      </c>
      <c r="AA363" s="43" t="s">
        <v>2091</v>
      </c>
      <c r="AB363" s="43" t="s">
        <v>2090</v>
      </c>
      <c r="AC363" s="43" t="s">
        <v>2090</v>
      </c>
      <c r="AD363" s="43">
        <v>0</v>
      </c>
      <c r="AE363" s="43">
        <v>0</v>
      </c>
      <c r="AF363" s="43">
        <v>0</v>
      </c>
      <c r="AG363" s="43">
        <v>0</v>
      </c>
      <c r="AH363" s="43">
        <v>0</v>
      </c>
      <c r="AI363" s="43">
        <v>0</v>
      </c>
      <c r="AJ363" s="43">
        <v>0</v>
      </c>
      <c r="AK363" s="43">
        <v>0</v>
      </c>
      <c r="AL363" s="43">
        <v>0</v>
      </c>
      <c r="AM363" s="43">
        <v>0</v>
      </c>
      <c r="AN363" s="43">
        <v>0</v>
      </c>
      <c r="AO363" s="43">
        <v>0</v>
      </c>
      <c r="AP363" s="43">
        <v>0</v>
      </c>
      <c r="AQ363" s="43">
        <v>0</v>
      </c>
      <c r="AR363" s="43">
        <v>0</v>
      </c>
      <c r="AS363" s="43">
        <v>0</v>
      </c>
      <c r="AT363" s="43">
        <v>0</v>
      </c>
      <c r="AU363" s="43">
        <v>0</v>
      </c>
      <c r="AV363" s="43">
        <v>0</v>
      </c>
      <c r="AW363" s="43">
        <v>1</v>
      </c>
      <c r="AX363" s="43">
        <v>0</v>
      </c>
      <c r="AY363" s="43">
        <v>0</v>
      </c>
      <c r="AZ363" s="43">
        <v>0</v>
      </c>
      <c r="BA363" s="43">
        <v>0</v>
      </c>
      <c r="BB363" s="43">
        <v>0</v>
      </c>
      <c r="BC363" s="43">
        <v>0</v>
      </c>
      <c r="BD363" s="43">
        <v>0</v>
      </c>
      <c r="BE363" s="43">
        <v>0</v>
      </c>
      <c r="BF363" s="43">
        <v>0</v>
      </c>
      <c r="BG363" s="43">
        <v>0</v>
      </c>
      <c r="BH363" s="43">
        <v>0</v>
      </c>
      <c r="BI363" s="43">
        <v>0</v>
      </c>
      <c r="BJ363" s="43" t="s">
        <v>2090</v>
      </c>
      <c r="BK363" s="43" t="s">
        <v>2090</v>
      </c>
      <c r="BL363" s="43" t="s">
        <v>2090</v>
      </c>
      <c r="BM363" s="43" t="s">
        <v>2090</v>
      </c>
      <c r="BN363" s="43" t="s">
        <v>2090</v>
      </c>
      <c r="BO363" s="43" t="s">
        <v>2090</v>
      </c>
      <c r="BP363" s="43" t="s">
        <v>2090</v>
      </c>
      <c r="BQ363" s="43" t="s">
        <v>2090</v>
      </c>
      <c r="BR363" s="43" t="s">
        <v>2091</v>
      </c>
      <c r="BS363" s="43" t="s">
        <v>2090</v>
      </c>
      <c r="BT363" s="43" t="s">
        <v>2091</v>
      </c>
      <c r="BU363" s="43" t="s">
        <v>2090</v>
      </c>
      <c r="BV363" s="43" t="s">
        <v>2090</v>
      </c>
      <c r="BW363" s="43" t="s">
        <v>2090</v>
      </c>
    </row>
    <row r="364" spans="1:75" ht="130.69999999999999" customHeight="1" x14ac:dyDescent="0.25">
      <c r="A364" s="38" t="s">
        <v>1526</v>
      </c>
      <c r="B364" s="38" t="s">
        <v>1940</v>
      </c>
      <c r="C364" s="39" t="s">
        <v>1527</v>
      </c>
      <c r="D364" s="40" t="s">
        <v>1528</v>
      </c>
      <c r="E364" s="41">
        <v>54159.496509999997</v>
      </c>
      <c r="F364" s="41">
        <v>2619583.1452199998</v>
      </c>
      <c r="G364" s="41">
        <v>441563.3</v>
      </c>
      <c r="H364" s="41">
        <v>377920.7</v>
      </c>
      <c r="I364" s="42">
        <v>1.1447084162564156</v>
      </c>
      <c r="J364" s="41">
        <v>29328.47766</v>
      </c>
      <c r="K364" s="41">
        <v>1990379.9753</v>
      </c>
      <c r="L364" s="41">
        <v>287168.40000000002</v>
      </c>
      <c r="M364" s="41">
        <v>315497.40000000002</v>
      </c>
      <c r="N364" s="42">
        <v>0.86706475511311931</v>
      </c>
      <c r="O364" s="41">
        <v>74415.376900000003</v>
      </c>
      <c r="P364" s="41">
        <v>3003453.7859100001</v>
      </c>
      <c r="Q364" s="41">
        <v>448580.5</v>
      </c>
      <c r="R364" s="41">
        <v>308899.09999999998</v>
      </c>
      <c r="S364" s="42">
        <v>1.4342070911152589</v>
      </c>
      <c r="T364" s="41">
        <v>64383.823120000001</v>
      </c>
      <c r="U364" s="41">
        <v>2800192.8401199998</v>
      </c>
      <c r="V364" s="41">
        <v>179808.1</v>
      </c>
      <c r="W364" s="41">
        <v>170541.8</v>
      </c>
      <c r="X364" s="42">
        <v>0.96113188450617115</v>
      </c>
      <c r="Y364" s="43">
        <v>2</v>
      </c>
      <c r="Z364" s="43" t="s">
        <v>2091</v>
      </c>
      <c r="AA364" s="43" t="s">
        <v>2090</v>
      </c>
      <c r="AB364" s="43" t="s">
        <v>2090</v>
      </c>
      <c r="AC364" s="43" t="s">
        <v>2090</v>
      </c>
      <c r="AD364" s="43">
        <v>0</v>
      </c>
      <c r="AE364" s="43">
        <v>0</v>
      </c>
      <c r="AF364" s="43">
        <v>0</v>
      </c>
      <c r="AG364" s="43">
        <v>0</v>
      </c>
      <c r="AH364" s="43">
        <v>0</v>
      </c>
      <c r="AI364" s="43">
        <v>0</v>
      </c>
      <c r="AJ364" s="43">
        <v>0</v>
      </c>
      <c r="AK364" s="43">
        <v>0</v>
      </c>
      <c r="AL364" s="43">
        <v>0</v>
      </c>
      <c r="AM364" s="43">
        <v>0</v>
      </c>
      <c r="AN364" s="43">
        <v>0</v>
      </c>
      <c r="AO364" s="43">
        <v>0</v>
      </c>
      <c r="AP364" s="43">
        <v>0</v>
      </c>
      <c r="AQ364" s="43">
        <v>0</v>
      </c>
      <c r="AR364" s="43">
        <v>0</v>
      </c>
      <c r="AS364" s="43">
        <v>0</v>
      </c>
      <c r="AT364" s="43">
        <v>0</v>
      </c>
      <c r="AU364" s="43">
        <v>0</v>
      </c>
      <c r="AV364" s="43">
        <v>0</v>
      </c>
      <c r="AW364" s="43">
        <v>0</v>
      </c>
      <c r="AX364" s="43">
        <v>0</v>
      </c>
      <c r="AY364" s="43">
        <v>0</v>
      </c>
      <c r="AZ364" s="43">
        <v>1</v>
      </c>
      <c r="BA364" s="43">
        <v>0</v>
      </c>
      <c r="BB364" s="43">
        <v>0</v>
      </c>
      <c r="BC364" s="43">
        <v>0</v>
      </c>
      <c r="BD364" s="43">
        <v>0</v>
      </c>
      <c r="BE364" s="43">
        <v>0</v>
      </c>
      <c r="BF364" s="43">
        <v>0</v>
      </c>
      <c r="BG364" s="43">
        <v>0</v>
      </c>
      <c r="BH364" s="43">
        <v>0</v>
      </c>
      <c r="BI364" s="43">
        <v>0</v>
      </c>
      <c r="BJ364" s="43" t="s">
        <v>2090</v>
      </c>
      <c r="BK364" s="43" t="s">
        <v>2090</v>
      </c>
      <c r="BL364" s="43" t="s">
        <v>2090</v>
      </c>
      <c r="BM364" s="43" t="s">
        <v>2090</v>
      </c>
      <c r="BN364" s="43" t="s">
        <v>2090</v>
      </c>
      <c r="BO364" s="43" t="s">
        <v>2090</v>
      </c>
      <c r="BP364" s="43" t="s">
        <v>2090</v>
      </c>
      <c r="BQ364" s="43" t="s">
        <v>2090</v>
      </c>
      <c r="BR364" s="43" t="s">
        <v>2090</v>
      </c>
      <c r="BS364" s="43" t="s">
        <v>2090</v>
      </c>
      <c r="BT364" s="43" t="s">
        <v>2090</v>
      </c>
      <c r="BU364" s="43" t="s">
        <v>2090</v>
      </c>
      <c r="BV364" s="43" t="s">
        <v>2090</v>
      </c>
      <c r="BW364" s="43" t="s">
        <v>2090</v>
      </c>
    </row>
    <row r="365" spans="1:75" ht="175.7" customHeight="1" x14ac:dyDescent="0.25">
      <c r="A365" s="38" t="s">
        <v>1529</v>
      </c>
      <c r="B365" s="38" t="s">
        <v>1941</v>
      </c>
      <c r="C365" s="45" t="s">
        <v>589</v>
      </c>
      <c r="D365" s="46" t="s">
        <v>1530</v>
      </c>
      <c r="E365" s="41">
        <v>60279.86292</v>
      </c>
      <c r="F365" s="41">
        <v>2858325.1165300002</v>
      </c>
      <c r="G365" s="41">
        <v>180529.1</v>
      </c>
      <c r="H365" s="41">
        <v>139919.79999999999</v>
      </c>
      <c r="I365" s="42">
        <v>1.22705580192494</v>
      </c>
      <c r="J365" s="41">
        <v>9961.5150400000002</v>
      </c>
      <c r="K365" s="41">
        <v>1145316.4109199999</v>
      </c>
      <c r="L365" s="41">
        <v>214304.7</v>
      </c>
      <c r="M365" s="41">
        <v>239211.9</v>
      </c>
      <c r="N365" s="42">
        <v>0.85738656800781043</v>
      </c>
      <c r="O365" s="41">
        <v>74665.236309999993</v>
      </c>
      <c r="P365" s="41">
        <v>2989918.9459600002</v>
      </c>
      <c r="Q365" s="41">
        <v>174492</v>
      </c>
      <c r="R365" s="41">
        <v>114752.7</v>
      </c>
      <c r="S365" s="42">
        <v>1.4698232066653121</v>
      </c>
      <c r="T365" s="41">
        <v>60475.028789999997</v>
      </c>
      <c r="U365" s="41">
        <v>2765644.0727900001</v>
      </c>
      <c r="V365" s="41">
        <v>256167.2</v>
      </c>
      <c r="W365" s="41">
        <v>255880.1</v>
      </c>
      <c r="X365" s="42">
        <v>0.94340750884400326</v>
      </c>
      <c r="Y365" s="43">
        <v>2</v>
      </c>
      <c r="Z365" s="43" t="s">
        <v>2091</v>
      </c>
      <c r="AA365" s="43" t="s">
        <v>2090</v>
      </c>
      <c r="AB365" s="43" t="s">
        <v>2090</v>
      </c>
      <c r="AC365" s="43" t="s">
        <v>2090</v>
      </c>
      <c r="AD365" s="43">
        <v>0</v>
      </c>
      <c r="AE365" s="43">
        <v>0</v>
      </c>
      <c r="AF365" s="43">
        <v>0</v>
      </c>
      <c r="AG365" s="43">
        <v>1</v>
      </c>
      <c r="AH365" s="43">
        <v>0</v>
      </c>
      <c r="AI365" s="43">
        <v>0</v>
      </c>
      <c r="AJ365" s="43">
        <v>0</v>
      </c>
      <c r="AK365" s="43">
        <v>0</v>
      </c>
      <c r="AL365" s="43">
        <v>0</v>
      </c>
      <c r="AM365" s="43">
        <v>0</v>
      </c>
      <c r="AN365" s="43">
        <v>0</v>
      </c>
      <c r="AO365" s="43">
        <v>0</v>
      </c>
      <c r="AP365" s="43">
        <v>0</v>
      </c>
      <c r="AQ365" s="43">
        <v>0</v>
      </c>
      <c r="AR365" s="43">
        <v>0</v>
      </c>
      <c r="AS365" s="43">
        <v>0</v>
      </c>
      <c r="AT365" s="43">
        <v>0</v>
      </c>
      <c r="AU365" s="43">
        <v>0</v>
      </c>
      <c r="AV365" s="43">
        <v>0</v>
      </c>
      <c r="AW365" s="43">
        <v>0</v>
      </c>
      <c r="AX365" s="43">
        <v>0</v>
      </c>
      <c r="AY365" s="43">
        <v>0</v>
      </c>
      <c r="AZ365" s="43">
        <v>0</v>
      </c>
      <c r="BA365" s="43">
        <v>0</v>
      </c>
      <c r="BB365" s="43">
        <v>0</v>
      </c>
      <c r="BC365" s="43">
        <v>0</v>
      </c>
      <c r="BD365" s="43">
        <v>0</v>
      </c>
      <c r="BE365" s="43">
        <v>0</v>
      </c>
      <c r="BF365" s="43">
        <v>0</v>
      </c>
      <c r="BG365" s="43">
        <v>0</v>
      </c>
      <c r="BH365" s="43">
        <v>0</v>
      </c>
      <c r="BI365" s="43">
        <v>0</v>
      </c>
      <c r="BJ365" s="43" t="s">
        <v>2090</v>
      </c>
      <c r="BK365" s="43" t="s">
        <v>2090</v>
      </c>
      <c r="BL365" s="43" t="s">
        <v>2090</v>
      </c>
      <c r="BM365" s="43" t="s">
        <v>2090</v>
      </c>
      <c r="BN365" s="43" t="s">
        <v>2090</v>
      </c>
      <c r="BO365" s="43" t="s">
        <v>2090</v>
      </c>
      <c r="BP365" s="43" t="s">
        <v>2090</v>
      </c>
      <c r="BQ365" s="43" t="s">
        <v>2090</v>
      </c>
      <c r="BR365" s="43" t="s">
        <v>2090</v>
      </c>
      <c r="BS365" s="43" t="s">
        <v>2090</v>
      </c>
      <c r="BT365" s="43" t="s">
        <v>2090</v>
      </c>
      <c r="BU365" s="43" t="s">
        <v>2090</v>
      </c>
      <c r="BV365" s="43" t="s">
        <v>2090</v>
      </c>
      <c r="BW365" s="43" t="s">
        <v>2090</v>
      </c>
    </row>
    <row r="366" spans="1:75" ht="206.45" customHeight="1" x14ac:dyDescent="0.25">
      <c r="A366" s="38" t="s">
        <v>1531</v>
      </c>
      <c r="B366" s="38" t="s">
        <v>1942</v>
      </c>
      <c r="C366" s="45" t="s">
        <v>643</v>
      </c>
      <c r="D366" s="46" t="s">
        <v>1532</v>
      </c>
      <c r="E366" s="41">
        <v>59988.977809999997</v>
      </c>
      <c r="F366" s="41">
        <v>2777891.0909899999</v>
      </c>
      <c r="G366" s="41">
        <v>271062.40000000002</v>
      </c>
      <c r="H366" s="41">
        <v>258222</v>
      </c>
      <c r="I366" s="42">
        <v>1.017135915392311</v>
      </c>
      <c r="J366" s="41">
        <v>7221.1182799999997</v>
      </c>
      <c r="K366" s="41">
        <v>839770.56082000001</v>
      </c>
      <c r="L366" s="41">
        <v>182603.1</v>
      </c>
      <c r="M366" s="41">
        <v>222060.6</v>
      </c>
      <c r="N366" s="42">
        <v>0.78961096252998431</v>
      </c>
      <c r="O366" s="41">
        <v>2662.69443</v>
      </c>
      <c r="P366" s="41">
        <v>585253.01483</v>
      </c>
      <c r="Q366" s="41">
        <v>84380.4</v>
      </c>
      <c r="R366" s="41">
        <v>202206.6</v>
      </c>
      <c r="S366" s="42">
        <v>0.39410841158035564</v>
      </c>
      <c r="T366" s="41">
        <v>66120.66029</v>
      </c>
      <c r="U366" s="41">
        <v>2905540.5465899999</v>
      </c>
      <c r="V366" s="41">
        <v>36135.300000000003</v>
      </c>
      <c r="W366" s="41">
        <v>31636.799999999999</v>
      </c>
      <c r="X366" s="42">
        <v>1.0477743668457407</v>
      </c>
      <c r="Y366" s="43">
        <v>3</v>
      </c>
      <c r="Z366" s="43" t="s">
        <v>2090</v>
      </c>
      <c r="AA366" s="43" t="s">
        <v>2090</v>
      </c>
      <c r="AB366" s="43" t="s">
        <v>2090</v>
      </c>
      <c r="AC366" s="43" t="s">
        <v>2090</v>
      </c>
      <c r="AD366" s="43">
        <v>0</v>
      </c>
      <c r="AE366" s="43">
        <v>0</v>
      </c>
      <c r="AF366" s="43">
        <v>0</v>
      </c>
      <c r="AG366" s="43">
        <v>0</v>
      </c>
      <c r="AH366" s="43">
        <v>0</v>
      </c>
      <c r="AI366" s="43">
        <v>1</v>
      </c>
      <c r="AJ366" s="43">
        <v>0</v>
      </c>
      <c r="AK366" s="43">
        <v>1</v>
      </c>
      <c r="AL366" s="43">
        <v>0</v>
      </c>
      <c r="AM366" s="43">
        <v>0</v>
      </c>
      <c r="AN366" s="43">
        <v>0</v>
      </c>
      <c r="AO366" s="43">
        <v>0</v>
      </c>
      <c r="AP366" s="43">
        <v>0</v>
      </c>
      <c r="AQ366" s="43">
        <v>0</v>
      </c>
      <c r="AR366" s="43">
        <v>0</v>
      </c>
      <c r="AS366" s="43">
        <v>1</v>
      </c>
      <c r="AT366" s="43">
        <v>0</v>
      </c>
      <c r="AU366" s="43">
        <v>0</v>
      </c>
      <c r="AV366" s="43">
        <v>0</v>
      </c>
      <c r="AW366" s="43">
        <v>0</v>
      </c>
      <c r="AX366" s="43">
        <v>0</v>
      </c>
      <c r="AY366" s="43">
        <v>0</v>
      </c>
      <c r="AZ366" s="43">
        <v>0</v>
      </c>
      <c r="BA366" s="43">
        <v>0</v>
      </c>
      <c r="BB366" s="43">
        <v>0</v>
      </c>
      <c r="BC366" s="43">
        <v>0</v>
      </c>
      <c r="BD366" s="43">
        <v>0</v>
      </c>
      <c r="BE366" s="43">
        <v>0</v>
      </c>
      <c r="BF366" s="43">
        <v>0</v>
      </c>
      <c r="BG366" s="43">
        <v>0</v>
      </c>
      <c r="BH366" s="43">
        <v>0</v>
      </c>
      <c r="BI366" s="43">
        <v>0</v>
      </c>
      <c r="BJ366" s="43" t="s">
        <v>2090</v>
      </c>
      <c r="BK366" s="43" t="s">
        <v>2091</v>
      </c>
      <c r="BL366" s="43" t="s">
        <v>2090</v>
      </c>
      <c r="BM366" s="43" t="s">
        <v>2090</v>
      </c>
      <c r="BN366" s="43" t="s">
        <v>2090</v>
      </c>
      <c r="BO366" s="43" t="s">
        <v>2090</v>
      </c>
      <c r="BP366" s="43" t="s">
        <v>2090</v>
      </c>
      <c r="BQ366" s="43" t="s">
        <v>2090</v>
      </c>
      <c r="BR366" s="43" t="s">
        <v>2090</v>
      </c>
      <c r="BS366" s="43" t="s">
        <v>2090</v>
      </c>
      <c r="BT366" s="43" t="s">
        <v>2090</v>
      </c>
      <c r="BU366" s="43" t="s">
        <v>2090</v>
      </c>
      <c r="BV366" s="43" t="s">
        <v>2091</v>
      </c>
      <c r="BW366" s="43" t="s">
        <v>2090</v>
      </c>
    </row>
    <row r="367" spans="1:75" ht="160.69999999999999" customHeight="1" x14ac:dyDescent="0.25">
      <c r="A367" s="38" t="s">
        <v>1533</v>
      </c>
      <c r="B367" s="38" t="s">
        <v>1943</v>
      </c>
      <c r="C367" s="39" t="s">
        <v>1534</v>
      </c>
      <c r="D367" s="40" t="s">
        <v>1535</v>
      </c>
      <c r="E367" s="41">
        <v>47491.916239999999</v>
      </c>
      <c r="F367" s="41">
        <v>2532265.9840899999</v>
      </c>
      <c r="G367" s="41">
        <v>23948.3</v>
      </c>
      <c r="H367" s="41">
        <v>25202.9</v>
      </c>
      <c r="I367" s="42">
        <v>0.9075509190263289</v>
      </c>
      <c r="J367" s="41">
        <v>0</v>
      </c>
      <c r="K367" s="41">
        <v>1643.3472200000001</v>
      </c>
      <c r="L367" s="41">
        <v>87638.1</v>
      </c>
      <c r="M367" s="41">
        <v>441828.3</v>
      </c>
      <c r="N367" s="42">
        <v>0.18700651326751216</v>
      </c>
      <c r="O367" s="41">
        <v>3758.2887999999998</v>
      </c>
      <c r="P367" s="41">
        <v>603967.52133000002</v>
      </c>
      <c r="Q367" s="41">
        <v>100847.1</v>
      </c>
      <c r="R367" s="41">
        <v>298566.2</v>
      </c>
      <c r="S367" s="42">
        <v>0.31867188517120165</v>
      </c>
      <c r="T367" s="41">
        <v>3706.46479</v>
      </c>
      <c r="U367" s="41">
        <v>587646.85843000002</v>
      </c>
      <c r="V367" s="41">
        <v>52832.800000000003</v>
      </c>
      <c r="W367" s="41">
        <v>295476.7</v>
      </c>
      <c r="X367" s="42">
        <v>0.1716967600404995</v>
      </c>
      <c r="Y367" s="43">
        <v>3</v>
      </c>
      <c r="Z367" s="43" t="s">
        <v>2090</v>
      </c>
      <c r="AA367" s="43" t="s">
        <v>2091</v>
      </c>
      <c r="AB367" s="43" t="s">
        <v>2090</v>
      </c>
      <c r="AC367" s="43" t="s">
        <v>2090</v>
      </c>
      <c r="AD367" s="43">
        <v>0</v>
      </c>
      <c r="AE367" s="43">
        <v>0</v>
      </c>
      <c r="AF367" s="43">
        <v>0</v>
      </c>
      <c r="AG367" s="43">
        <v>0</v>
      </c>
      <c r="AH367" s="43">
        <v>0</v>
      </c>
      <c r="AI367" s="43">
        <v>0</v>
      </c>
      <c r="AJ367" s="43">
        <v>0</v>
      </c>
      <c r="AK367" s="43">
        <v>0</v>
      </c>
      <c r="AL367" s="43">
        <v>0</v>
      </c>
      <c r="AM367" s="43">
        <v>1</v>
      </c>
      <c r="AN367" s="43">
        <v>0</v>
      </c>
      <c r="AO367" s="43">
        <v>0</v>
      </c>
      <c r="AP367" s="43">
        <v>0</v>
      </c>
      <c r="AQ367" s="43">
        <v>0</v>
      </c>
      <c r="AR367" s="43">
        <v>0</v>
      </c>
      <c r="AS367" s="43">
        <v>0</v>
      </c>
      <c r="AT367" s="43">
        <v>0</v>
      </c>
      <c r="AU367" s="43">
        <v>0</v>
      </c>
      <c r="AV367" s="43">
        <v>0</v>
      </c>
      <c r="AW367" s="43">
        <v>1</v>
      </c>
      <c r="AX367" s="43">
        <v>0</v>
      </c>
      <c r="AY367" s="43">
        <v>0</v>
      </c>
      <c r="AZ367" s="43">
        <v>0</v>
      </c>
      <c r="BA367" s="43">
        <v>0</v>
      </c>
      <c r="BB367" s="43">
        <v>0</v>
      </c>
      <c r="BC367" s="43">
        <v>0</v>
      </c>
      <c r="BD367" s="43">
        <v>0</v>
      </c>
      <c r="BE367" s="43">
        <v>0</v>
      </c>
      <c r="BF367" s="43">
        <v>0</v>
      </c>
      <c r="BG367" s="43">
        <v>0</v>
      </c>
      <c r="BH367" s="43">
        <v>0</v>
      </c>
      <c r="BI367" s="43">
        <v>0</v>
      </c>
      <c r="BJ367" s="43" t="s">
        <v>2090</v>
      </c>
      <c r="BK367" s="43" t="s">
        <v>2090</v>
      </c>
      <c r="BL367" s="43" t="s">
        <v>2090</v>
      </c>
      <c r="BM367" s="43" t="s">
        <v>2090</v>
      </c>
      <c r="BN367" s="43" t="s">
        <v>2090</v>
      </c>
      <c r="BO367" s="43" t="s">
        <v>2090</v>
      </c>
      <c r="BP367" s="43" t="s">
        <v>2090</v>
      </c>
      <c r="BQ367" s="43" t="s">
        <v>2090</v>
      </c>
      <c r="BR367" s="43" t="s">
        <v>2091</v>
      </c>
      <c r="BS367" s="43" t="s">
        <v>2091</v>
      </c>
      <c r="BT367" s="43" t="s">
        <v>2090</v>
      </c>
      <c r="BU367" s="43" t="s">
        <v>2090</v>
      </c>
      <c r="BV367" s="43" t="s">
        <v>2090</v>
      </c>
      <c r="BW367" s="43" t="s">
        <v>2090</v>
      </c>
    </row>
    <row r="368" spans="1:75" ht="207.2" customHeight="1" x14ac:dyDescent="0.25">
      <c r="A368" s="38" t="s">
        <v>1536</v>
      </c>
      <c r="B368" s="38" t="s">
        <v>1944</v>
      </c>
      <c r="C368" s="39" t="s">
        <v>1537</v>
      </c>
      <c r="D368" s="40" t="s">
        <v>1538</v>
      </c>
      <c r="E368" s="41">
        <v>51660.664049999999</v>
      </c>
      <c r="F368" s="41">
        <v>2590869.2222500001</v>
      </c>
      <c r="G368" s="41">
        <v>360752.7</v>
      </c>
      <c r="H368" s="41">
        <v>324587.09999999998</v>
      </c>
      <c r="I368" s="42">
        <v>1.0634346065134141</v>
      </c>
      <c r="J368" s="41">
        <v>14000.07022</v>
      </c>
      <c r="K368" s="41">
        <v>1345704.5968299999</v>
      </c>
      <c r="L368" s="41">
        <v>174111.8</v>
      </c>
      <c r="M368" s="41">
        <v>312648</v>
      </c>
      <c r="N368" s="42">
        <v>0.521069521176872</v>
      </c>
      <c r="O368" s="41">
        <v>47776.563529999999</v>
      </c>
      <c r="P368" s="41">
        <v>2564859.0182599998</v>
      </c>
      <c r="Q368" s="41">
        <v>330004.7</v>
      </c>
      <c r="R368" s="41">
        <v>291348.3</v>
      </c>
      <c r="S368" s="42">
        <v>1.0601040472346366</v>
      </c>
      <c r="T368" s="41">
        <v>16942.840059999999</v>
      </c>
      <c r="U368" s="41">
        <v>1391034.07944</v>
      </c>
      <c r="V368" s="41">
        <v>24352.9</v>
      </c>
      <c r="W368" s="41">
        <v>97458.5</v>
      </c>
      <c r="X368" s="42">
        <v>0.23980753311258279</v>
      </c>
      <c r="Y368" s="43">
        <v>2</v>
      </c>
      <c r="Z368" s="43" t="s">
        <v>2090</v>
      </c>
      <c r="AA368" s="43" t="s">
        <v>2090</v>
      </c>
      <c r="AB368" s="43" t="s">
        <v>2090</v>
      </c>
      <c r="AC368" s="43" t="s">
        <v>2090</v>
      </c>
      <c r="AD368" s="43">
        <v>0</v>
      </c>
      <c r="AE368" s="43">
        <v>1</v>
      </c>
      <c r="AF368" s="43">
        <v>0</v>
      </c>
      <c r="AG368" s="43">
        <v>0</v>
      </c>
      <c r="AH368" s="43">
        <v>0</v>
      </c>
      <c r="AI368" s="43">
        <v>0</v>
      </c>
      <c r="AJ368" s="43">
        <v>0</v>
      </c>
      <c r="AK368" s="43">
        <v>0</v>
      </c>
      <c r="AL368" s="43">
        <v>0</v>
      </c>
      <c r="AM368" s="43">
        <v>0</v>
      </c>
      <c r="AN368" s="43">
        <v>0</v>
      </c>
      <c r="AO368" s="43">
        <v>0</v>
      </c>
      <c r="AP368" s="43">
        <v>0</v>
      </c>
      <c r="AQ368" s="43">
        <v>0</v>
      </c>
      <c r="AR368" s="43">
        <v>0</v>
      </c>
      <c r="AS368" s="43">
        <v>0</v>
      </c>
      <c r="AT368" s="43">
        <v>0</v>
      </c>
      <c r="AU368" s="43">
        <v>0</v>
      </c>
      <c r="AV368" s="43">
        <v>0</v>
      </c>
      <c r="AW368" s="43">
        <v>0</v>
      </c>
      <c r="AX368" s="43">
        <v>0</v>
      </c>
      <c r="AY368" s="43">
        <v>0</v>
      </c>
      <c r="AZ368" s="43">
        <v>0</v>
      </c>
      <c r="BA368" s="43">
        <v>0</v>
      </c>
      <c r="BB368" s="43">
        <v>0</v>
      </c>
      <c r="BC368" s="43">
        <v>0</v>
      </c>
      <c r="BD368" s="43">
        <v>1</v>
      </c>
      <c r="BE368" s="43">
        <v>0</v>
      </c>
      <c r="BF368" s="43">
        <v>0</v>
      </c>
      <c r="BG368" s="43">
        <v>0</v>
      </c>
      <c r="BH368" s="43">
        <v>0</v>
      </c>
      <c r="BI368" s="43">
        <v>0</v>
      </c>
      <c r="BJ368" s="43" t="s">
        <v>2090</v>
      </c>
      <c r="BK368" s="43" t="s">
        <v>2090</v>
      </c>
      <c r="BL368" s="43" t="s">
        <v>2090</v>
      </c>
      <c r="BM368" s="43" t="s">
        <v>2090</v>
      </c>
      <c r="BN368" s="43" t="s">
        <v>2090</v>
      </c>
      <c r="BO368" s="43" t="s">
        <v>2090</v>
      </c>
      <c r="BP368" s="43" t="s">
        <v>2090</v>
      </c>
      <c r="BQ368" s="43" t="s">
        <v>2090</v>
      </c>
      <c r="BR368" s="43" t="s">
        <v>2090</v>
      </c>
      <c r="BS368" s="43" t="s">
        <v>2090</v>
      </c>
      <c r="BT368" s="43" t="s">
        <v>2090</v>
      </c>
      <c r="BU368" s="43" t="s">
        <v>2090</v>
      </c>
      <c r="BV368" s="43" t="s">
        <v>2090</v>
      </c>
      <c r="BW368" s="43" t="s">
        <v>2090</v>
      </c>
    </row>
    <row r="369" spans="1:75" ht="265.7" customHeight="1" x14ac:dyDescent="0.25">
      <c r="A369" s="38" t="s">
        <v>1539</v>
      </c>
      <c r="B369" s="38" t="s">
        <v>1945</v>
      </c>
      <c r="C369" s="45" t="s">
        <v>706</v>
      </c>
      <c r="D369" s="46" t="s">
        <v>1540</v>
      </c>
      <c r="E369" s="41">
        <v>127427.7778</v>
      </c>
      <c r="F369" s="41">
        <v>2564651.1120600002</v>
      </c>
      <c r="G369" s="41">
        <v>294424.7</v>
      </c>
      <c r="H369" s="41">
        <v>264302.09999999998</v>
      </c>
      <c r="I369" s="42">
        <v>1.0781266690507485</v>
      </c>
      <c r="J369" s="41">
        <v>119455.12247</v>
      </c>
      <c r="K369" s="41">
        <v>1632723.5888400001</v>
      </c>
      <c r="L369" s="41">
        <v>273710.59999999998</v>
      </c>
      <c r="M369" s="41">
        <v>370318.5</v>
      </c>
      <c r="N369" s="42">
        <v>0.69703786664606948</v>
      </c>
      <c r="O369" s="41">
        <v>67264.660839999997</v>
      </c>
      <c r="P369" s="41">
        <v>2669232.7961300001</v>
      </c>
      <c r="Q369" s="41">
        <v>145294.20000000001</v>
      </c>
      <c r="R369" s="41">
        <v>121905.9</v>
      </c>
      <c r="S369" s="42">
        <v>1.1518706497943316</v>
      </c>
      <c r="T369" s="41">
        <v>187387.67572999999</v>
      </c>
      <c r="U369" s="41">
        <v>2834369.15839</v>
      </c>
      <c r="V369" s="41">
        <v>114211.5</v>
      </c>
      <c r="W369" s="41">
        <v>87291.7</v>
      </c>
      <c r="X369" s="42">
        <v>1.1420230910522173</v>
      </c>
      <c r="Y369" s="43">
        <v>2</v>
      </c>
      <c r="Z369" s="43" t="s">
        <v>2090</v>
      </c>
      <c r="AA369" s="43" t="s">
        <v>2090</v>
      </c>
      <c r="AB369" s="43" t="s">
        <v>2090</v>
      </c>
      <c r="AC369" s="43" t="s">
        <v>2090</v>
      </c>
      <c r="AD369" s="43">
        <v>0</v>
      </c>
      <c r="AE369" s="43">
        <v>0</v>
      </c>
      <c r="AF369" s="43">
        <v>0</v>
      </c>
      <c r="AG369" s="43">
        <v>0</v>
      </c>
      <c r="AH369" s="43">
        <v>0</v>
      </c>
      <c r="AI369" s="43">
        <v>1</v>
      </c>
      <c r="AJ369" s="43">
        <v>0</v>
      </c>
      <c r="AK369" s="43">
        <v>0</v>
      </c>
      <c r="AL369" s="43">
        <v>1</v>
      </c>
      <c r="AM369" s="43">
        <v>0</v>
      </c>
      <c r="AN369" s="43">
        <v>0</v>
      </c>
      <c r="AO369" s="43">
        <v>0</v>
      </c>
      <c r="AP369" s="43">
        <v>0</v>
      </c>
      <c r="AQ369" s="43">
        <v>0</v>
      </c>
      <c r="AR369" s="43">
        <v>0</v>
      </c>
      <c r="AS369" s="43">
        <v>0</v>
      </c>
      <c r="AT369" s="43">
        <v>0</v>
      </c>
      <c r="AU369" s="43">
        <v>0</v>
      </c>
      <c r="AV369" s="43">
        <v>0</v>
      </c>
      <c r="AW369" s="43">
        <v>0</v>
      </c>
      <c r="AX369" s="43">
        <v>0</v>
      </c>
      <c r="AY369" s="43">
        <v>0</v>
      </c>
      <c r="AZ369" s="43">
        <v>0</v>
      </c>
      <c r="BA369" s="43">
        <v>0</v>
      </c>
      <c r="BB369" s="43">
        <v>0</v>
      </c>
      <c r="BC369" s="43">
        <v>0</v>
      </c>
      <c r="BD369" s="43">
        <v>0</v>
      </c>
      <c r="BE369" s="43">
        <v>0</v>
      </c>
      <c r="BF369" s="43">
        <v>0</v>
      </c>
      <c r="BG369" s="43">
        <v>0</v>
      </c>
      <c r="BH369" s="43">
        <v>0</v>
      </c>
      <c r="BI369" s="43">
        <v>0</v>
      </c>
      <c r="BJ369" s="43" t="s">
        <v>2090</v>
      </c>
      <c r="BK369" s="43" t="s">
        <v>2090</v>
      </c>
      <c r="BL369" s="43" t="s">
        <v>2090</v>
      </c>
      <c r="BM369" s="43" t="s">
        <v>2090</v>
      </c>
      <c r="BN369" s="43" t="s">
        <v>2090</v>
      </c>
      <c r="BO369" s="43" t="s">
        <v>2090</v>
      </c>
      <c r="BP369" s="43" t="s">
        <v>2090</v>
      </c>
      <c r="BQ369" s="43" t="s">
        <v>2090</v>
      </c>
      <c r="BR369" s="43" t="s">
        <v>2090</v>
      </c>
      <c r="BS369" s="43" t="s">
        <v>2090</v>
      </c>
      <c r="BT369" s="43" t="s">
        <v>2090</v>
      </c>
      <c r="BU369" s="43" t="s">
        <v>2090</v>
      </c>
      <c r="BV369" s="43" t="s">
        <v>2090</v>
      </c>
      <c r="BW369" s="43" t="s">
        <v>2091</v>
      </c>
    </row>
    <row r="370" spans="1:75" ht="117.95" customHeight="1" x14ac:dyDescent="0.25">
      <c r="A370" s="38" t="s">
        <v>1541</v>
      </c>
      <c r="B370" s="38" t="s">
        <v>1946</v>
      </c>
      <c r="C370" s="39" t="s">
        <v>1542</v>
      </c>
      <c r="D370" s="40" t="s">
        <v>1543</v>
      </c>
      <c r="E370" s="41">
        <v>1713.1314400000001</v>
      </c>
      <c r="F370" s="41">
        <v>370567.03123000002</v>
      </c>
      <c r="G370" s="41">
        <v>128275.6</v>
      </c>
      <c r="H370" s="41">
        <v>450819.2</v>
      </c>
      <c r="I370" s="42">
        <v>0.2604902165050017</v>
      </c>
      <c r="J370" s="41">
        <v>0</v>
      </c>
      <c r="K370" s="41">
        <v>0</v>
      </c>
      <c r="L370" s="41">
        <v>45291.4</v>
      </c>
      <c r="M370" s="41">
        <v>117722.2</v>
      </c>
      <c r="N370" s="42">
        <v>0.37047481137108446</v>
      </c>
      <c r="O370" s="41">
        <v>24939.567490000001</v>
      </c>
      <c r="P370" s="41">
        <v>2234917.52709</v>
      </c>
      <c r="Q370" s="41">
        <v>7813.7</v>
      </c>
      <c r="R370" s="41">
        <v>8226.4</v>
      </c>
      <c r="S370" s="42">
        <v>0.9173811379579111</v>
      </c>
      <c r="T370" s="41">
        <v>3564.2265499999999</v>
      </c>
      <c r="U370" s="41">
        <v>0</v>
      </c>
      <c r="V370" s="41">
        <v>4330.1000000000004</v>
      </c>
      <c r="W370" s="41">
        <v>16506</v>
      </c>
      <c r="X370" s="42">
        <v>0.2578774700541695</v>
      </c>
      <c r="Y370" s="43">
        <v>2</v>
      </c>
      <c r="Z370" s="43" t="s">
        <v>2090</v>
      </c>
      <c r="AA370" s="43" t="s">
        <v>2091</v>
      </c>
      <c r="AB370" s="43" t="s">
        <v>2090</v>
      </c>
      <c r="AC370" s="43" t="s">
        <v>2090</v>
      </c>
      <c r="AD370" s="43">
        <v>0</v>
      </c>
      <c r="AE370" s="43">
        <v>1</v>
      </c>
      <c r="AF370" s="43">
        <v>0</v>
      </c>
      <c r="AG370" s="43">
        <v>0</v>
      </c>
      <c r="AH370" s="43">
        <v>0</v>
      </c>
      <c r="AI370" s="43">
        <v>0</v>
      </c>
      <c r="AJ370" s="43">
        <v>0</v>
      </c>
      <c r="AK370" s="43">
        <v>0</v>
      </c>
      <c r="AL370" s="43">
        <v>0</v>
      </c>
      <c r="AM370" s="43">
        <v>0</v>
      </c>
      <c r="AN370" s="43">
        <v>0</v>
      </c>
      <c r="AO370" s="43">
        <v>0</v>
      </c>
      <c r="AP370" s="43">
        <v>0</v>
      </c>
      <c r="AQ370" s="43">
        <v>0</v>
      </c>
      <c r="AR370" s="43">
        <v>0</v>
      </c>
      <c r="AS370" s="43">
        <v>0</v>
      </c>
      <c r="AT370" s="43">
        <v>0</v>
      </c>
      <c r="AU370" s="43">
        <v>0</v>
      </c>
      <c r="AV370" s="43">
        <v>0</v>
      </c>
      <c r="AW370" s="43">
        <v>0</v>
      </c>
      <c r="AX370" s="43">
        <v>0</v>
      </c>
      <c r="AY370" s="43">
        <v>0</v>
      </c>
      <c r="AZ370" s="43">
        <v>0</v>
      </c>
      <c r="BA370" s="43">
        <v>0</v>
      </c>
      <c r="BB370" s="43">
        <v>0</v>
      </c>
      <c r="BC370" s="43">
        <v>0</v>
      </c>
      <c r="BD370" s="43">
        <v>0</v>
      </c>
      <c r="BE370" s="43">
        <v>0</v>
      </c>
      <c r="BF370" s="43">
        <v>0</v>
      </c>
      <c r="BG370" s="43">
        <v>0</v>
      </c>
      <c r="BH370" s="43">
        <v>0</v>
      </c>
      <c r="BI370" s="43">
        <v>0</v>
      </c>
      <c r="BJ370" s="43" t="s">
        <v>2090</v>
      </c>
      <c r="BK370" s="43" t="s">
        <v>2090</v>
      </c>
      <c r="BL370" s="43" t="s">
        <v>2090</v>
      </c>
      <c r="BM370" s="43" t="s">
        <v>2090</v>
      </c>
      <c r="BN370" s="43" t="s">
        <v>2090</v>
      </c>
      <c r="BO370" s="43" t="s">
        <v>2090</v>
      </c>
      <c r="BP370" s="43" t="s">
        <v>2090</v>
      </c>
      <c r="BQ370" s="43" t="s">
        <v>2090</v>
      </c>
      <c r="BR370" s="43" t="s">
        <v>2091</v>
      </c>
      <c r="BS370" s="43" t="s">
        <v>2091</v>
      </c>
      <c r="BT370" s="43" t="s">
        <v>2090</v>
      </c>
      <c r="BU370" s="43" t="s">
        <v>2090</v>
      </c>
      <c r="BV370" s="43" t="s">
        <v>2090</v>
      </c>
      <c r="BW370" s="43" t="s">
        <v>2090</v>
      </c>
    </row>
    <row r="371" spans="1:75" ht="180.95" customHeight="1" x14ac:dyDescent="0.25">
      <c r="A371" s="38" t="s">
        <v>1544</v>
      </c>
      <c r="B371" s="38" t="s">
        <v>1947</v>
      </c>
      <c r="C371" s="45" t="s">
        <v>505</v>
      </c>
      <c r="D371" s="46" t="s">
        <v>1545</v>
      </c>
      <c r="E371" s="41">
        <v>53915.7327</v>
      </c>
      <c r="F371" s="41">
        <v>2660650.9788099998</v>
      </c>
      <c r="G371" s="41">
        <v>324669.2</v>
      </c>
      <c r="H371" s="41">
        <v>301216.5</v>
      </c>
      <c r="I371" s="42">
        <v>1.0418190959292701</v>
      </c>
      <c r="J371" s="41">
        <v>82825.878469999996</v>
      </c>
      <c r="K371" s="41">
        <v>3077727.7702299999</v>
      </c>
      <c r="L371" s="41">
        <v>180365.4</v>
      </c>
      <c r="M371" s="41">
        <v>95180.3</v>
      </c>
      <c r="N371" s="42">
        <v>1.7660740645658173</v>
      </c>
      <c r="O371" s="41">
        <v>64438.673170000002</v>
      </c>
      <c r="P371" s="41">
        <v>2792368.15839</v>
      </c>
      <c r="Q371" s="41">
        <v>400965.5</v>
      </c>
      <c r="R371" s="41">
        <v>291362.09999999998</v>
      </c>
      <c r="S371" s="42">
        <v>1.2724553949390112</v>
      </c>
      <c r="T371" s="41">
        <v>107282.32466</v>
      </c>
      <c r="U371" s="41">
        <v>3472125.1485799998</v>
      </c>
      <c r="V371" s="41">
        <v>88121.2</v>
      </c>
      <c r="W371" s="41">
        <v>164226.9</v>
      </c>
      <c r="X371" s="42">
        <v>0.49944929068640409</v>
      </c>
      <c r="Y371" s="43">
        <v>2</v>
      </c>
      <c r="Z371" s="43" t="s">
        <v>2090</v>
      </c>
      <c r="AA371" s="43" t="s">
        <v>2091</v>
      </c>
      <c r="AB371" s="43" t="s">
        <v>2090</v>
      </c>
      <c r="AC371" s="43" t="s">
        <v>2090</v>
      </c>
      <c r="AD371" s="43">
        <v>0</v>
      </c>
      <c r="AE371" s="43">
        <v>1</v>
      </c>
      <c r="AF371" s="43">
        <v>0</v>
      </c>
      <c r="AG371" s="43">
        <v>0</v>
      </c>
      <c r="AH371" s="43">
        <v>0</v>
      </c>
      <c r="AI371" s="43">
        <v>0</v>
      </c>
      <c r="AJ371" s="43">
        <v>0</v>
      </c>
      <c r="AK371" s="43">
        <v>0</v>
      </c>
      <c r="AL371" s="43">
        <v>0</v>
      </c>
      <c r="AM371" s="43">
        <v>0</v>
      </c>
      <c r="AN371" s="43">
        <v>0</v>
      </c>
      <c r="AO371" s="43">
        <v>0</v>
      </c>
      <c r="AP371" s="43">
        <v>0</v>
      </c>
      <c r="AQ371" s="43">
        <v>0</v>
      </c>
      <c r="AR371" s="43">
        <v>0</v>
      </c>
      <c r="AS371" s="43">
        <v>0</v>
      </c>
      <c r="AT371" s="43">
        <v>0</v>
      </c>
      <c r="AU371" s="43">
        <v>0</v>
      </c>
      <c r="AV371" s="43">
        <v>0</v>
      </c>
      <c r="AW371" s="43">
        <v>0</v>
      </c>
      <c r="AX371" s="43">
        <v>0</v>
      </c>
      <c r="AY371" s="43">
        <v>0</v>
      </c>
      <c r="AZ371" s="43">
        <v>0</v>
      </c>
      <c r="BA371" s="43">
        <v>0</v>
      </c>
      <c r="BB371" s="43">
        <v>0</v>
      </c>
      <c r="BC371" s="43">
        <v>0</v>
      </c>
      <c r="BD371" s="43">
        <v>0</v>
      </c>
      <c r="BE371" s="43">
        <v>0</v>
      </c>
      <c r="BF371" s="43">
        <v>0</v>
      </c>
      <c r="BG371" s="43">
        <v>0</v>
      </c>
      <c r="BH371" s="43">
        <v>0</v>
      </c>
      <c r="BI371" s="43">
        <v>0</v>
      </c>
      <c r="BJ371" s="43" t="s">
        <v>2090</v>
      </c>
      <c r="BK371" s="43" t="s">
        <v>2090</v>
      </c>
      <c r="BL371" s="43" t="s">
        <v>2090</v>
      </c>
      <c r="BM371" s="43" t="s">
        <v>2090</v>
      </c>
      <c r="BN371" s="43" t="s">
        <v>2090</v>
      </c>
      <c r="BO371" s="43" t="s">
        <v>2090</v>
      </c>
      <c r="BP371" s="43" t="s">
        <v>2090</v>
      </c>
      <c r="BQ371" s="43" t="s">
        <v>2090</v>
      </c>
      <c r="BR371" s="43" t="s">
        <v>2091</v>
      </c>
      <c r="BS371" s="43" t="s">
        <v>2090</v>
      </c>
      <c r="BT371" s="43" t="s">
        <v>2091</v>
      </c>
      <c r="BU371" s="43" t="s">
        <v>2090</v>
      </c>
      <c r="BV371" s="43" t="s">
        <v>2090</v>
      </c>
      <c r="BW371" s="43" t="s">
        <v>2090</v>
      </c>
    </row>
    <row r="372" spans="1:75" ht="117.95" customHeight="1" x14ac:dyDescent="0.25">
      <c r="A372" s="38" t="s">
        <v>1546</v>
      </c>
      <c r="B372" s="38" t="s">
        <v>1948</v>
      </c>
      <c r="C372" s="39" t="s">
        <v>1547</v>
      </c>
      <c r="D372" s="40" t="s">
        <v>1548</v>
      </c>
      <c r="E372" s="41">
        <v>43308.77738</v>
      </c>
      <c r="F372" s="41">
        <v>2469815.4893499999</v>
      </c>
      <c r="G372" s="41">
        <v>175543.7</v>
      </c>
      <c r="H372" s="41">
        <v>202003.9</v>
      </c>
      <c r="I372" s="42">
        <v>0.84294637330482247</v>
      </c>
      <c r="J372" s="41">
        <v>0</v>
      </c>
      <c r="K372" s="41">
        <v>187540.8021</v>
      </c>
      <c r="L372" s="41">
        <v>53626.1</v>
      </c>
      <c r="M372" s="41">
        <v>297346.7</v>
      </c>
      <c r="N372" s="42">
        <v>0.16991243503407552</v>
      </c>
      <c r="O372" s="41">
        <v>9850.2962200000002</v>
      </c>
      <c r="P372" s="41">
        <v>1197548.0958700001</v>
      </c>
      <c r="Q372" s="41">
        <v>43776.4</v>
      </c>
      <c r="R372" s="41">
        <v>119368.3</v>
      </c>
      <c r="S372" s="42">
        <v>0.3487980147857106</v>
      </c>
      <c r="T372" s="41">
        <v>3583.0417200000002</v>
      </c>
      <c r="U372" s="41">
        <v>587829.95086999994</v>
      </c>
      <c r="V372" s="41">
        <v>19929.7</v>
      </c>
      <c r="W372" s="41">
        <v>235372.79999999999</v>
      </c>
      <c r="X372" s="42">
        <v>8.4376551622138418E-2</v>
      </c>
      <c r="Y372" s="43">
        <v>2</v>
      </c>
      <c r="Z372" s="43" t="s">
        <v>2090</v>
      </c>
      <c r="AA372" s="43" t="s">
        <v>2091</v>
      </c>
      <c r="AB372" s="43" t="s">
        <v>2090</v>
      </c>
      <c r="AC372" s="43" t="s">
        <v>2090</v>
      </c>
      <c r="AD372" s="43">
        <v>0</v>
      </c>
      <c r="AE372" s="43">
        <v>0</v>
      </c>
      <c r="AF372" s="43">
        <v>0</v>
      </c>
      <c r="AG372" s="43">
        <v>0</v>
      </c>
      <c r="AH372" s="43">
        <v>0</v>
      </c>
      <c r="AI372" s="43">
        <v>0</v>
      </c>
      <c r="AJ372" s="43">
        <v>0</v>
      </c>
      <c r="AK372" s="43">
        <v>0</v>
      </c>
      <c r="AL372" s="43">
        <v>0</v>
      </c>
      <c r="AM372" s="43">
        <v>0</v>
      </c>
      <c r="AN372" s="43">
        <v>0</v>
      </c>
      <c r="AO372" s="43">
        <v>0</v>
      </c>
      <c r="AP372" s="43">
        <v>0</v>
      </c>
      <c r="AQ372" s="43">
        <v>0</v>
      </c>
      <c r="AR372" s="43">
        <v>1</v>
      </c>
      <c r="AS372" s="43">
        <v>0</v>
      </c>
      <c r="AT372" s="43">
        <v>0</v>
      </c>
      <c r="AU372" s="43">
        <v>0</v>
      </c>
      <c r="AV372" s="43">
        <v>0</v>
      </c>
      <c r="AW372" s="43">
        <v>0</v>
      </c>
      <c r="AX372" s="43">
        <v>0</v>
      </c>
      <c r="AY372" s="43">
        <v>0</v>
      </c>
      <c r="AZ372" s="43">
        <v>0</v>
      </c>
      <c r="BA372" s="43">
        <v>0</v>
      </c>
      <c r="BB372" s="43">
        <v>0</v>
      </c>
      <c r="BC372" s="43">
        <v>0</v>
      </c>
      <c r="BD372" s="43">
        <v>0</v>
      </c>
      <c r="BE372" s="43">
        <v>0</v>
      </c>
      <c r="BF372" s="43">
        <v>0</v>
      </c>
      <c r="BG372" s="43">
        <v>0</v>
      </c>
      <c r="BH372" s="43">
        <v>0</v>
      </c>
      <c r="BI372" s="43">
        <v>0</v>
      </c>
      <c r="BJ372" s="43" t="s">
        <v>2090</v>
      </c>
      <c r="BK372" s="43" t="s">
        <v>2090</v>
      </c>
      <c r="BL372" s="43" t="s">
        <v>2090</v>
      </c>
      <c r="BM372" s="43" t="s">
        <v>2090</v>
      </c>
      <c r="BN372" s="43" t="s">
        <v>2090</v>
      </c>
      <c r="BO372" s="43" t="s">
        <v>2090</v>
      </c>
      <c r="BP372" s="43" t="s">
        <v>2090</v>
      </c>
      <c r="BQ372" s="43" t="s">
        <v>2090</v>
      </c>
      <c r="BR372" s="43" t="s">
        <v>2091</v>
      </c>
      <c r="BS372" s="43" t="s">
        <v>2091</v>
      </c>
      <c r="BT372" s="43" t="s">
        <v>2090</v>
      </c>
      <c r="BU372" s="43" t="s">
        <v>2090</v>
      </c>
      <c r="BV372" s="43" t="s">
        <v>2090</v>
      </c>
      <c r="BW372" s="43" t="s">
        <v>2090</v>
      </c>
    </row>
    <row r="373" spans="1:75" ht="143.44999999999999" customHeight="1" x14ac:dyDescent="0.25">
      <c r="A373" s="38" t="s">
        <v>1549</v>
      </c>
      <c r="B373" s="38" t="s">
        <v>1949</v>
      </c>
      <c r="C373" s="39" t="s">
        <v>1550</v>
      </c>
      <c r="D373" s="40" t="s">
        <v>1551</v>
      </c>
      <c r="E373" s="41">
        <v>54729.231489999998</v>
      </c>
      <c r="F373" s="41">
        <v>2695062.20505</v>
      </c>
      <c r="G373" s="41">
        <v>139073.1</v>
      </c>
      <c r="H373" s="41">
        <v>134587.29999999999</v>
      </c>
      <c r="I373" s="42">
        <v>0.98940608568226884</v>
      </c>
      <c r="J373" s="41">
        <v>0</v>
      </c>
      <c r="K373" s="41">
        <v>1150.39309</v>
      </c>
      <c r="L373" s="41">
        <v>25010.799999999999</v>
      </c>
      <c r="M373" s="41">
        <v>415268.5</v>
      </c>
      <c r="N373" s="42">
        <v>5.6405336952134712E-2</v>
      </c>
      <c r="O373" s="41">
        <v>0</v>
      </c>
      <c r="P373" s="41">
        <v>188490.09109999999</v>
      </c>
      <c r="Q373" s="41">
        <v>24036.3</v>
      </c>
      <c r="R373" s="41">
        <v>295446.09999999998</v>
      </c>
      <c r="S373" s="42">
        <v>7.8407710035617015E-2</v>
      </c>
      <c r="T373" s="41">
        <v>2950.72181</v>
      </c>
      <c r="U373" s="41">
        <v>538104.29524000001</v>
      </c>
      <c r="V373" s="41">
        <v>25145.7</v>
      </c>
      <c r="W373" s="41">
        <v>295470.3</v>
      </c>
      <c r="X373" s="42">
        <v>8.2853637425524596E-2</v>
      </c>
      <c r="Y373" s="43">
        <v>2</v>
      </c>
      <c r="Z373" s="43" t="s">
        <v>2090</v>
      </c>
      <c r="AA373" s="43" t="s">
        <v>2090</v>
      </c>
      <c r="AB373" s="43" t="s">
        <v>2090</v>
      </c>
      <c r="AC373" s="43" t="s">
        <v>2090</v>
      </c>
      <c r="AD373" s="43">
        <v>0</v>
      </c>
      <c r="AE373" s="43">
        <v>0</v>
      </c>
      <c r="AF373" s="43">
        <v>0</v>
      </c>
      <c r="AG373" s="43">
        <v>0</v>
      </c>
      <c r="AH373" s="43">
        <v>0</v>
      </c>
      <c r="AI373" s="43">
        <v>0</v>
      </c>
      <c r="AJ373" s="43">
        <v>0</v>
      </c>
      <c r="AK373" s="43">
        <v>0</v>
      </c>
      <c r="AL373" s="43">
        <v>0</v>
      </c>
      <c r="AM373" s="43">
        <v>0</v>
      </c>
      <c r="AN373" s="43">
        <v>0</v>
      </c>
      <c r="AO373" s="43">
        <v>0</v>
      </c>
      <c r="AP373" s="43">
        <v>0</v>
      </c>
      <c r="AQ373" s="43">
        <v>0</v>
      </c>
      <c r="AR373" s="43">
        <v>0</v>
      </c>
      <c r="AS373" s="43">
        <v>0</v>
      </c>
      <c r="AT373" s="43">
        <v>0</v>
      </c>
      <c r="AU373" s="43">
        <v>0</v>
      </c>
      <c r="AV373" s="43">
        <v>0</v>
      </c>
      <c r="AW373" s="43">
        <v>2</v>
      </c>
      <c r="AX373" s="43">
        <v>0</v>
      </c>
      <c r="AY373" s="43">
        <v>0</v>
      </c>
      <c r="AZ373" s="43">
        <v>0</v>
      </c>
      <c r="BA373" s="43">
        <v>0</v>
      </c>
      <c r="BB373" s="43">
        <v>0</v>
      </c>
      <c r="BC373" s="43">
        <v>0</v>
      </c>
      <c r="BD373" s="43">
        <v>0</v>
      </c>
      <c r="BE373" s="43">
        <v>0</v>
      </c>
      <c r="BF373" s="43">
        <v>0</v>
      </c>
      <c r="BG373" s="43">
        <v>0</v>
      </c>
      <c r="BH373" s="43">
        <v>0</v>
      </c>
      <c r="BI373" s="43">
        <v>0</v>
      </c>
      <c r="BJ373" s="43" t="s">
        <v>2090</v>
      </c>
      <c r="BK373" s="43" t="s">
        <v>2090</v>
      </c>
      <c r="BL373" s="43" t="s">
        <v>2090</v>
      </c>
      <c r="BM373" s="43" t="s">
        <v>2090</v>
      </c>
      <c r="BN373" s="43" t="s">
        <v>2090</v>
      </c>
      <c r="BO373" s="43" t="s">
        <v>2090</v>
      </c>
      <c r="BP373" s="43" t="s">
        <v>2090</v>
      </c>
      <c r="BQ373" s="43" t="s">
        <v>2090</v>
      </c>
      <c r="BR373" s="43" t="s">
        <v>2090</v>
      </c>
      <c r="BS373" s="43" t="s">
        <v>2090</v>
      </c>
      <c r="BT373" s="43" t="s">
        <v>2090</v>
      </c>
      <c r="BU373" s="43" t="s">
        <v>2090</v>
      </c>
      <c r="BV373" s="43" t="s">
        <v>2090</v>
      </c>
      <c r="BW373" s="43" t="s">
        <v>2090</v>
      </c>
    </row>
    <row r="374" spans="1:75" ht="105.95" customHeight="1" x14ac:dyDescent="0.25">
      <c r="A374" s="38" t="s">
        <v>1552</v>
      </c>
      <c r="B374" s="38" t="s">
        <v>1950</v>
      </c>
      <c r="C374" s="39" t="s">
        <v>1553</v>
      </c>
      <c r="D374" s="40" t="s">
        <v>1554</v>
      </c>
      <c r="E374" s="41">
        <v>54422.130290000001</v>
      </c>
      <c r="F374" s="41">
        <v>2634042.2586699999</v>
      </c>
      <c r="G374" s="41">
        <v>189319.2</v>
      </c>
      <c r="H374" s="41">
        <v>159438.39999999999</v>
      </c>
      <c r="I374" s="42">
        <v>1.1524100368353114</v>
      </c>
      <c r="J374" s="41">
        <v>0</v>
      </c>
      <c r="K374" s="41">
        <v>0</v>
      </c>
      <c r="L374" s="41">
        <v>15519.4</v>
      </c>
      <c r="M374" s="41">
        <v>193746.4</v>
      </c>
      <c r="N374" s="42">
        <v>7.8065302113165674E-2</v>
      </c>
      <c r="O374" s="41">
        <v>0</v>
      </c>
      <c r="P374" s="41">
        <v>43284.097829999999</v>
      </c>
      <c r="Q374" s="41">
        <v>13943.8</v>
      </c>
      <c r="R374" s="41">
        <v>254000.1</v>
      </c>
      <c r="S374" s="42">
        <v>5.4341943419434192E-2</v>
      </c>
      <c r="T374" s="41">
        <v>3402.9045999999998</v>
      </c>
      <c r="U374" s="41">
        <v>564116.88973000005</v>
      </c>
      <c r="V374" s="41">
        <v>18855.7</v>
      </c>
      <c r="W374" s="41">
        <v>78828.600000000006</v>
      </c>
      <c r="X374" s="42">
        <v>0.23063103889167624</v>
      </c>
      <c r="Y374" s="43">
        <v>2</v>
      </c>
      <c r="Z374" s="43" t="s">
        <v>2090</v>
      </c>
      <c r="AA374" s="43" t="s">
        <v>2090</v>
      </c>
      <c r="AB374" s="43" t="s">
        <v>2090</v>
      </c>
      <c r="AC374" s="43" t="s">
        <v>2090</v>
      </c>
      <c r="AD374" s="43">
        <v>0</v>
      </c>
      <c r="AE374" s="43">
        <v>0</v>
      </c>
      <c r="AF374" s="43">
        <v>0</v>
      </c>
      <c r="AG374" s="43">
        <v>0</v>
      </c>
      <c r="AH374" s="43">
        <v>0</v>
      </c>
      <c r="AI374" s="43">
        <v>0</v>
      </c>
      <c r="AJ374" s="43">
        <v>0</v>
      </c>
      <c r="AK374" s="43">
        <v>0</v>
      </c>
      <c r="AL374" s="43">
        <v>0</v>
      </c>
      <c r="AM374" s="43">
        <v>0</v>
      </c>
      <c r="AN374" s="43">
        <v>0</v>
      </c>
      <c r="AO374" s="43">
        <v>0</v>
      </c>
      <c r="AP374" s="43">
        <v>0</v>
      </c>
      <c r="AQ374" s="43">
        <v>0</v>
      </c>
      <c r="AR374" s="43">
        <v>0</v>
      </c>
      <c r="AS374" s="43">
        <v>0</v>
      </c>
      <c r="AT374" s="43">
        <v>0</v>
      </c>
      <c r="AU374" s="43">
        <v>0</v>
      </c>
      <c r="AV374" s="43">
        <v>0</v>
      </c>
      <c r="AW374" s="43">
        <v>0</v>
      </c>
      <c r="AX374" s="43">
        <v>0</v>
      </c>
      <c r="AY374" s="43">
        <v>0</v>
      </c>
      <c r="AZ374" s="43">
        <v>0</v>
      </c>
      <c r="BA374" s="43">
        <v>0</v>
      </c>
      <c r="BB374" s="43">
        <v>0</v>
      </c>
      <c r="BC374" s="43">
        <v>0</v>
      </c>
      <c r="BD374" s="43">
        <v>0</v>
      </c>
      <c r="BE374" s="43">
        <v>0</v>
      </c>
      <c r="BF374" s="43">
        <v>0</v>
      </c>
      <c r="BG374" s="43">
        <v>0</v>
      </c>
      <c r="BH374" s="43">
        <v>0</v>
      </c>
      <c r="BI374" s="43">
        <v>0</v>
      </c>
      <c r="BJ374" s="43" t="s">
        <v>2090</v>
      </c>
      <c r="BK374" s="43" t="s">
        <v>2090</v>
      </c>
      <c r="BL374" s="43" t="s">
        <v>2090</v>
      </c>
      <c r="BM374" s="43" t="s">
        <v>2090</v>
      </c>
      <c r="BN374" s="43" t="s">
        <v>2090</v>
      </c>
      <c r="BO374" s="43" t="s">
        <v>2091</v>
      </c>
      <c r="BP374" s="43" t="s">
        <v>2090</v>
      </c>
      <c r="BQ374" s="43" t="s">
        <v>2091</v>
      </c>
      <c r="BR374" s="43" t="s">
        <v>2091</v>
      </c>
      <c r="BS374" s="43" t="s">
        <v>2090</v>
      </c>
      <c r="BT374" s="43" t="s">
        <v>2091</v>
      </c>
      <c r="BU374" s="43" t="s">
        <v>2090</v>
      </c>
      <c r="BV374" s="43" t="s">
        <v>2090</v>
      </c>
      <c r="BW374" s="43" t="s">
        <v>2090</v>
      </c>
    </row>
    <row r="375" spans="1:75" ht="232.7" customHeight="1" x14ac:dyDescent="0.25">
      <c r="A375" s="38" t="s">
        <v>1555</v>
      </c>
      <c r="B375" s="38" t="s">
        <v>1951</v>
      </c>
      <c r="C375" s="45" t="s">
        <v>655</v>
      </c>
      <c r="D375" s="46" t="s">
        <v>1556</v>
      </c>
      <c r="E375" s="41">
        <v>55170.364500000003</v>
      </c>
      <c r="F375" s="41">
        <v>2646670.9354300001</v>
      </c>
      <c r="G375" s="41">
        <v>156093.6</v>
      </c>
      <c r="H375" s="41">
        <v>122989.2</v>
      </c>
      <c r="I375" s="42">
        <v>1.2301086158965722</v>
      </c>
      <c r="J375" s="41">
        <v>105658.77838</v>
      </c>
      <c r="K375" s="41">
        <v>3391977.0857799998</v>
      </c>
      <c r="L375" s="41">
        <v>245479.5</v>
      </c>
      <c r="M375" s="41">
        <v>122627.1</v>
      </c>
      <c r="N375" s="42">
        <v>1.8730627306273062</v>
      </c>
      <c r="O375" s="41">
        <v>45369.877339999999</v>
      </c>
      <c r="P375" s="41">
        <v>2572960.42044</v>
      </c>
      <c r="Q375" s="41">
        <v>450131.4</v>
      </c>
      <c r="R375" s="41">
        <v>379291.1</v>
      </c>
      <c r="S375" s="42">
        <v>1.1428426621052299</v>
      </c>
      <c r="T375" s="41">
        <v>112075.08667</v>
      </c>
      <c r="U375" s="41">
        <v>3506980.9083199999</v>
      </c>
      <c r="V375" s="41">
        <v>93852.3</v>
      </c>
      <c r="W375" s="41">
        <v>134910.6</v>
      </c>
      <c r="X375" s="42">
        <v>0.65729426666169943</v>
      </c>
      <c r="Y375" s="43">
        <v>2</v>
      </c>
      <c r="Z375" s="43" t="s">
        <v>2090</v>
      </c>
      <c r="AA375" s="43" t="s">
        <v>2090</v>
      </c>
      <c r="AB375" s="43" t="s">
        <v>2090</v>
      </c>
      <c r="AC375" s="43" t="s">
        <v>2090</v>
      </c>
      <c r="AD375" s="43">
        <v>0</v>
      </c>
      <c r="AE375" s="43">
        <v>1</v>
      </c>
      <c r="AF375" s="43">
        <v>0</v>
      </c>
      <c r="AG375" s="43">
        <v>0</v>
      </c>
      <c r="AH375" s="43">
        <v>0</v>
      </c>
      <c r="AI375" s="43">
        <v>1</v>
      </c>
      <c r="AJ375" s="43">
        <v>0</v>
      </c>
      <c r="AK375" s="43">
        <v>0</v>
      </c>
      <c r="AL375" s="43">
        <v>0</v>
      </c>
      <c r="AM375" s="43">
        <v>0</v>
      </c>
      <c r="AN375" s="43">
        <v>0</v>
      </c>
      <c r="AO375" s="43">
        <v>0</v>
      </c>
      <c r="AP375" s="43">
        <v>0</v>
      </c>
      <c r="AQ375" s="43">
        <v>0</v>
      </c>
      <c r="AR375" s="43">
        <v>0</v>
      </c>
      <c r="AS375" s="43">
        <v>0</v>
      </c>
      <c r="AT375" s="43">
        <v>0</v>
      </c>
      <c r="AU375" s="43">
        <v>0</v>
      </c>
      <c r="AV375" s="43">
        <v>0</v>
      </c>
      <c r="AW375" s="43">
        <v>0</v>
      </c>
      <c r="AX375" s="43">
        <v>0</v>
      </c>
      <c r="AY375" s="43">
        <v>0</v>
      </c>
      <c r="AZ375" s="43">
        <v>0</v>
      </c>
      <c r="BA375" s="43">
        <v>0</v>
      </c>
      <c r="BB375" s="43">
        <v>0</v>
      </c>
      <c r="BC375" s="43">
        <v>0</v>
      </c>
      <c r="BD375" s="43">
        <v>0</v>
      </c>
      <c r="BE375" s="43">
        <v>0</v>
      </c>
      <c r="BF375" s="43">
        <v>0</v>
      </c>
      <c r="BG375" s="43">
        <v>0</v>
      </c>
      <c r="BH375" s="43">
        <v>0</v>
      </c>
      <c r="BI375" s="43">
        <v>0</v>
      </c>
      <c r="BJ375" s="43" t="s">
        <v>2090</v>
      </c>
      <c r="BK375" s="43" t="s">
        <v>2090</v>
      </c>
      <c r="BL375" s="43" t="s">
        <v>2090</v>
      </c>
      <c r="BM375" s="43" t="s">
        <v>2090</v>
      </c>
      <c r="BN375" s="43" t="s">
        <v>2090</v>
      </c>
      <c r="BO375" s="43" t="s">
        <v>2090</v>
      </c>
      <c r="BP375" s="43" t="s">
        <v>2090</v>
      </c>
      <c r="BQ375" s="43" t="s">
        <v>2090</v>
      </c>
      <c r="BR375" s="43" t="s">
        <v>2090</v>
      </c>
      <c r="BS375" s="43" t="s">
        <v>2090</v>
      </c>
      <c r="BT375" s="43" t="s">
        <v>2090</v>
      </c>
      <c r="BU375" s="43" t="s">
        <v>2090</v>
      </c>
      <c r="BV375" s="43" t="s">
        <v>2091</v>
      </c>
      <c r="BW375" s="43" t="s">
        <v>2090</v>
      </c>
    </row>
    <row r="376" spans="1:75" ht="265.7" customHeight="1" x14ac:dyDescent="0.25">
      <c r="A376" s="38" t="s">
        <v>1557</v>
      </c>
      <c r="B376" s="38" t="s">
        <v>1952</v>
      </c>
      <c r="C376" s="45" t="s">
        <v>745</v>
      </c>
      <c r="D376" s="46" t="s">
        <v>1558</v>
      </c>
      <c r="E376" s="41">
        <v>56935.294220000003</v>
      </c>
      <c r="F376" s="41">
        <v>2354561.2442700001</v>
      </c>
      <c r="G376" s="41">
        <v>338855.8</v>
      </c>
      <c r="H376" s="41">
        <v>293930.90000000002</v>
      </c>
      <c r="I376" s="42">
        <v>1.1121428840448102</v>
      </c>
      <c r="J376" s="41">
        <v>95455.275949999996</v>
      </c>
      <c r="K376" s="41">
        <v>1727972.99826</v>
      </c>
      <c r="L376" s="41">
        <v>81327.100000000006</v>
      </c>
      <c r="M376" s="41">
        <v>84424.4</v>
      </c>
      <c r="N376" s="42">
        <v>0.91104158673002567</v>
      </c>
      <c r="O376" s="41">
        <v>63856.73861</v>
      </c>
      <c r="P376" s="41">
        <v>2959173.2923499998</v>
      </c>
      <c r="Q376" s="41">
        <v>447773.3</v>
      </c>
      <c r="R376" s="41">
        <v>294849.59999999998</v>
      </c>
      <c r="S376" s="42">
        <v>1.4642327756348834</v>
      </c>
      <c r="T376" s="41">
        <v>59266.328430000001</v>
      </c>
      <c r="U376" s="41">
        <v>2241550.1496700002</v>
      </c>
      <c r="V376" s="41">
        <v>44141.4</v>
      </c>
      <c r="W376" s="41">
        <v>61283.8</v>
      </c>
      <c r="X376" s="42">
        <v>0.6698313301686698</v>
      </c>
      <c r="Y376" s="43">
        <v>2</v>
      </c>
      <c r="Z376" s="43" t="s">
        <v>2090</v>
      </c>
      <c r="AA376" s="43" t="s">
        <v>2090</v>
      </c>
      <c r="AB376" s="43" t="s">
        <v>2090</v>
      </c>
      <c r="AC376" s="43" t="s">
        <v>2090</v>
      </c>
      <c r="AD376" s="43">
        <v>0</v>
      </c>
      <c r="AE376" s="43">
        <v>0</v>
      </c>
      <c r="AF376" s="43">
        <v>0</v>
      </c>
      <c r="AG376" s="43">
        <v>0</v>
      </c>
      <c r="AH376" s="43">
        <v>0</v>
      </c>
      <c r="AI376" s="43">
        <v>1</v>
      </c>
      <c r="AJ376" s="43">
        <v>0</v>
      </c>
      <c r="AK376" s="43">
        <v>0</v>
      </c>
      <c r="AL376" s="43">
        <v>1</v>
      </c>
      <c r="AM376" s="43">
        <v>0</v>
      </c>
      <c r="AN376" s="43">
        <v>0</v>
      </c>
      <c r="AO376" s="43">
        <v>0</v>
      </c>
      <c r="AP376" s="43">
        <v>0</v>
      </c>
      <c r="AQ376" s="43">
        <v>0</v>
      </c>
      <c r="AR376" s="43">
        <v>0</v>
      </c>
      <c r="AS376" s="43">
        <v>0</v>
      </c>
      <c r="AT376" s="43">
        <v>0</v>
      </c>
      <c r="AU376" s="43">
        <v>0</v>
      </c>
      <c r="AV376" s="43">
        <v>0</v>
      </c>
      <c r="AW376" s="43">
        <v>0</v>
      </c>
      <c r="AX376" s="43">
        <v>0</v>
      </c>
      <c r="AY376" s="43">
        <v>0</v>
      </c>
      <c r="AZ376" s="43">
        <v>0</v>
      </c>
      <c r="BA376" s="43">
        <v>0</v>
      </c>
      <c r="BB376" s="43">
        <v>0</v>
      </c>
      <c r="BC376" s="43">
        <v>0</v>
      </c>
      <c r="BD376" s="43">
        <v>0</v>
      </c>
      <c r="BE376" s="43">
        <v>0</v>
      </c>
      <c r="BF376" s="43">
        <v>0</v>
      </c>
      <c r="BG376" s="43">
        <v>0</v>
      </c>
      <c r="BH376" s="43">
        <v>0</v>
      </c>
      <c r="BI376" s="43">
        <v>0</v>
      </c>
      <c r="BJ376" s="43" t="s">
        <v>2090</v>
      </c>
      <c r="BK376" s="43" t="s">
        <v>2090</v>
      </c>
      <c r="BL376" s="43" t="s">
        <v>2090</v>
      </c>
      <c r="BM376" s="43" t="s">
        <v>2090</v>
      </c>
      <c r="BN376" s="43" t="s">
        <v>2090</v>
      </c>
      <c r="BO376" s="43" t="s">
        <v>2090</v>
      </c>
      <c r="BP376" s="43" t="s">
        <v>2090</v>
      </c>
      <c r="BQ376" s="43" t="s">
        <v>2090</v>
      </c>
      <c r="BR376" s="43" t="s">
        <v>2090</v>
      </c>
      <c r="BS376" s="43" t="s">
        <v>2090</v>
      </c>
      <c r="BT376" s="43" t="s">
        <v>2090</v>
      </c>
      <c r="BU376" s="43" t="s">
        <v>2090</v>
      </c>
      <c r="BV376" s="43" t="s">
        <v>2091</v>
      </c>
      <c r="BW376" s="43" t="s">
        <v>2090</v>
      </c>
    </row>
    <row r="377" spans="1:75" ht="237.95" customHeight="1" x14ac:dyDescent="0.25">
      <c r="A377" s="38" t="s">
        <v>1559</v>
      </c>
      <c r="B377" s="38" t="s">
        <v>1953</v>
      </c>
      <c r="C377" s="45" t="s">
        <v>496</v>
      </c>
      <c r="D377" s="46" t="s">
        <v>1560</v>
      </c>
      <c r="E377" s="41">
        <v>57338.016790000001</v>
      </c>
      <c r="F377" s="41">
        <v>2805389.0781</v>
      </c>
      <c r="G377" s="41">
        <v>248853</v>
      </c>
      <c r="H377" s="41">
        <v>201487.2</v>
      </c>
      <c r="I377" s="42">
        <v>1.1911811574730817</v>
      </c>
      <c r="J377" s="41">
        <v>16272.735790000001</v>
      </c>
      <c r="K377" s="41">
        <v>1524374.4121699999</v>
      </c>
      <c r="L377" s="41">
        <v>257589.1</v>
      </c>
      <c r="M377" s="41">
        <v>312900.5</v>
      </c>
      <c r="N377" s="42">
        <v>0.7872663179529904</v>
      </c>
      <c r="O377" s="41">
        <v>36759.909570000003</v>
      </c>
      <c r="P377" s="41">
        <v>2506491.1798299998</v>
      </c>
      <c r="Q377" s="41">
        <v>248248</v>
      </c>
      <c r="R377" s="41">
        <v>240772.7</v>
      </c>
      <c r="S377" s="42">
        <v>0.99704656547465909</v>
      </c>
      <c r="T377" s="41">
        <v>62558.327920000003</v>
      </c>
      <c r="U377" s="41">
        <v>2738897.8692299998</v>
      </c>
      <c r="V377" s="41">
        <v>110362</v>
      </c>
      <c r="W377" s="41">
        <v>139662.20000000001</v>
      </c>
      <c r="X377" s="42">
        <v>0.73250209555741841</v>
      </c>
      <c r="Y377" s="43">
        <v>1</v>
      </c>
      <c r="Z377" s="43" t="s">
        <v>2090</v>
      </c>
      <c r="AA377" s="43" t="s">
        <v>2090</v>
      </c>
      <c r="AB377" s="43" t="s">
        <v>2090</v>
      </c>
      <c r="AC377" s="43" t="s">
        <v>2090</v>
      </c>
      <c r="AD377" s="43">
        <v>0</v>
      </c>
      <c r="AE377" s="43">
        <v>1</v>
      </c>
      <c r="AF377" s="43">
        <v>0</v>
      </c>
      <c r="AG377" s="43">
        <v>0</v>
      </c>
      <c r="AH377" s="43">
        <v>0</v>
      </c>
      <c r="AI377" s="43">
        <v>0</v>
      </c>
      <c r="AJ377" s="43">
        <v>0</v>
      </c>
      <c r="AK377" s="43">
        <v>0</v>
      </c>
      <c r="AL377" s="43">
        <v>0</v>
      </c>
      <c r="AM377" s="43">
        <v>0</v>
      </c>
      <c r="AN377" s="43">
        <v>0</v>
      </c>
      <c r="AO377" s="43">
        <v>0</v>
      </c>
      <c r="AP377" s="43">
        <v>0</v>
      </c>
      <c r="AQ377" s="43">
        <v>0</v>
      </c>
      <c r="AR377" s="43">
        <v>0</v>
      </c>
      <c r="AS377" s="43">
        <v>0</v>
      </c>
      <c r="AT377" s="43">
        <v>0</v>
      </c>
      <c r="AU377" s="43">
        <v>0</v>
      </c>
      <c r="AV377" s="43">
        <v>0</v>
      </c>
      <c r="AW377" s="43">
        <v>0</v>
      </c>
      <c r="AX377" s="43">
        <v>0</v>
      </c>
      <c r="AY377" s="43">
        <v>0</v>
      </c>
      <c r="AZ377" s="43">
        <v>0</v>
      </c>
      <c r="BA377" s="43">
        <v>0</v>
      </c>
      <c r="BB377" s="43">
        <v>0</v>
      </c>
      <c r="BC377" s="43">
        <v>0</v>
      </c>
      <c r="BD377" s="43">
        <v>0</v>
      </c>
      <c r="BE377" s="43">
        <v>0</v>
      </c>
      <c r="BF377" s="43">
        <v>0</v>
      </c>
      <c r="BG377" s="43">
        <v>0</v>
      </c>
      <c r="BH377" s="43">
        <v>0</v>
      </c>
      <c r="BI377" s="43">
        <v>0</v>
      </c>
      <c r="BJ377" s="43" t="s">
        <v>2090</v>
      </c>
      <c r="BK377" s="43" t="s">
        <v>2090</v>
      </c>
      <c r="BL377" s="43" t="s">
        <v>2090</v>
      </c>
      <c r="BM377" s="43" t="s">
        <v>2090</v>
      </c>
      <c r="BN377" s="43" t="s">
        <v>2090</v>
      </c>
      <c r="BO377" s="43" t="s">
        <v>2090</v>
      </c>
      <c r="BP377" s="43" t="s">
        <v>2090</v>
      </c>
      <c r="BQ377" s="43" t="s">
        <v>2090</v>
      </c>
      <c r="BR377" s="43" t="s">
        <v>2090</v>
      </c>
      <c r="BS377" s="43" t="s">
        <v>2090</v>
      </c>
      <c r="BT377" s="43" t="s">
        <v>2090</v>
      </c>
      <c r="BU377" s="43" t="s">
        <v>2090</v>
      </c>
      <c r="BV377" s="43" t="s">
        <v>2090</v>
      </c>
      <c r="BW377" s="43" t="s">
        <v>2090</v>
      </c>
    </row>
    <row r="378" spans="1:75" ht="265.7" customHeight="1" x14ac:dyDescent="0.25">
      <c r="A378" s="38" t="s">
        <v>1561</v>
      </c>
      <c r="B378" s="38" t="s">
        <v>1954</v>
      </c>
      <c r="C378" s="45" t="s">
        <v>661</v>
      </c>
      <c r="D378" s="46" t="s">
        <v>1562</v>
      </c>
      <c r="E378" s="41">
        <v>56403.048410000003</v>
      </c>
      <c r="F378" s="41">
        <v>2649877.3258699998</v>
      </c>
      <c r="G378" s="41">
        <v>267304.59999999998</v>
      </c>
      <c r="H378" s="41">
        <v>219463.3</v>
      </c>
      <c r="I378" s="42">
        <v>1.18624902150126</v>
      </c>
      <c r="J378" s="41">
        <v>42639.980810000001</v>
      </c>
      <c r="K378" s="41">
        <v>2353574.27263</v>
      </c>
      <c r="L378" s="41">
        <v>250231.2</v>
      </c>
      <c r="M378" s="41">
        <v>263778.59999999998</v>
      </c>
      <c r="N378" s="42">
        <v>0.91054119825298696</v>
      </c>
      <c r="O378" s="41">
        <v>69150.624979999993</v>
      </c>
      <c r="P378" s="41">
        <v>2876538.7552700001</v>
      </c>
      <c r="Q378" s="41">
        <v>437877.4</v>
      </c>
      <c r="R378" s="41">
        <v>294266.7</v>
      </c>
      <c r="S378" s="42">
        <v>1.463494537881648</v>
      </c>
      <c r="T378" s="41">
        <v>65076.622320000002</v>
      </c>
      <c r="U378" s="41">
        <v>2785997.48703</v>
      </c>
      <c r="V378" s="41">
        <v>55991.1</v>
      </c>
      <c r="W378" s="41">
        <v>62573.3</v>
      </c>
      <c r="X378" s="42">
        <v>0.83085622288103977</v>
      </c>
      <c r="Y378" s="43">
        <v>2</v>
      </c>
      <c r="Z378" s="43" t="s">
        <v>2090</v>
      </c>
      <c r="AA378" s="43" t="s">
        <v>2090</v>
      </c>
      <c r="AB378" s="43" t="s">
        <v>2090</v>
      </c>
      <c r="AC378" s="43" t="s">
        <v>2090</v>
      </c>
      <c r="AD378" s="43">
        <v>0</v>
      </c>
      <c r="AE378" s="43">
        <v>0</v>
      </c>
      <c r="AF378" s="43">
        <v>0</v>
      </c>
      <c r="AG378" s="43">
        <v>0</v>
      </c>
      <c r="AH378" s="43">
        <v>0</v>
      </c>
      <c r="AI378" s="43">
        <v>1</v>
      </c>
      <c r="AJ378" s="43">
        <v>0</v>
      </c>
      <c r="AK378" s="43">
        <v>0</v>
      </c>
      <c r="AL378" s="43">
        <v>1</v>
      </c>
      <c r="AM378" s="43">
        <v>0</v>
      </c>
      <c r="AN378" s="43">
        <v>0</v>
      </c>
      <c r="AO378" s="43">
        <v>0</v>
      </c>
      <c r="AP378" s="43">
        <v>0</v>
      </c>
      <c r="AQ378" s="43">
        <v>0</v>
      </c>
      <c r="AR378" s="43">
        <v>0</v>
      </c>
      <c r="AS378" s="43">
        <v>0</v>
      </c>
      <c r="AT378" s="43">
        <v>0</v>
      </c>
      <c r="AU378" s="43">
        <v>0</v>
      </c>
      <c r="AV378" s="43">
        <v>0</v>
      </c>
      <c r="AW378" s="43">
        <v>0</v>
      </c>
      <c r="AX378" s="43">
        <v>0</v>
      </c>
      <c r="AY378" s="43">
        <v>0</v>
      </c>
      <c r="AZ378" s="43">
        <v>0</v>
      </c>
      <c r="BA378" s="43">
        <v>0</v>
      </c>
      <c r="BB378" s="43">
        <v>0</v>
      </c>
      <c r="BC378" s="43">
        <v>0</v>
      </c>
      <c r="BD378" s="43">
        <v>0</v>
      </c>
      <c r="BE378" s="43">
        <v>0</v>
      </c>
      <c r="BF378" s="43">
        <v>0</v>
      </c>
      <c r="BG378" s="43">
        <v>0</v>
      </c>
      <c r="BH378" s="43">
        <v>0</v>
      </c>
      <c r="BI378" s="43">
        <v>0</v>
      </c>
      <c r="BJ378" s="43" t="s">
        <v>2090</v>
      </c>
      <c r="BK378" s="43" t="s">
        <v>2090</v>
      </c>
      <c r="BL378" s="43" t="s">
        <v>2090</v>
      </c>
      <c r="BM378" s="43" t="s">
        <v>2090</v>
      </c>
      <c r="BN378" s="43" t="s">
        <v>2090</v>
      </c>
      <c r="BO378" s="43" t="s">
        <v>2090</v>
      </c>
      <c r="BP378" s="43" t="s">
        <v>2090</v>
      </c>
      <c r="BQ378" s="43" t="s">
        <v>2090</v>
      </c>
      <c r="BR378" s="43" t="s">
        <v>2090</v>
      </c>
      <c r="BS378" s="43" t="s">
        <v>2090</v>
      </c>
      <c r="BT378" s="43" t="s">
        <v>2090</v>
      </c>
      <c r="BU378" s="43" t="s">
        <v>2090</v>
      </c>
      <c r="BV378" s="43" t="s">
        <v>2091</v>
      </c>
      <c r="BW378" s="43" t="s">
        <v>2090</v>
      </c>
    </row>
    <row r="379" spans="1:75" ht="258.2" customHeight="1" x14ac:dyDescent="0.25">
      <c r="A379" s="38" t="s">
        <v>1563</v>
      </c>
      <c r="B379" s="38" t="s">
        <v>1955</v>
      </c>
      <c r="C379" s="45" t="s">
        <v>697</v>
      </c>
      <c r="D379" s="46" t="s">
        <v>1564</v>
      </c>
      <c r="E379" s="41">
        <v>151949.89978000001</v>
      </c>
      <c r="F379" s="41">
        <v>2644744.6581799998</v>
      </c>
      <c r="G379" s="41">
        <v>233350.9</v>
      </c>
      <c r="H379" s="41">
        <v>180678.6</v>
      </c>
      <c r="I379" s="42">
        <v>1.2551067604603159</v>
      </c>
      <c r="J379" s="41">
        <v>119944.53432999999</v>
      </c>
      <c r="K379" s="41">
        <v>1087282.8895700001</v>
      </c>
      <c r="L379" s="41">
        <v>163959.9</v>
      </c>
      <c r="M379" s="41">
        <v>212713.1</v>
      </c>
      <c r="N379" s="42">
        <v>0.74450775860039087</v>
      </c>
      <c r="O379" s="41">
        <v>23946.916870000001</v>
      </c>
      <c r="P379" s="41">
        <v>1677041.11959</v>
      </c>
      <c r="Q379" s="41">
        <v>179085.2</v>
      </c>
      <c r="R379" s="41">
        <v>242881.7</v>
      </c>
      <c r="S379" s="42">
        <v>0.71292937803762801</v>
      </c>
      <c r="T379" s="41">
        <v>152563.12662</v>
      </c>
      <c r="U379" s="41">
        <v>1787552.28207</v>
      </c>
      <c r="V379" s="41">
        <v>47667.1</v>
      </c>
      <c r="W379" s="41">
        <v>94554.7</v>
      </c>
      <c r="X379" s="42">
        <v>0.47424633712706182</v>
      </c>
      <c r="Y379" s="43">
        <v>2</v>
      </c>
      <c r="Z379" s="43" t="s">
        <v>2090</v>
      </c>
      <c r="AA379" s="43" t="s">
        <v>2090</v>
      </c>
      <c r="AB379" s="43" t="s">
        <v>2090</v>
      </c>
      <c r="AC379" s="43" t="s">
        <v>2090</v>
      </c>
      <c r="AD379" s="43">
        <v>0</v>
      </c>
      <c r="AE379" s="43">
        <v>0</v>
      </c>
      <c r="AF379" s="43">
        <v>0</v>
      </c>
      <c r="AG379" s="43">
        <v>0</v>
      </c>
      <c r="AH379" s="43">
        <v>0</v>
      </c>
      <c r="AI379" s="43">
        <v>1</v>
      </c>
      <c r="AJ379" s="43">
        <v>0</v>
      </c>
      <c r="AK379" s="43">
        <v>0</v>
      </c>
      <c r="AL379" s="43">
        <v>0</v>
      </c>
      <c r="AM379" s="43">
        <v>0</v>
      </c>
      <c r="AN379" s="43">
        <v>0</v>
      </c>
      <c r="AO379" s="43">
        <v>0</v>
      </c>
      <c r="AP379" s="43">
        <v>0</v>
      </c>
      <c r="AQ379" s="43">
        <v>0</v>
      </c>
      <c r="AR379" s="43">
        <v>0</v>
      </c>
      <c r="AS379" s="43">
        <v>0</v>
      </c>
      <c r="AT379" s="43">
        <v>0</v>
      </c>
      <c r="AU379" s="43">
        <v>0</v>
      </c>
      <c r="AV379" s="43">
        <v>0</v>
      </c>
      <c r="AW379" s="43">
        <v>0</v>
      </c>
      <c r="AX379" s="43">
        <v>0</v>
      </c>
      <c r="AY379" s="43">
        <v>0</v>
      </c>
      <c r="AZ379" s="43">
        <v>0</v>
      </c>
      <c r="BA379" s="43">
        <v>1</v>
      </c>
      <c r="BB379" s="43">
        <v>0</v>
      </c>
      <c r="BC379" s="43">
        <v>0</v>
      </c>
      <c r="BD379" s="43">
        <v>0</v>
      </c>
      <c r="BE379" s="43">
        <v>0</v>
      </c>
      <c r="BF379" s="43">
        <v>0</v>
      </c>
      <c r="BG379" s="43">
        <v>0</v>
      </c>
      <c r="BH379" s="43">
        <v>0</v>
      </c>
      <c r="BI379" s="43">
        <v>0</v>
      </c>
      <c r="BJ379" s="43" t="s">
        <v>2090</v>
      </c>
      <c r="BK379" s="43" t="s">
        <v>2090</v>
      </c>
      <c r="BL379" s="43" t="s">
        <v>2090</v>
      </c>
      <c r="BM379" s="43" t="s">
        <v>2091</v>
      </c>
      <c r="BN379" s="43" t="s">
        <v>2090</v>
      </c>
      <c r="BO379" s="43" t="s">
        <v>2090</v>
      </c>
      <c r="BP379" s="43" t="s">
        <v>2090</v>
      </c>
      <c r="BQ379" s="43" t="s">
        <v>2090</v>
      </c>
      <c r="BR379" s="43" t="s">
        <v>2090</v>
      </c>
      <c r="BS379" s="43" t="s">
        <v>2090</v>
      </c>
      <c r="BT379" s="43" t="s">
        <v>2090</v>
      </c>
      <c r="BU379" s="43" t="s">
        <v>2090</v>
      </c>
      <c r="BV379" s="43" t="s">
        <v>2090</v>
      </c>
      <c r="BW379" s="43" t="s">
        <v>2091</v>
      </c>
    </row>
    <row r="380" spans="1:75" ht="162.94999999999999" customHeight="1" x14ac:dyDescent="0.25">
      <c r="A380" s="38" t="s">
        <v>1565</v>
      </c>
      <c r="B380" s="38" t="s">
        <v>1956</v>
      </c>
      <c r="C380" s="45" t="s">
        <v>688</v>
      </c>
      <c r="D380" s="46" t="s">
        <v>1566</v>
      </c>
      <c r="E380" s="41">
        <v>66242.716180000003</v>
      </c>
      <c r="F380" s="41">
        <v>2807936.1339599998</v>
      </c>
      <c r="G380" s="41">
        <v>286042.2</v>
      </c>
      <c r="H380" s="41">
        <v>254409.3</v>
      </c>
      <c r="I380" s="42">
        <v>1.0961779571367003</v>
      </c>
      <c r="J380" s="41">
        <v>43250.479670000001</v>
      </c>
      <c r="K380" s="41">
        <v>1518990.80859</v>
      </c>
      <c r="L380" s="41">
        <v>158728.9</v>
      </c>
      <c r="M380" s="41">
        <v>191309.9</v>
      </c>
      <c r="N380" s="42">
        <v>0.79820750655551642</v>
      </c>
      <c r="O380" s="41">
        <v>30385.67309</v>
      </c>
      <c r="P380" s="41">
        <v>2358347.2038699999</v>
      </c>
      <c r="Q380" s="41">
        <v>285782.7</v>
      </c>
      <c r="R380" s="41">
        <v>271257.09999999998</v>
      </c>
      <c r="S380" s="42">
        <v>1.0106720468761234</v>
      </c>
      <c r="T380" s="41">
        <v>83518.359530000002</v>
      </c>
      <c r="U380" s="41">
        <v>2538458.2102700002</v>
      </c>
      <c r="V380" s="41">
        <v>14894.6</v>
      </c>
      <c r="W380" s="41">
        <v>16793.7</v>
      </c>
      <c r="X380" s="42">
        <v>0.81610689779703871</v>
      </c>
      <c r="Y380" s="43">
        <v>2</v>
      </c>
      <c r="Z380" s="43" t="s">
        <v>2090</v>
      </c>
      <c r="AA380" s="43" t="s">
        <v>2090</v>
      </c>
      <c r="AB380" s="43" t="s">
        <v>2090</v>
      </c>
      <c r="AC380" s="43" t="s">
        <v>2090</v>
      </c>
      <c r="AD380" s="43">
        <v>0</v>
      </c>
      <c r="AE380" s="43">
        <v>1</v>
      </c>
      <c r="AF380" s="43">
        <v>0</v>
      </c>
      <c r="AG380" s="43">
        <v>0</v>
      </c>
      <c r="AH380" s="43">
        <v>0</v>
      </c>
      <c r="AI380" s="43">
        <v>1</v>
      </c>
      <c r="AJ380" s="43">
        <v>0</v>
      </c>
      <c r="AK380" s="43">
        <v>0</v>
      </c>
      <c r="AL380" s="43">
        <v>0</v>
      </c>
      <c r="AM380" s="43">
        <v>0</v>
      </c>
      <c r="AN380" s="43">
        <v>0</v>
      </c>
      <c r="AO380" s="43">
        <v>0</v>
      </c>
      <c r="AP380" s="43">
        <v>0</v>
      </c>
      <c r="AQ380" s="43">
        <v>0</v>
      </c>
      <c r="AR380" s="43">
        <v>0</v>
      </c>
      <c r="AS380" s="43">
        <v>0</v>
      </c>
      <c r="AT380" s="43">
        <v>0</v>
      </c>
      <c r="AU380" s="43">
        <v>0</v>
      </c>
      <c r="AV380" s="43">
        <v>0</v>
      </c>
      <c r="AW380" s="43">
        <v>0</v>
      </c>
      <c r="AX380" s="43">
        <v>0</v>
      </c>
      <c r="AY380" s="43">
        <v>0</v>
      </c>
      <c r="AZ380" s="43">
        <v>0</v>
      </c>
      <c r="BA380" s="43">
        <v>0</v>
      </c>
      <c r="BB380" s="43">
        <v>0</v>
      </c>
      <c r="BC380" s="43">
        <v>0</v>
      </c>
      <c r="BD380" s="43">
        <v>0</v>
      </c>
      <c r="BE380" s="43">
        <v>0</v>
      </c>
      <c r="BF380" s="43">
        <v>0</v>
      </c>
      <c r="BG380" s="43">
        <v>0</v>
      </c>
      <c r="BH380" s="43">
        <v>0</v>
      </c>
      <c r="BI380" s="43">
        <v>0</v>
      </c>
      <c r="BJ380" s="43" t="s">
        <v>2090</v>
      </c>
      <c r="BK380" s="43" t="s">
        <v>2090</v>
      </c>
      <c r="BL380" s="43" t="s">
        <v>2090</v>
      </c>
      <c r="BM380" s="43" t="s">
        <v>2090</v>
      </c>
      <c r="BN380" s="43" t="s">
        <v>2090</v>
      </c>
      <c r="BO380" s="43" t="s">
        <v>2090</v>
      </c>
      <c r="BP380" s="43" t="s">
        <v>2090</v>
      </c>
      <c r="BQ380" s="43" t="s">
        <v>2090</v>
      </c>
      <c r="BR380" s="43" t="s">
        <v>2090</v>
      </c>
      <c r="BS380" s="43" t="s">
        <v>2090</v>
      </c>
      <c r="BT380" s="43" t="s">
        <v>2090</v>
      </c>
      <c r="BU380" s="43" t="s">
        <v>2090</v>
      </c>
      <c r="BV380" s="43" t="s">
        <v>2091</v>
      </c>
      <c r="BW380" s="43" t="s">
        <v>2090</v>
      </c>
    </row>
    <row r="381" spans="1:75" ht="265.7" customHeight="1" x14ac:dyDescent="0.25">
      <c r="A381" s="38" t="s">
        <v>1567</v>
      </c>
      <c r="B381" s="38" t="s">
        <v>1957</v>
      </c>
      <c r="C381" s="45" t="s">
        <v>670</v>
      </c>
      <c r="D381" s="46" t="s">
        <v>1568</v>
      </c>
      <c r="E381" s="41">
        <v>63642.238640000003</v>
      </c>
      <c r="F381" s="41">
        <v>2780076.5121499998</v>
      </c>
      <c r="G381" s="41">
        <v>112485.8</v>
      </c>
      <c r="H381" s="41">
        <v>81874.3</v>
      </c>
      <c r="I381" s="42">
        <v>1.3044056749039481</v>
      </c>
      <c r="J381" s="41">
        <v>0</v>
      </c>
      <c r="K381" s="41">
        <v>4011.4435699999999</v>
      </c>
      <c r="L381" s="41">
        <v>90020.6</v>
      </c>
      <c r="M381" s="41">
        <v>498813.8</v>
      </c>
      <c r="N381" s="42">
        <v>0.16579284437519712</v>
      </c>
      <c r="O381" s="41">
        <v>33855.003190000003</v>
      </c>
      <c r="P381" s="41">
        <v>2400319.2159099998</v>
      </c>
      <c r="Q381" s="41">
        <v>216353.5</v>
      </c>
      <c r="R381" s="41">
        <v>232177.9</v>
      </c>
      <c r="S381" s="42">
        <v>0.90430375397302654</v>
      </c>
      <c r="T381" s="41">
        <v>2917.7326899999998</v>
      </c>
      <c r="U381" s="41">
        <v>416688.39953</v>
      </c>
      <c r="V381" s="41">
        <v>20629</v>
      </c>
      <c r="W381" s="41">
        <v>128904.9</v>
      </c>
      <c r="X381" s="42">
        <v>0.15578748571144574</v>
      </c>
      <c r="Y381" s="43">
        <v>4</v>
      </c>
      <c r="Z381" s="43" t="s">
        <v>2091</v>
      </c>
      <c r="AA381" s="43" t="s">
        <v>2090</v>
      </c>
      <c r="AB381" s="43" t="s">
        <v>2090</v>
      </c>
      <c r="AC381" s="43" t="s">
        <v>2090</v>
      </c>
      <c r="AD381" s="43">
        <v>0</v>
      </c>
      <c r="AE381" s="43">
        <v>0</v>
      </c>
      <c r="AF381" s="43">
        <v>0</v>
      </c>
      <c r="AG381" s="43">
        <v>0</v>
      </c>
      <c r="AH381" s="43">
        <v>0</v>
      </c>
      <c r="AI381" s="43">
        <v>1</v>
      </c>
      <c r="AJ381" s="43">
        <v>0</v>
      </c>
      <c r="AK381" s="43">
        <v>0</v>
      </c>
      <c r="AL381" s="43">
        <v>0</v>
      </c>
      <c r="AM381" s="43">
        <v>0</v>
      </c>
      <c r="AN381" s="43">
        <v>0</v>
      </c>
      <c r="AO381" s="43">
        <v>0</v>
      </c>
      <c r="AP381" s="43">
        <v>0</v>
      </c>
      <c r="AQ381" s="43">
        <v>0</v>
      </c>
      <c r="AR381" s="43">
        <v>0</v>
      </c>
      <c r="AS381" s="43">
        <v>0</v>
      </c>
      <c r="AT381" s="43">
        <v>0</v>
      </c>
      <c r="AU381" s="43">
        <v>0</v>
      </c>
      <c r="AV381" s="43">
        <v>0</v>
      </c>
      <c r="AW381" s="43">
        <v>1</v>
      </c>
      <c r="AX381" s="43">
        <v>0</v>
      </c>
      <c r="AY381" s="43">
        <v>0</v>
      </c>
      <c r="AZ381" s="43">
        <v>0</v>
      </c>
      <c r="BA381" s="43">
        <v>1</v>
      </c>
      <c r="BB381" s="43">
        <v>0</v>
      </c>
      <c r="BC381" s="43">
        <v>0</v>
      </c>
      <c r="BD381" s="43">
        <v>0</v>
      </c>
      <c r="BE381" s="43">
        <v>0</v>
      </c>
      <c r="BF381" s="43">
        <v>0</v>
      </c>
      <c r="BG381" s="43">
        <v>0</v>
      </c>
      <c r="BH381" s="43">
        <v>0</v>
      </c>
      <c r="BI381" s="43">
        <v>0</v>
      </c>
      <c r="BJ381" s="43" t="s">
        <v>2090</v>
      </c>
      <c r="BK381" s="43" t="s">
        <v>2090</v>
      </c>
      <c r="BL381" s="43" t="s">
        <v>2090</v>
      </c>
      <c r="BM381" s="43" t="s">
        <v>2090</v>
      </c>
      <c r="BN381" s="43" t="s">
        <v>2091</v>
      </c>
      <c r="BO381" s="43" t="s">
        <v>2090</v>
      </c>
      <c r="BP381" s="43" t="s">
        <v>2090</v>
      </c>
      <c r="BQ381" s="43" t="s">
        <v>2090</v>
      </c>
      <c r="BR381" s="43" t="s">
        <v>2090</v>
      </c>
      <c r="BS381" s="43" t="s">
        <v>2090</v>
      </c>
      <c r="BT381" s="43" t="s">
        <v>2090</v>
      </c>
      <c r="BU381" s="43" t="s">
        <v>2090</v>
      </c>
      <c r="BV381" s="43" t="s">
        <v>2091</v>
      </c>
      <c r="BW381" s="43" t="s">
        <v>2090</v>
      </c>
    </row>
    <row r="382" spans="1:75" ht="141.19999999999999" customHeight="1" x14ac:dyDescent="0.25">
      <c r="A382" s="38" t="s">
        <v>1569</v>
      </c>
      <c r="B382" s="38" t="s">
        <v>1958</v>
      </c>
      <c r="C382" s="45" t="s">
        <v>520</v>
      </c>
      <c r="D382" s="46" t="s">
        <v>1570</v>
      </c>
      <c r="E382" s="41">
        <v>53255.264969999997</v>
      </c>
      <c r="F382" s="41">
        <v>2594445.3838499999</v>
      </c>
      <c r="G382" s="41">
        <v>204402</v>
      </c>
      <c r="H382" s="41">
        <v>278597.90000000002</v>
      </c>
      <c r="I382" s="42">
        <v>0.70374403763639926</v>
      </c>
      <c r="J382" s="41">
        <v>0</v>
      </c>
      <c r="K382" s="41">
        <v>6491.9965899999997</v>
      </c>
      <c r="L382" s="41">
        <v>70029</v>
      </c>
      <c r="M382" s="41">
        <v>103870.1</v>
      </c>
      <c r="N382" s="42">
        <v>0.62650189619933128</v>
      </c>
      <c r="O382" s="41">
        <v>8190.7245400000002</v>
      </c>
      <c r="P382" s="41">
        <v>1256079.68215</v>
      </c>
      <c r="Q382" s="41">
        <v>52710.1</v>
      </c>
      <c r="R382" s="41">
        <v>143716.70000000001</v>
      </c>
      <c r="S382" s="42">
        <v>0.35308524448290785</v>
      </c>
      <c r="T382" s="41">
        <v>3861.7612600000002</v>
      </c>
      <c r="U382" s="41">
        <v>451264.11343000003</v>
      </c>
      <c r="V382" s="41">
        <v>38611.4</v>
      </c>
      <c r="W382" s="41">
        <v>175133.3</v>
      </c>
      <c r="X382" s="42">
        <v>0.21228249299415636</v>
      </c>
      <c r="Y382" s="43">
        <v>2</v>
      </c>
      <c r="Z382" s="43" t="s">
        <v>2090</v>
      </c>
      <c r="AA382" s="43" t="s">
        <v>2091</v>
      </c>
      <c r="AB382" s="43" t="s">
        <v>2090</v>
      </c>
      <c r="AC382" s="43" t="s">
        <v>2090</v>
      </c>
      <c r="AD382" s="43">
        <v>0</v>
      </c>
      <c r="AE382" s="43">
        <v>0</v>
      </c>
      <c r="AF382" s="43">
        <v>0</v>
      </c>
      <c r="AG382" s="43">
        <v>0</v>
      </c>
      <c r="AH382" s="43">
        <v>0</v>
      </c>
      <c r="AI382" s="43">
        <v>0</v>
      </c>
      <c r="AJ382" s="43">
        <v>0</v>
      </c>
      <c r="AK382" s="43">
        <v>1</v>
      </c>
      <c r="AL382" s="43">
        <v>0</v>
      </c>
      <c r="AM382" s="43">
        <v>0</v>
      </c>
      <c r="AN382" s="43">
        <v>0</v>
      </c>
      <c r="AO382" s="43">
        <v>0</v>
      </c>
      <c r="AP382" s="43">
        <v>0</v>
      </c>
      <c r="AQ382" s="43">
        <v>0</v>
      </c>
      <c r="AR382" s="43">
        <v>0</v>
      </c>
      <c r="AS382" s="43">
        <v>0</v>
      </c>
      <c r="AT382" s="43">
        <v>0</v>
      </c>
      <c r="AU382" s="43">
        <v>0</v>
      </c>
      <c r="AV382" s="43">
        <v>0</v>
      </c>
      <c r="AW382" s="43">
        <v>0</v>
      </c>
      <c r="AX382" s="43">
        <v>0</v>
      </c>
      <c r="AY382" s="43">
        <v>0</v>
      </c>
      <c r="AZ382" s="43">
        <v>0</v>
      </c>
      <c r="BA382" s="43">
        <v>0</v>
      </c>
      <c r="BB382" s="43">
        <v>0</v>
      </c>
      <c r="BC382" s="43">
        <v>0</v>
      </c>
      <c r="BD382" s="43">
        <v>0</v>
      </c>
      <c r="BE382" s="43">
        <v>0</v>
      </c>
      <c r="BF382" s="43">
        <v>0</v>
      </c>
      <c r="BG382" s="43">
        <v>0</v>
      </c>
      <c r="BH382" s="43">
        <v>0</v>
      </c>
      <c r="BI382" s="43">
        <v>0</v>
      </c>
      <c r="BJ382" s="43" t="s">
        <v>2090</v>
      </c>
      <c r="BK382" s="43" t="s">
        <v>2091</v>
      </c>
      <c r="BL382" s="43" t="s">
        <v>2090</v>
      </c>
      <c r="BM382" s="43" t="s">
        <v>2090</v>
      </c>
      <c r="BN382" s="43" t="s">
        <v>2090</v>
      </c>
      <c r="BO382" s="43" t="s">
        <v>2090</v>
      </c>
      <c r="BP382" s="43" t="s">
        <v>2090</v>
      </c>
      <c r="BQ382" s="43" t="s">
        <v>2090</v>
      </c>
      <c r="BR382" s="43" t="s">
        <v>2091</v>
      </c>
      <c r="BS382" s="43" t="s">
        <v>2091</v>
      </c>
      <c r="BT382" s="43" t="s">
        <v>2090</v>
      </c>
      <c r="BU382" s="43" t="s">
        <v>2090</v>
      </c>
      <c r="BV382" s="43" t="s">
        <v>2090</v>
      </c>
      <c r="BW382" s="43" t="s">
        <v>2090</v>
      </c>
    </row>
    <row r="383" spans="1:75" ht="120.2" customHeight="1" x14ac:dyDescent="0.25">
      <c r="A383" s="38" t="s">
        <v>1571</v>
      </c>
      <c r="B383" s="38" t="s">
        <v>1959</v>
      </c>
      <c r="C383" s="39" t="s">
        <v>559</v>
      </c>
      <c r="D383" s="40" t="s">
        <v>1572</v>
      </c>
      <c r="E383" s="41">
        <v>68885.636369999993</v>
      </c>
      <c r="F383" s="41">
        <v>2941012.9038800001</v>
      </c>
      <c r="G383" s="41">
        <v>125093.9</v>
      </c>
      <c r="H383" s="41">
        <v>117196.5</v>
      </c>
      <c r="I383" s="42">
        <v>1.0015745095195674</v>
      </c>
      <c r="J383" s="41">
        <v>0</v>
      </c>
      <c r="K383" s="41">
        <v>0</v>
      </c>
      <c r="L383" s="41">
        <v>92458.3</v>
      </c>
      <c r="M383" s="41">
        <v>455686.7</v>
      </c>
      <c r="N383" s="42">
        <v>0.18898490682394981</v>
      </c>
      <c r="O383" s="41">
        <v>60278.960429999999</v>
      </c>
      <c r="P383" s="41">
        <v>2929786.6477299999</v>
      </c>
      <c r="Q383" s="41">
        <v>196384</v>
      </c>
      <c r="R383" s="41">
        <v>199302.3</v>
      </c>
      <c r="S383" s="42">
        <v>0.95126769838656566</v>
      </c>
      <c r="T383" s="41">
        <v>3045.3626399999998</v>
      </c>
      <c r="U383" s="41">
        <v>496012.21185000002</v>
      </c>
      <c r="V383" s="41">
        <v>71210.600000000006</v>
      </c>
      <c r="W383" s="41">
        <v>302929.7</v>
      </c>
      <c r="X383" s="42">
        <v>0.22552955949902517</v>
      </c>
      <c r="Y383" s="43">
        <v>1</v>
      </c>
      <c r="Z383" s="43" t="s">
        <v>2090</v>
      </c>
      <c r="AA383" s="43" t="s">
        <v>2090</v>
      </c>
      <c r="AB383" s="43" t="s">
        <v>2090</v>
      </c>
      <c r="AC383" s="43" t="s">
        <v>2090</v>
      </c>
      <c r="AD383" s="43">
        <v>0</v>
      </c>
      <c r="AE383" s="43">
        <v>0</v>
      </c>
      <c r="AF383" s="43">
        <v>0</v>
      </c>
      <c r="AG383" s="43">
        <v>0</v>
      </c>
      <c r="AH383" s="43">
        <v>0</v>
      </c>
      <c r="AI383" s="43">
        <v>0</v>
      </c>
      <c r="AJ383" s="43">
        <v>0</v>
      </c>
      <c r="AK383" s="43">
        <v>0</v>
      </c>
      <c r="AL383" s="43">
        <v>0</v>
      </c>
      <c r="AM383" s="43">
        <v>0</v>
      </c>
      <c r="AN383" s="43">
        <v>0</v>
      </c>
      <c r="AO383" s="43">
        <v>0</v>
      </c>
      <c r="AP383" s="43">
        <v>0</v>
      </c>
      <c r="AQ383" s="43">
        <v>0</v>
      </c>
      <c r="AR383" s="43">
        <v>0</v>
      </c>
      <c r="AS383" s="43">
        <v>0</v>
      </c>
      <c r="AT383" s="43">
        <v>1</v>
      </c>
      <c r="AU383" s="43">
        <v>0</v>
      </c>
      <c r="AV383" s="43">
        <v>0</v>
      </c>
      <c r="AW383" s="43">
        <v>0</v>
      </c>
      <c r="AX383" s="43">
        <v>0</v>
      </c>
      <c r="AY383" s="43">
        <v>0</v>
      </c>
      <c r="AZ383" s="43">
        <v>0</v>
      </c>
      <c r="BA383" s="43">
        <v>0</v>
      </c>
      <c r="BB383" s="43">
        <v>0</v>
      </c>
      <c r="BC383" s="43">
        <v>0</v>
      </c>
      <c r="BD383" s="43">
        <v>0</v>
      </c>
      <c r="BE383" s="43">
        <v>0</v>
      </c>
      <c r="BF383" s="43">
        <v>0</v>
      </c>
      <c r="BG383" s="43">
        <v>0</v>
      </c>
      <c r="BH383" s="43">
        <v>0</v>
      </c>
      <c r="BI383" s="43">
        <v>0</v>
      </c>
      <c r="BJ383" s="43" t="s">
        <v>2090</v>
      </c>
      <c r="BK383" s="43" t="s">
        <v>2090</v>
      </c>
      <c r="BL383" s="43" t="s">
        <v>2090</v>
      </c>
      <c r="BM383" s="43" t="s">
        <v>2090</v>
      </c>
      <c r="BN383" s="43" t="s">
        <v>2090</v>
      </c>
      <c r="BO383" s="43" t="s">
        <v>2090</v>
      </c>
      <c r="BP383" s="43" t="s">
        <v>2090</v>
      </c>
      <c r="BQ383" s="43" t="s">
        <v>2090</v>
      </c>
      <c r="BR383" s="43" t="s">
        <v>2090</v>
      </c>
      <c r="BS383" s="43" t="s">
        <v>2090</v>
      </c>
      <c r="BT383" s="43" t="s">
        <v>2090</v>
      </c>
      <c r="BU383" s="43" t="s">
        <v>2090</v>
      </c>
      <c r="BV383" s="43" t="s">
        <v>2090</v>
      </c>
      <c r="BW383" s="43" t="s">
        <v>2090</v>
      </c>
    </row>
    <row r="384" spans="1:75" ht="114.95" customHeight="1" x14ac:dyDescent="0.25">
      <c r="A384" s="38" t="s">
        <v>1573</v>
      </c>
      <c r="B384" s="38" t="s">
        <v>1960</v>
      </c>
      <c r="C384" s="47" t="s">
        <v>490</v>
      </c>
      <c r="D384" s="48" t="s">
        <v>1574</v>
      </c>
      <c r="E384" s="41">
        <v>47557.61447</v>
      </c>
      <c r="F384" s="41">
        <v>2540259.3067999999</v>
      </c>
      <c r="G384" s="41">
        <v>268602.09999999998</v>
      </c>
      <c r="H384" s="41">
        <v>270882.8</v>
      </c>
      <c r="I384" s="42">
        <v>0.95047966859260868</v>
      </c>
      <c r="J384" s="41">
        <v>0</v>
      </c>
      <c r="K384" s="41">
        <v>0</v>
      </c>
      <c r="L384" s="41">
        <v>260554.6</v>
      </c>
      <c r="M384" s="41">
        <v>556336.19999999995</v>
      </c>
      <c r="N384" s="42">
        <v>0.40138769129389329</v>
      </c>
      <c r="O384" s="41">
        <v>25760.752069999999</v>
      </c>
      <c r="P384" s="41">
        <v>2242294.9341899999</v>
      </c>
      <c r="Q384" s="41">
        <v>275218.59999999998</v>
      </c>
      <c r="R384" s="41">
        <v>293191.59999999998</v>
      </c>
      <c r="S384" s="42">
        <v>0.88296925232874446</v>
      </c>
      <c r="T384" s="41">
        <v>3537.9694399999998</v>
      </c>
      <c r="U384" s="41">
        <v>458006.03720000002</v>
      </c>
      <c r="V384" s="41">
        <v>27686.400000000001</v>
      </c>
      <c r="W384" s="41">
        <v>145760.20000000001</v>
      </c>
      <c r="X384" s="42">
        <v>0.18276876787515087</v>
      </c>
      <c r="Y384" s="43">
        <v>1</v>
      </c>
      <c r="Z384" s="43" t="s">
        <v>2090</v>
      </c>
      <c r="AA384" s="43" t="s">
        <v>2091</v>
      </c>
      <c r="AB384" s="43" t="s">
        <v>2090</v>
      </c>
      <c r="AC384" s="43" t="s">
        <v>2090</v>
      </c>
      <c r="AD384" s="43">
        <v>0</v>
      </c>
      <c r="AE384" s="43">
        <v>0</v>
      </c>
      <c r="AF384" s="43">
        <v>0</v>
      </c>
      <c r="AG384" s="43">
        <v>0</v>
      </c>
      <c r="AH384" s="43">
        <v>0</v>
      </c>
      <c r="AI384" s="43">
        <v>0</v>
      </c>
      <c r="AJ384" s="43">
        <v>0</v>
      </c>
      <c r="AK384" s="43">
        <v>0</v>
      </c>
      <c r="AL384" s="43">
        <v>0</v>
      </c>
      <c r="AM384" s="43">
        <v>0</v>
      </c>
      <c r="AN384" s="43">
        <v>0</v>
      </c>
      <c r="AO384" s="43">
        <v>0</v>
      </c>
      <c r="AP384" s="43">
        <v>0</v>
      </c>
      <c r="AQ384" s="43">
        <v>0</v>
      </c>
      <c r="AR384" s="43">
        <v>0</v>
      </c>
      <c r="AS384" s="43">
        <v>0</v>
      </c>
      <c r="AT384" s="43">
        <v>0</v>
      </c>
      <c r="AU384" s="43">
        <v>0</v>
      </c>
      <c r="AV384" s="43">
        <v>0</v>
      </c>
      <c r="AW384" s="43">
        <v>0</v>
      </c>
      <c r="AX384" s="43">
        <v>0</v>
      </c>
      <c r="AY384" s="43">
        <v>0</v>
      </c>
      <c r="AZ384" s="43">
        <v>0</v>
      </c>
      <c r="BA384" s="43">
        <v>0</v>
      </c>
      <c r="BB384" s="43">
        <v>0</v>
      </c>
      <c r="BC384" s="43">
        <v>0</v>
      </c>
      <c r="BD384" s="43">
        <v>0</v>
      </c>
      <c r="BE384" s="43">
        <v>0</v>
      </c>
      <c r="BF384" s="43">
        <v>0</v>
      </c>
      <c r="BG384" s="43">
        <v>0</v>
      </c>
      <c r="BH384" s="43">
        <v>0</v>
      </c>
      <c r="BI384" s="43">
        <v>0</v>
      </c>
      <c r="BJ384" s="43" t="s">
        <v>2090</v>
      </c>
      <c r="BK384" s="43" t="s">
        <v>2090</v>
      </c>
      <c r="BL384" s="43" t="s">
        <v>2090</v>
      </c>
      <c r="BM384" s="43" t="s">
        <v>2090</v>
      </c>
      <c r="BN384" s="43" t="s">
        <v>2090</v>
      </c>
      <c r="BO384" s="43" t="s">
        <v>2090</v>
      </c>
      <c r="BP384" s="43" t="s">
        <v>2090</v>
      </c>
      <c r="BQ384" s="43" t="s">
        <v>2090</v>
      </c>
      <c r="BR384" s="43" t="s">
        <v>2091</v>
      </c>
      <c r="BS384" s="43" t="s">
        <v>2090</v>
      </c>
      <c r="BT384" s="43" t="s">
        <v>2091</v>
      </c>
      <c r="BU384" s="43" t="s">
        <v>2090</v>
      </c>
      <c r="BV384" s="43" t="s">
        <v>2090</v>
      </c>
      <c r="BW384" s="43" t="s">
        <v>2090</v>
      </c>
    </row>
    <row r="385" spans="1:75" ht="206.45" customHeight="1" x14ac:dyDescent="0.25">
      <c r="A385" s="38" t="s">
        <v>1575</v>
      </c>
      <c r="B385" s="38" t="s">
        <v>1961</v>
      </c>
      <c r="C385" s="39" t="s">
        <v>568</v>
      </c>
      <c r="D385" s="40" t="s">
        <v>1576</v>
      </c>
      <c r="E385" s="41">
        <v>52589.984349999999</v>
      </c>
      <c r="F385" s="41">
        <v>2628084.4389900002</v>
      </c>
      <c r="G385" s="41">
        <v>296049.3</v>
      </c>
      <c r="H385" s="41">
        <v>285958.3</v>
      </c>
      <c r="I385" s="42">
        <v>1.0037887676691826</v>
      </c>
      <c r="J385" s="41">
        <v>8850.0958499999997</v>
      </c>
      <c r="K385" s="41">
        <v>1021299.17405</v>
      </c>
      <c r="L385" s="41">
        <v>31653.200000000001</v>
      </c>
      <c r="M385" s="41">
        <v>43079.199999999997</v>
      </c>
      <c r="N385" s="42">
        <v>0.71600668288536518</v>
      </c>
      <c r="O385" s="41">
        <v>75323.381429999994</v>
      </c>
      <c r="P385" s="41">
        <v>3154874.5261300001</v>
      </c>
      <c r="Q385" s="41">
        <v>379508.4</v>
      </c>
      <c r="R385" s="41">
        <v>282195.90000000002</v>
      </c>
      <c r="S385" s="42">
        <v>1.3117732403534823</v>
      </c>
      <c r="T385" s="41">
        <v>62566.72522</v>
      </c>
      <c r="U385" s="41">
        <v>2754624.61222</v>
      </c>
      <c r="V385" s="41">
        <v>15419.6</v>
      </c>
      <c r="W385" s="41">
        <v>16561.599999999999</v>
      </c>
      <c r="X385" s="42">
        <v>0.84734195402298851</v>
      </c>
      <c r="Y385" s="43">
        <v>1</v>
      </c>
      <c r="Z385" s="43" t="s">
        <v>2090</v>
      </c>
      <c r="AA385" s="43" t="s">
        <v>2090</v>
      </c>
      <c r="AB385" s="43" t="s">
        <v>2090</v>
      </c>
      <c r="AC385" s="43" t="s">
        <v>2090</v>
      </c>
      <c r="AD385" s="43">
        <v>0</v>
      </c>
      <c r="AE385" s="43">
        <v>0</v>
      </c>
      <c r="AF385" s="43">
        <v>0</v>
      </c>
      <c r="AG385" s="43">
        <v>0</v>
      </c>
      <c r="AH385" s="43">
        <v>0</v>
      </c>
      <c r="AI385" s="43">
        <v>0</v>
      </c>
      <c r="AJ385" s="43">
        <v>0</v>
      </c>
      <c r="AK385" s="43">
        <v>0</v>
      </c>
      <c r="AL385" s="43">
        <v>0</v>
      </c>
      <c r="AM385" s="43">
        <v>0</v>
      </c>
      <c r="AN385" s="43">
        <v>0</v>
      </c>
      <c r="AO385" s="43">
        <v>0</v>
      </c>
      <c r="AP385" s="43">
        <v>0</v>
      </c>
      <c r="AQ385" s="43">
        <v>0</v>
      </c>
      <c r="AR385" s="43">
        <v>0</v>
      </c>
      <c r="AS385" s="43">
        <v>0</v>
      </c>
      <c r="AT385" s="43">
        <v>0</v>
      </c>
      <c r="AU385" s="43">
        <v>1</v>
      </c>
      <c r="AV385" s="43">
        <v>0</v>
      </c>
      <c r="AW385" s="43">
        <v>0</v>
      </c>
      <c r="AX385" s="43">
        <v>0</v>
      </c>
      <c r="AY385" s="43">
        <v>0</v>
      </c>
      <c r="AZ385" s="43">
        <v>0</v>
      </c>
      <c r="BA385" s="43">
        <v>0</v>
      </c>
      <c r="BB385" s="43">
        <v>0</v>
      </c>
      <c r="BC385" s="43">
        <v>0</v>
      </c>
      <c r="BD385" s="43">
        <v>0</v>
      </c>
      <c r="BE385" s="43">
        <v>0</v>
      </c>
      <c r="BF385" s="43">
        <v>0</v>
      </c>
      <c r="BG385" s="43">
        <v>0</v>
      </c>
      <c r="BH385" s="43">
        <v>0</v>
      </c>
      <c r="BI385" s="43">
        <v>0</v>
      </c>
      <c r="BJ385" s="43" t="s">
        <v>2090</v>
      </c>
      <c r="BK385" s="43" t="s">
        <v>2090</v>
      </c>
      <c r="BL385" s="43" t="s">
        <v>2090</v>
      </c>
      <c r="BM385" s="43" t="s">
        <v>2090</v>
      </c>
      <c r="BN385" s="43" t="s">
        <v>2090</v>
      </c>
      <c r="BO385" s="43" t="s">
        <v>2090</v>
      </c>
      <c r="BP385" s="43" t="s">
        <v>2090</v>
      </c>
      <c r="BQ385" s="43" t="s">
        <v>2090</v>
      </c>
      <c r="BR385" s="43" t="s">
        <v>2090</v>
      </c>
      <c r="BS385" s="43" t="s">
        <v>2090</v>
      </c>
      <c r="BT385" s="43" t="s">
        <v>2090</v>
      </c>
      <c r="BU385" s="43" t="s">
        <v>2090</v>
      </c>
      <c r="BV385" s="43" t="s">
        <v>2090</v>
      </c>
      <c r="BW385" s="43" t="s">
        <v>2090</v>
      </c>
    </row>
    <row r="386" spans="1:75" x14ac:dyDescent="0.25">
      <c r="D386" s="27"/>
    </row>
    <row r="387" spans="1:75" x14ac:dyDescent="0.25">
      <c r="D387" s="27"/>
    </row>
    <row r="388" spans="1:75" x14ac:dyDescent="0.25">
      <c r="D388" s="27"/>
    </row>
    <row r="389" spans="1:75" x14ac:dyDescent="0.25">
      <c r="D389" s="27"/>
    </row>
    <row r="390" spans="1:75" x14ac:dyDescent="0.25">
      <c r="D390" s="27"/>
    </row>
    <row r="391" spans="1:75" x14ac:dyDescent="0.25">
      <c r="D391" s="27"/>
    </row>
    <row r="392" spans="1:75" x14ac:dyDescent="0.25">
      <c r="D392" s="27"/>
    </row>
    <row r="393" spans="1:75" x14ac:dyDescent="0.25">
      <c r="D393" s="27"/>
    </row>
    <row r="394" spans="1:75" x14ac:dyDescent="0.25">
      <c r="D394" s="27"/>
    </row>
    <row r="395" spans="1:75" x14ac:dyDescent="0.25">
      <c r="D395" s="27"/>
    </row>
    <row r="396" spans="1:75" x14ac:dyDescent="0.25">
      <c r="D396" s="27"/>
    </row>
    <row r="397" spans="1:75" x14ac:dyDescent="0.25">
      <c r="D397" s="27"/>
    </row>
    <row r="398" spans="1:75" x14ac:dyDescent="0.25">
      <c r="D398" s="27"/>
    </row>
    <row r="399" spans="1:75" x14ac:dyDescent="0.25">
      <c r="D399" s="27"/>
    </row>
    <row r="400" spans="1:75" x14ac:dyDescent="0.25">
      <c r="D400" s="27"/>
    </row>
    <row r="401" spans="1:24" s="27" customFormat="1" x14ac:dyDescent="0.25">
      <c r="A401" s="26"/>
      <c r="B401" s="26"/>
      <c r="C401" s="23"/>
      <c r="E401" s="29"/>
      <c r="F401" s="29"/>
      <c r="G401" s="29"/>
      <c r="H401" s="29"/>
      <c r="I401" s="2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</row>
    <row r="402" spans="1:24" s="27" customFormat="1" x14ac:dyDescent="0.25">
      <c r="A402" s="26"/>
      <c r="B402" s="26"/>
      <c r="C402" s="23"/>
      <c r="E402" s="29"/>
      <c r="F402" s="29"/>
      <c r="G402" s="29"/>
      <c r="H402" s="29"/>
      <c r="I402" s="2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</row>
    <row r="403" spans="1:24" s="27" customFormat="1" x14ac:dyDescent="0.25">
      <c r="A403" s="26"/>
      <c r="B403" s="26"/>
      <c r="C403" s="23"/>
      <c r="E403" s="29"/>
      <c r="F403" s="29"/>
      <c r="G403" s="29"/>
      <c r="H403" s="29"/>
      <c r="I403" s="2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</row>
    <row r="404" spans="1:24" s="27" customFormat="1" x14ac:dyDescent="0.25">
      <c r="A404" s="26"/>
      <c r="B404" s="26"/>
      <c r="C404" s="23"/>
      <c r="E404" s="29"/>
      <c r="F404" s="29"/>
      <c r="G404" s="29"/>
      <c r="H404" s="29"/>
      <c r="I404" s="2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</row>
    <row r="405" spans="1:24" s="27" customFormat="1" x14ac:dyDescent="0.25">
      <c r="A405" s="26"/>
      <c r="B405" s="26"/>
      <c r="C405" s="23"/>
      <c r="E405" s="29"/>
      <c r="F405" s="29"/>
      <c r="G405" s="29"/>
      <c r="H405" s="29"/>
      <c r="I405" s="2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</row>
    <row r="406" spans="1:24" s="27" customFormat="1" x14ac:dyDescent="0.25">
      <c r="A406" s="26"/>
      <c r="B406" s="26"/>
      <c r="C406" s="23"/>
      <c r="E406" s="29"/>
      <c r="F406" s="29"/>
      <c r="G406" s="29"/>
      <c r="H406" s="29"/>
      <c r="I406" s="2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</row>
    <row r="407" spans="1:24" s="27" customFormat="1" x14ac:dyDescent="0.25">
      <c r="A407" s="26"/>
      <c r="B407" s="26"/>
      <c r="C407" s="23"/>
      <c r="E407" s="29"/>
      <c r="F407" s="29"/>
      <c r="G407" s="29"/>
      <c r="H407" s="29"/>
      <c r="I407" s="2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</row>
    <row r="408" spans="1:24" s="27" customFormat="1" x14ac:dyDescent="0.25">
      <c r="A408" s="26"/>
      <c r="B408" s="26"/>
      <c r="C408" s="23"/>
      <c r="E408" s="29"/>
      <c r="F408" s="29"/>
      <c r="G408" s="29"/>
      <c r="H408" s="29"/>
      <c r="I408" s="2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</row>
    <row r="409" spans="1:24" s="27" customFormat="1" x14ac:dyDescent="0.25">
      <c r="A409" s="26"/>
      <c r="B409" s="26"/>
      <c r="C409" s="23"/>
      <c r="E409" s="29"/>
      <c r="F409" s="29"/>
      <c r="G409" s="29"/>
      <c r="H409" s="29"/>
      <c r="I409" s="2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</row>
    <row r="410" spans="1:24" s="27" customFormat="1" x14ac:dyDescent="0.25">
      <c r="A410" s="26"/>
      <c r="B410" s="26"/>
      <c r="C410" s="23"/>
      <c r="E410" s="29"/>
      <c r="F410" s="29"/>
      <c r="G410" s="29"/>
      <c r="H410" s="29"/>
      <c r="I410" s="2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</row>
    <row r="411" spans="1:24" s="27" customFormat="1" x14ac:dyDescent="0.25">
      <c r="A411" s="26"/>
      <c r="B411" s="26"/>
      <c r="C411" s="23"/>
      <c r="E411" s="29"/>
      <c r="F411" s="29"/>
      <c r="G411" s="29"/>
      <c r="H411" s="29"/>
      <c r="I411" s="2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</row>
    <row r="412" spans="1:24" s="27" customFormat="1" x14ac:dyDescent="0.25">
      <c r="A412" s="26"/>
      <c r="B412" s="26"/>
      <c r="C412" s="23"/>
      <c r="E412" s="29"/>
      <c r="F412" s="29"/>
      <c r="G412" s="29"/>
      <c r="H412" s="29"/>
      <c r="I412" s="2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</row>
    <row r="413" spans="1:24" s="27" customFormat="1" x14ac:dyDescent="0.25">
      <c r="A413" s="26"/>
      <c r="B413" s="26"/>
      <c r="C413" s="23"/>
      <c r="E413" s="29"/>
      <c r="F413" s="29"/>
      <c r="G413" s="29"/>
      <c r="H413" s="29"/>
      <c r="I413" s="2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</row>
    <row r="414" spans="1:24" s="27" customFormat="1" x14ac:dyDescent="0.25">
      <c r="A414" s="26"/>
      <c r="B414" s="26"/>
      <c r="C414" s="23"/>
      <c r="E414" s="29"/>
      <c r="F414" s="29"/>
      <c r="G414" s="29"/>
      <c r="H414" s="29"/>
      <c r="I414" s="2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</row>
    <row r="415" spans="1:24" s="27" customFormat="1" x14ac:dyDescent="0.25">
      <c r="A415" s="26"/>
      <c r="B415" s="26"/>
      <c r="C415" s="23"/>
      <c r="E415" s="29"/>
      <c r="F415" s="29"/>
      <c r="G415" s="29"/>
      <c r="H415" s="29"/>
      <c r="I415" s="2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</row>
    <row r="416" spans="1:24" s="27" customFormat="1" x14ac:dyDescent="0.25">
      <c r="A416" s="26"/>
      <c r="B416" s="26"/>
      <c r="C416" s="23"/>
      <c r="E416" s="29"/>
      <c r="F416" s="29"/>
      <c r="G416" s="29"/>
      <c r="H416" s="29"/>
      <c r="I416" s="2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</row>
    <row r="417" spans="1:24" s="27" customFormat="1" x14ac:dyDescent="0.25">
      <c r="A417" s="26"/>
      <c r="B417" s="26"/>
      <c r="C417" s="23"/>
      <c r="E417" s="29"/>
      <c r="F417" s="29"/>
      <c r="G417" s="29"/>
      <c r="H417" s="29"/>
      <c r="I417" s="2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</row>
    <row r="418" spans="1:24" s="27" customFormat="1" x14ac:dyDescent="0.25">
      <c r="A418" s="26"/>
      <c r="B418" s="26"/>
      <c r="C418" s="23"/>
      <c r="E418" s="29"/>
      <c r="F418" s="29"/>
      <c r="G418" s="29"/>
      <c r="H418" s="29"/>
      <c r="I418" s="2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</row>
    <row r="419" spans="1:24" s="27" customFormat="1" x14ac:dyDescent="0.25">
      <c r="A419" s="26"/>
      <c r="B419" s="26"/>
      <c r="C419" s="23"/>
      <c r="E419" s="29"/>
      <c r="F419" s="29"/>
      <c r="G419" s="29"/>
      <c r="H419" s="29"/>
      <c r="I419" s="2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</row>
    <row r="420" spans="1:24" s="27" customFormat="1" x14ac:dyDescent="0.25">
      <c r="A420" s="26"/>
      <c r="B420" s="26"/>
      <c r="C420" s="23"/>
      <c r="E420" s="29"/>
      <c r="F420" s="29"/>
      <c r="G420" s="29"/>
      <c r="H420" s="29"/>
      <c r="I420" s="2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</row>
    <row r="421" spans="1:24" s="27" customFormat="1" x14ac:dyDescent="0.25">
      <c r="A421" s="26"/>
      <c r="B421" s="26"/>
      <c r="C421" s="23"/>
      <c r="E421" s="29"/>
      <c r="F421" s="29"/>
      <c r="G421" s="29"/>
      <c r="H421" s="29"/>
      <c r="I421" s="2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</row>
    <row r="422" spans="1:24" s="27" customFormat="1" x14ac:dyDescent="0.25">
      <c r="A422" s="26"/>
      <c r="B422" s="26"/>
      <c r="C422" s="23"/>
      <c r="E422" s="29"/>
      <c r="F422" s="29"/>
      <c r="G422" s="29"/>
      <c r="H422" s="29"/>
      <c r="I422" s="2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</row>
    <row r="423" spans="1:24" s="27" customFormat="1" x14ac:dyDescent="0.25">
      <c r="A423" s="26"/>
      <c r="B423" s="26"/>
      <c r="C423" s="23"/>
      <c r="E423" s="29"/>
      <c r="F423" s="29"/>
      <c r="G423" s="29"/>
      <c r="H423" s="29"/>
      <c r="I423" s="2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</row>
    <row r="424" spans="1:24" s="27" customFormat="1" x14ac:dyDescent="0.25">
      <c r="A424" s="26"/>
      <c r="B424" s="26"/>
      <c r="C424" s="23"/>
      <c r="E424" s="29"/>
      <c r="F424" s="29"/>
      <c r="G424" s="29"/>
      <c r="H424" s="29"/>
      <c r="I424" s="2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</row>
    <row r="425" spans="1:24" s="27" customFormat="1" x14ac:dyDescent="0.25">
      <c r="A425" s="26"/>
      <c r="B425" s="26"/>
      <c r="C425" s="23"/>
      <c r="E425" s="29"/>
      <c r="F425" s="29"/>
      <c r="G425" s="29"/>
      <c r="H425" s="29"/>
      <c r="I425" s="2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</row>
    <row r="426" spans="1:24" s="27" customFormat="1" x14ac:dyDescent="0.25">
      <c r="A426" s="26"/>
      <c r="B426" s="26"/>
      <c r="C426" s="23"/>
      <c r="E426" s="29"/>
      <c r="F426" s="29"/>
      <c r="G426" s="29"/>
      <c r="H426" s="29"/>
      <c r="I426" s="2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</row>
    <row r="427" spans="1:24" s="27" customFormat="1" x14ac:dyDescent="0.25">
      <c r="A427" s="26"/>
      <c r="B427" s="26"/>
      <c r="C427" s="23"/>
      <c r="E427" s="29"/>
      <c r="F427" s="29"/>
      <c r="G427" s="29"/>
      <c r="H427" s="29"/>
      <c r="I427" s="2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</row>
    <row r="428" spans="1:24" s="27" customFormat="1" x14ac:dyDescent="0.25">
      <c r="A428" s="26"/>
      <c r="B428" s="26"/>
      <c r="C428" s="23"/>
      <c r="E428" s="29"/>
      <c r="F428" s="29"/>
      <c r="G428" s="29"/>
      <c r="H428" s="29"/>
      <c r="I428" s="2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</row>
    <row r="429" spans="1:24" s="27" customFormat="1" x14ac:dyDescent="0.25">
      <c r="A429" s="26"/>
      <c r="B429" s="26"/>
      <c r="C429" s="23"/>
      <c r="E429" s="29"/>
      <c r="F429" s="29"/>
      <c r="G429" s="29"/>
      <c r="H429" s="29"/>
      <c r="I429" s="2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</row>
    <row r="430" spans="1:24" s="27" customFormat="1" x14ac:dyDescent="0.25">
      <c r="A430" s="26"/>
      <c r="B430" s="26"/>
      <c r="C430" s="23"/>
      <c r="E430" s="29"/>
      <c r="F430" s="29"/>
      <c r="G430" s="29"/>
      <c r="H430" s="29"/>
      <c r="I430" s="2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</row>
    <row r="431" spans="1:24" s="27" customFormat="1" x14ac:dyDescent="0.25">
      <c r="A431" s="26"/>
      <c r="B431" s="26"/>
      <c r="C431" s="23"/>
      <c r="E431" s="29"/>
      <c r="F431" s="29"/>
      <c r="G431" s="29"/>
      <c r="H431" s="29"/>
      <c r="I431" s="2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</row>
    <row r="432" spans="1:24" s="27" customFormat="1" x14ac:dyDescent="0.25">
      <c r="A432" s="26"/>
      <c r="B432" s="26"/>
      <c r="C432" s="23"/>
      <c r="E432" s="29"/>
      <c r="F432" s="29"/>
      <c r="G432" s="29"/>
      <c r="H432" s="29"/>
      <c r="I432" s="2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</row>
    <row r="433" spans="1:24" s="27" customFormat="1" x14ac:dyDescent="0.25">
      <c r="A433" s="26"/>
      <c r="B433" s="26"/>
      <c r="C433" s="23"/>
      <c r="E433" s="29"/>
      <c r="F433" s="29"/>
      <c r="G433" s="29"/>
      <c r="H433" s="29"/>
      <c r="I433" s="2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</row>
    <row r="434" spans="1:24" s="27" customFormat="1" x14ac:dyDescent="0.25">
      <c r="A434" s="26"/>
      <c r="B434" s="26"/>
      <c r="C434" s="23"/>
      <c r="E434" s="29"/>
      <c r="F434" s="29"/>
      <c r="G434" s="29"/>
      <c r="H434" s="29"/>
      <c r="I434" s="2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</row>
    <row r="435" spans="1:24" s="27" customFormat="1" x14ac:dyDescent="0.25">
      <c r="A435" s="26"/>
      <c r="B435" s="26"/>
      <c r="C435" s="23"/>
      <c r="E435" s="29"/>
      <c r="F435" s="29"/>
      <c r="G435" s="29"/>
      <c r="H435" s="29"/>
      <c r="I435" s="2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</row>
    <row r="436" spans="1:24" s="27" customFormat="1" x14ac:dyDescent="0.25">
      <c r="A436" s="26"/>
      <c r="B436" s="26"/>
      <c r="C436" s="23"/>
      <c r="E436" s="29"/>
      <c r="F436" s="29"/>
      <c r="G436" s="29"/>
      <c r="H436" s="29"/>
      <c r="I436" s="2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</row>
    <row r="437" spans="1:24" s="27" customFormat="1" x14ac:dyDescent="0.25">
      <c r="A437" s="26"/>
      <c r="B437" s="26"/>
      <c r="C437" s="23"/>
      <c r="E437" s="29"/>
      <c r="F437" s="29"/>
      <c r="G437" s="29"/>
      <c r="H437" s="29"/>
      <c r="I437" s="2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</row>
    <row r="438" spans="1:24" s="27" customFormat="1" x14ac:dyDescent="0.25">
      <c r="A438" s="26"/>
      <c r="B438" s="26"/>
      <c r="C438" s="23"/>
      <c r="E438" s="29"/>
      <c r="F438" s="29"/>
      <c r="G438" s="29"/>
      <c r="H438" s="29"/>
      <c r="I438" s="2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</row>
    <row r="439" spans="1:24" s="27" customFormat="1" x14ac:dyDescent="0.25">
      <c r="A439" s="26"/>
      <c r="B439" s="26"/>
      <c r="C439" s="23"/>
      <c r="E439" s="29"/>
      <c r="F439" s="29"/>
      <c r="G439" s="29"/>
      <c r="H439" s="29"/>
      <c r="I439" s="2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</row>
    <row r="440" spans="1:24" s="27" customFormat="1" x14ac:dyDescent="0.25">
      <c r="A440" s="26"/>
      <c r="B440" s="26"/>
      <c r="C440" s="23"/>
      <c r="E440" s="29"/>
      <c r="F440" s="29"/>
      <c r="G440" s="29"/>
      <c r="H440" s="29"/>
      <c r="I440" s="2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</row>
    <row r="441" spans="1:24" s="27" customFormat="1" x14ac:dyDescent="0.25">
      <c r="A441" s="26"/>
      <c r="B441" s="26"/>
      <c r="C441" s="23"/>
      <c r="E441" s="29"/>
      <c r="F441" s="29"/>
      <c r="G441" s="29"/>
      <c r="H441" s="29"/>
      <c r="I441" s="2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</row>
    <row r="442" spans="1:24" s="27" customFormat="1" x14ac:dyDescent="0.25">
      <c r="A442" s="26"/>
      <c r="B442" s="26"/>
      <c r="C442" s="23"/>
      <c r="E442" s="29"/>
      <c r="F442" s="29"/>
      <c r="G442" s="29"/>
      <c r="H442" s="29"/>
      <c r="I442" s="2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</row>
    <row r="443" spans="1:24" s="27" customFormat="1" x14ac:dyDescent="0.25">
      <c r="A443" s="26"/>
      <c r="B443" s="26"/>
      <c r="C443" s="23"/>
      <c r="E443" s="29"/>
      <c r="F443" s="29"/>
      <c r="G443" s="29"/>
      <c r="H443" s="29"/>
      <c r="I443" s="2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</row>
    <row r="444" spans="1:24" s="27" customFormat="1" x14ac:dyDescent="0.25">
      <c r="A444" s="26"/>
      <c r="B444" s="26"/>
      <c r="C444" s="23"/>
      <c r="E444" s="29"/>
      <c r="F444" s="29"/>
      <c r="G444" s="29"/>
      <c r="H444" s="29"/>
      <c r="I444" s="2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</row>
    <row r="445" spans="1:24" s="27" customFormat="1" x14ac:dyDescent="0.25">
      <c r="A445" s="26"/>
      <c r="B445" s="26"/>
      <c r="C445" s="23"/>
      <c r="E445" s="29"/>
      <c r="F445" s="29"/>
      <c r="G445" s="29"/>
      <c r="H445" s="29"/>
      <c r="I445" s="2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</row>
    <row r="446" spans="1:24" s="27" customFormat="1" x14ac:dyDescent="0.25">
      <c r="A446" s="26"/>
      <c r="B446" s="26"/>
      <c r="C446" s="23"/>
      <c r="E446" s="29"/>
      <c r="F446" s="29"/>
      <c r="G446" s="29"/>
      <c r="H446" s="29"/>
      <c r="I446" s="2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</row>
    <row r="447" spans="1:24" s="27" customFormat="1" x14ac:dyDescent="0.25">
      <c r="A447" s="26"/>
      <c r="B447" s="26"/>
      <c r="C447" s="23"/>
      <c r="E447" s="29"/>
      <c r="F447" s="29"/>
      <c r="G447" s="29"/>
      <c r="H447" s="29"/>
      <c r="I447" s="2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</row>
    <row r="448" spans="1:24" s="27" customFormat="1" x14ac:dyDescent="0.25">
      <c r="A448" s="26"/>
      <c r="B448" s="26"/>
      <c r="C448" s="23"/>
      <c r="E448" s="29"/>
      <c r="F448" s="29"/>
      <c r="G448" s="29"/>
      <c r="H448" s="29"/>
      <c r="I448" s="2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</row>
    <row r="449" spans="1:24" s="27" customFormat="1" x14ac:dyDescent="0.25">
      <c r="A449" s="26"/>
      <c r="B449" s="26"/>
      <c r="C449" s="23"/>
      <c r="E449" s="29"/>
      <c r="F449" s="29"/>
      <c r="G449" s="29"/>
      <c r="H449" s="29"/>
      <c r="I449" s="2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</row>
    <row r="450" spans="1:24" s="27" customFormat="1" x14ac:dyDescent="0.25">
      <c r="A450" s="26"/>
      <c r="B450" s="26"/>
      <c r="C450" s="23"/>
      <c r="E450" s="29"/>
      <c r="F450" s="29"/>
      <c r="G450" s="29"/>
      <c r="H450" s="29"/>
      <c r="I450" s="2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</row>
    <row r="451" spans="1:24" s="27" customFormat="1" x14ac:dyDescent="0.25">
      <c r="A451" s="26"/>
      <c r="B451" s="26"/>
      <c r="C451" s="23"/>
      <c r="E451" s="29"/>
      <c r="F451" s="29"/>
      <c r="G451" s="29"/>
      <c r="H451" s="29"/>
      <c r="I451" s="2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</row>
    <row r="452" spans="1:24" s="27" customFormat="1" x14ac:dyDescent="0.25">
      <c r="A452" s="26"/>
      <c r="B452" s="26"/>
      <c r="C452" s="23"/>
      <c r="E452" s="29"/>
      <c r="F452" s="29"/>
      <c r="G452" s="29"/>
      <c r="H452" s="29"/>
      <c r="I452" s="2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</row>
    <row r="453" spans="1:24" s="27" customFormat="1" x14ac:dyDescent="0.25">
      <c r="A453" s="26"/>
      <c r="B453" s="26"/>
      <c r="C453" s="23"/>
      <c r="E453" s="29"/>
      <c r="F453" s="29"/>
      <c r="G453" s="29"/>
      <c r="H453" s="29"/>
      <c r="I453" s="2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</row>
    <row r="454" spans="1:24" s="27" customFormat="1" x14ac:dyDescent="0.25">
      <c r="A454" s="26"/>
      <c r="B454" s="26"/>
      <c r="C454" s="23"/>
      <c r="E454" s="29"/>
      <c r="F454" s="29"/>
      <c r="G454" s="29"/>
      <c r="H454" s="29"/>
      <c r="I454" s="2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</row>
    <row r="455" spans="1:24" s="27" customFormat="1" x14ac:dyDescent="0.25">
      <c r="A455" s="26"/>
      <c r="B455" s="26"/>
      <c r="C455" s="23"/>
      <c r="E455" s="29"/>
      <c r="F455" s="29"/>
      <c r="G455" s="29"/>
      <c r="H455" s="29"/>
      <c r="I455" s="2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</row>
    <row r="456" spans="1:24" s="27" customFormat="1" x14ac:dyDescent="0.25">
      <c r="A456" s="26"/>
      <c r="B456" s="26"/>
      <c r="C456" s="23"/>
      <c r="E456" s="29"/>
      <c r="F456" s="29"/>
      <c r="G456" s="29"/>
      <c r="H456" s="29"/>
      <c r="I456" s="2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</row>
    <row r="457" spans="1:24" s="27" customFormat="1" x14ac:dyDescent="0.25">
      <c r="A457" s="26"/>
      <c r="B457" s="26"/>
      <c r="C457" s="23"/>
      <c r="E457" s="29"/>
      <c r="F457" s="29"/>
      <c r="G457" s="29"/>
      <c r="H457" s="29"/>
      <c r="I457" s="2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</row>
    <row r="458" spans="1:24" s="27" customFormat="1" x14ac:dyDescent="0.25">
      <c r="A458" s="26"/>
      <c r="B458" s="26"/>
      <c r="C458" s="23"/>
      <c r="E458" s="29"/>
      <c r="F458" s="29"/>
      <c r="G458" s="29"/>
      <c r="H458" s="29"/>
      <c r="I458" s="2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</row>
    <row r="459" spans="1:24" s="27" customFormat="1" x14ac:dyDescent="0.25">
      <c r="A459" s="26"/>
      <c r="B459" s="26"/>
      <c r="C459" s="23"/>
      <c r="E459" s="29"/>
      <c r="F459" s="29"/>
      <c r="G459" s="29"/>
      <c r="H459" s="29"/>
      <c r="I459" s="2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</row>
    <row r="460" spans="1:24" s="27" customFormat="1" x14ac:dyDescent="0.25">
      <c r="A460" s="26"/>
      <c r="B460" s="26"/>
      <c r="C460" s="23"/>
      <c r="E460" s="29"/>
      <c r="F460" s="29"/>
      <c r="G460" s="29"/>
      <c r="H460" s="29"/>
      <c r="I460" s="2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</row>
    <row r="461" spans="1:24" s="27" customFormat="1" x14ac:dyDescent="0.25">
      <c r="A461" s="26"/>
      <c r="B461" s="26"/>
      <c r="C461" s="23"/>
      <c r="E461" s="29"/>
      <c r="F461" s="29"/>
      <c r="G461" s="29"/>
      <c r="H461" s="29"/>
      <c r="I461" s="2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</row>
    <row r="462" spans="1:24" s="27" customFormat="1" x14ac:dyDescent="0.25">
      <c r="A462" s="26"/>
      <c r="B462" s="26"/>
      <c r="C462" s="23"/>
      <c r="E462" s="29"/>
      <c r="F462" s="29"/>
      <c r="G462" s="29"/>
      <c r="H462" s="29"/>
      <c r="I462" s="2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</row>
    <row r="463" spans="1:24" s="27" customFormat="1" x14ac:dyDescent="0.25">
      <c r="A463" s="26"/>
      <c r="B463" s="26"/>
      <c r="C463" s="23"/>
      <c r="E463" s="29"/>
      <c r="F463" s="29"/>
      <c r="G463" s="29"/>
      <c r="H463" s="29"/>
      <c r="I463" s="2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</row>
    <row r="464" spans="1:24" s="27" customFormat="1" x14ac:dyDescent="0.25">
      <c r="A464" s="26"/>
      <c r="B464" s="26"/>
      <c r="C464" s="23"/>
      <c r="E464" s="29"/>
      <c r="F464" s="29"/>
      <c r="G464" s="29"/>
      <c r="H464" s="29"/>
      <c r="I464" s="2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</row>
    <row r="465" spans="1:24" s="27" customFormat="1" x14ac:dyDescent="0.25">
      <c r="A465" s="26"/>
      <c r="B465" s="26"/>
      <c r="C465" s="23"/>
      <c r="E465" s="29"/>
      <c r="F465" s="29"/>
      <c r="G465" s="29"/>
      <c r="H465" s="29"/>
      <c r="I465" s="2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</row>
    <row r="466" spans="1:24" s="27" customFormat="1" x14ac:dyDescent="0.25">
      <c r="A466" s="26"/>
      <c r="B466" s="26"/>
      <c r="C466" s="23"/>
      <c r="E466" s="29"/>
      <c r="F466" s="29"/>
      <c r="G466" s="29"/>
      <c r="H466" s="29"/>
      <c r="I466" s="2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</row>
    <row r="467" spans="1:24" s="27" customFormat="1" x14ac:dyDescent="0.25">
      <c r="A467" s="26"/>
      <c r="B467" s="26"/>
      <c r="C467" s="23"/>
      <c r="E467" s="29"/>
      <c r="F467" s="29"/>
      <c r="G467" s="29"/>
      <c r="H467" s="29"/>
      <c r="I467" s="2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</row>
    <row r="468" spans="1:24" s="27" customFormat="1" x14ac:dyDescent="0.25">
      <c r="A468" s="26"/>
      <c r="B468" s="26"/>
      <c r="C468" s="23"/>
      <c r="E468" s="29"/>
      <c r="F468" s="29"/>
      <c r="G468" s="29"/>
      <c r="H468" s="29"/>
      <c r="I468" s="2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</row>
    <row r="469" spans="1:24" s="27" customFormat="1" x14ac:dyDescent="0.25">
      <c r="A469" s="26"/>
      <c r="B469" s="26"/>
      <c r="C469" s="23"/>
      <c r="E469" s="29"/>
      <c r="F469" s="29"/>
      <c r="G469" s="29"/>
      <c r="H469" s="29"/>
      <c r="I469" s="2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</row>
    <row r="470" spans="1:24" s="27" customFormat="1" x14ac:dyDescent="0.25">
      <c r="A470" s="26"/>
      <c r="B470" s="26"/>
      <c r="C470" s="23"/>
      <c r="E470" s="29"/>
      <c r="F470" s="29"/>
      <c r="G470" s="29"/>
      <c r="H470" s="29"/>
      <c r="I470" s="2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</row>
    <row r="471" spans="1:24" s="27" customFormat="1" x14ac:dyDescent="0.25">
      <c r="A471" s="26"/>
      <c r="B471" s="26"/>
      <c r="C471" s="23"/>
      <c r="E471" s="29"/>
      <c r="F471" s="29"/>
      <c r="G471" s="29"/>
      <c r="H471" s="29"/>
      <c r="I471" s="2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</row>
    <row r="472" spans="1:24" s="27" customFormat="1" x14ac:dyDescent="0.25">
      <c r="A472" s="26"/>
      <c r="B472" s="26"/>
      <c r="C472" s="23"/>
      <c r="E472" s="29"/>
      <c r="F472" s="29"/>
      <c r="G472" s="29"/>
      <c r="H472" s="29"/>
      <c r="I472" s="2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</row>
    <row r="473" spans="1:24" s="27" customFormat="1" x14ac:dyDescent="0.25">
      <c r="A473" s="26"/>
      <c r="B473" s="26"/>
      <c r="C473" s="23"/>
      <c r="E473" s="29"/>
      <c r="F473" s="29"/>
      <c r="G473" s="29"/>
      <c r="H473" s="29"/>
      <c r="I473" s="2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</row>
    <row r="474" spans="1:24" s="27" customFormat="1" x14ac:dyDescent="0.25">
      <c r="A474" s="26"/>
      <c r="B474" s="26"/>
      <c r="C474" s="23"/>
      <c r="E474" s="29"/>
      <c r="F474" s="29"/>
      <c r="G474" s="29"/>
      <c r="H474" s="29"/>
      <c r="I474" s="2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</row>
    <row r="475" spans="1:24" s="27" customFormat="1" x14ac:dyDescent="0.25">
      <c r="A475" s="26"/>
      <c r="B475" s="26"/>
      <c r="C475" s="23"/>
      <c r="E475" s="29"/>
      <c r="F475" s="29"/>
      <c r="G475" s="29"/>
      <c r="H475" s="29"/>
      <c r="I475" s="2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</row>
    <row r="476" spans="1:24" s="27" customFormat="1" x14ac:dyDescent="0.25">
      <c r="A476" s="26"/>
      <c r="B476" s="26"/>
      <c r="C476" s="23"/>
      <c r="E476" s="29"/>
      <c r="F476" s="29"/>
      <c r="G476" s="29"/>
      <c r="H476" s="29"/>
      <c r="I476" s="2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</row>
    <row r="477" spans="1:24" s="27" customFormat="1" x14ac:dyDescent="0.25">
      <c r="A477" s="26"/>
      <c r="B477" s="26"/>
      <c r="C477" s="23"/>
      <c r="E477" s="29"/>
      <c r="F477" s="29"/>
      <c r="G477" s="29"/>
      <c r="H477" s="29"/>
      <c r="I477" s="2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</row>
    <row r="478" spans="1:24" s="27" customFormat="1" x14ac:dyDescent="0.25">
      <c r="A478" s="26"/>
      <c r="B478" s="26"/>
      <c r="C478" s="23"/>
      <c r="E478" s="29"/>
      <c r="F478" s="29"/>
      <c r="G478" s="29"/>
      <c r="H478" s="29"/>
      <c r="I478" s="2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</row>
    <row r="479" spans="1:24" s="27" customFormat="1" x14ac:dyDescent="0.25">
      <c r="A479" s="26"/>
      <c r="B479" s="26"/>
      <c r="C479" s="23"/>
      <c r="E479" s="29"/>
      <c r="F479" s="29"/>
      <c r="G479" s="29"/>
      <c r="H479" s="29"/>
      <c r="I479" s="2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</row>
    <row r="480" spans="1:24" s="27" customFormat="1" x14ac:dyDescent="0.25">
      <c r="A480" s="26"/>
      <c r="B480" s="26"/>
      <c r="C480" s="23"/>
      <c r="E480" s="29"/>
      <c r="F480" s="29"/>
      <c r="G480" s="29"/>
      <c r="H480" s="29"/>
      <c r="I480" s="2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</row>
    <row r="481" spans="1:24" s="27" customFormat="1" x14ac:dyDescent="0.25">
      <c r="A481" s="26"/>
      <c r="B481" s="26"/>
      <c r="C481" s="23"/>
      <c r="E481" s="29"/>
      <c r="F481" s="29"/>
      <c r="G481" s="29"/>
      <c r="H481" s="29"/>
      <c r="I481" s="2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</row>
    <row r="482" spans="1:24" s="27" customFormat="1" x14ac:dyDescent="0.25">
      <c r="A482" s="26"/>
      <c r="B482" s="26"/>
      <c r="C482" s="23"/>
      <c r="E482" s="29"/>
      <c r="F482" s="29"/>
      <c r="G482" s="29"/>
      <c r="H482" s="29"/>
      <c r="I482" s="2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</row>
    <row r="483" spans="1:24" s="27" customFormat="1" x14ac:dyDescent="0.25">
      <c r="A483" s="26"/>
      <c r="B483" s="26"/>
      <c r="C483" s="23"/>
      <c r="E483" s="29"/>
      <c r="F483" s="29"/>
      <c r="G483" s="29"/>
      <c r="H483" s="29"/>
      <c r="I483" s="2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</row>
    <row r="484" spans="1:24" s="27" customFormat="1" x14ac:dyDescent="0.25">
      <c r="A484" s="26"/>
      <c r="B484" s="26"/>
      <c r="C484" s="23"/>
      <c r="E484" s="29"/>
      <c r="F484" s="29"/>
      <c r="G484" s="29"/>
      <c r="H484" s="29"/>
      <c r="I484" s="2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</row>
    <row r="485" spans="1:24" s="27" customFormat="1" x14ac:dyDescent="0.25">
      <c r="A485" s="26"/>
      <c r="B485" s="26"/>
      <c r="C485" s="23"/>
      <c r="E485" s="29"/>
      <c r="F485" s="29"/>
      <c r="G485" s="29"/>
      <c r="H485" s="29"/>
      <c r="I485" s="2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</row>
    <row r="486" spans="1:24" s="27" customFormat="1" x14ac:dyDescent="0.25">
      <c r="A486" s="26"/>
      <c r="B486" s="26"/>
      <c r="C486" s="23"/>
      <c r="E486" s="29"/>
      <c r="F486" s="29"/>
      <c r="G486" s="29"/>
      <c r="H486" s="29"/>
      <c r="I486" s="2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</row>
    <row r="487" spans="1:24" s="27" customFormat="1" x14ac:dyDescent="0.25">
      <c r="A487" s="26"/>
      <c r="B487" s="26"/>
      <c r="C487" s="23"/>
      <c r="E487" s="29"/>
      <c r="F487" s="29"/>
      <c r="G487" s="29"/>
      <c r="H487" s="29"/>
      <c r="I487" s="2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</row>
    <row r="488" spans="1:24" s="27" customFormat="1" x14ac:dyDescent="0.25">
      <c r="A488" s="26"/>
      <c r="B488" s="26"/>
      <c r="C488" s="23"/>
      <c r="E488" s="29"/>
      <c r="F488" s="29"/>
      <c r="G488" s="29"/>
      <c r="H488" s="29"/>
      <c r="I488" s="2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</row>
    <row r="489" spans="1:24" s="27" customFormat="1" x14ac:dyDescent="0.25">
      <c r="A489" s="26"/>
      <c r="B489" s="26"/>
      <c r="C489" s="23"/>
      <c r="E489" s="29"/>
      <c r="F489" s="29"/>
      <c r="G489" s="29"/>
      <c r="H489" s="29"/>
      <c r="I489" s="2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</row>
    <row r="490" spans="1:24" s="27" customFormat="1" x14ac:dyDescent="0.25">
      <c r="A490" s="26"/>
      <c r="B490" s="26"/>
      <c r="C490" s="23"/>
      <c r="E490" s="29"/>
      <c r="F490" s="29"/>
      <c r="G490" s="29"/>
      <c r="H490" s="29"/>
      <c r="I490" s="2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</row>
    <row r="491" spans="1:24" s="27" customFormat="1" x14ac:dyDescent="0.25">
      <c r="A491" s="26"/>
      <c r="B491" s="26"/>
      <c r="C491" s="23"/>
      <c r="E491" s="29"/>
      <c r="F491" s="29"/>
      <c r="G491" s="29"/>
      <c r="H491" s="29"/>
      <c r="I491" s="2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</row>
    <row r="492" spans="1:24" s="27" customFormat="1" x14ac:dyDescent="0.25">
      <c r="A492" s="26"/>
      <c r="B492" s="26"/>
      <c r="C492" s="23"/>
      <c r="E492" s="29"/>
      <c r="F492" s="29"/>
      <c r="G492" s="29"/>
      <c r="H492" s="29"/>
      <c r="I492" s="2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</row>
    <row r="493" spans="1:24" s="27" customFormat="1" x14ac:dyDescent="0.25">
      <c r="A493" s="26"/>
      <c r="B493" s="26"/>
      <c r="C493" s="23"/>
      <c r="E493" s="29"/>
      <c r="F493" s="29"/>
      <c r="G493" s="29"/>
      <c r="H493" s="29"/>
      <c r="I493" s="2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</row>
    <row r="494" spans="1:24" s="27" customFormat="1" x14ac:dyDescent="0.25">
      <c r="A494" s="26"/>
      <c r="B494" s="26"/>
      <c r="C494" s="23"/>
      <c r="E494" s="29"/>
      <c r="F494" s="29"/>
      <c r="G494" s="29"/>
      <c r="H494" s="29"/>
      <c r="I494" s="2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</row>
    <row r="495" spans="1:24" s="27" customFormat="1" x14ac:dyDescent="0.25">
      <c r="A495" s="26"/>
      <c r="B495" s="26"/>
      <c r="C495" s="23"/>
      <c r="E495" s="29"/>
      <c r="F495" s="29"/>
      <c r="G495" s="29"/>
      <c r="H495" s="29"/>
      <c r="I495" s="2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</row>
    <row r="496" spans="1:24" s="27" customFormat="1" x14ac:dyDescent="0.25">
      <c r="A496" s="26"/>
      <c r="B496" s="26"/>
      <c r="C496" s="23"/>
      <c r="E496" s="29"/>
      <c r="F496" s="29"/>
      <c r="G496" s="29"/>
      <c r="H496" s="29"/>
      <c r="I496" s="2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</row>
    <row r="497" spans="1:24" s="27" customFormat="1" x14ac:dyDescent="0.25">
      <c r="A497" s="26"/>
      <c r="B497" s="26"/>
      <c r="C497" s="23"/>
      <c r="E497" s="29"/>
      <c r="F497" s="29"/>
      <c r="G497" s="29"/>
      <c r="H497" s="29"/>
      <c r="I497" s="2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</row>
    <row r="498" spans="1:24" s="27" customFormat="1" x14ac:dyDescent="0.25">
      <c r="A498" s="26"/>
      <c r="B498" s="26"/>
      <c r="C498" s="23"/>
      <c r="E498" s="29"/>
      <c r="F498" s="29"/>
      <c r="G498" s="29"/>
      <c r="H498" s="29"/>
      <c r="I498" s="2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</row>
    <row r="499" spans="1:24" s="27" customFormat="1" x14ac:dyDescent="0.25">
      <c r="A499" s="26"/>
      <c r="B499" s="26"/>
      <c r="C499" s="23"/>
      <c r="E499" s="29"/>
      <c r="F499" s="29"/>
      <c r="G499" s="29"/>
      <c r="H499" s="29"/>
      <c r="I499" s="2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</row>
    <row r="500" spans="1:24" s="27" customFormat="1" x14ac:dyDescent="0.25">
      <c r="A500" s="26"/>
      <c r="B500" s="26"/>
      <c r="C500" s="23"/>
      <c r="E500" s="29"/>
      <c r="F500" s="29"/>
      <c r="G500" s="29"/>
      <c r="H500" s="29"/>
      <c r="I500" s="2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</row>
    <row r="501" spans="1:24" s="27" customFormat="1" x14ac:dyDescent="0.25">
      <c r="A501" s="26"/>
      <c r="B501" s="26"/>
      <c r="C501" s="23"/>
      <c r="E501" s="29"/>
      <c r="F501" s="29"/>
      <c r="G501" s="29"/>
      <c r="H501" s="29"/>
      <c r="I501" s="2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</row>
    <row r="502" spans="1:24" s="27" customFormat="1" x14ac:dyDescent="0.25">
      <c r="A502" s="26"/>
      <c r="B502" s="26"/>
      <c r="C502" s="23"/>
      <c r="E502" s="29"/>
      <c r="F502" s="29"/>
      <c r="G502" s="29"/>
      <c r="H502" s="29"/>
      <c r="I502" s="2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</row>
    <row r="503" spans="1:24" s="27" customFormat="1" x14ac:dyDescent="0.25">
      <c r="A503" s="26"/>
      <c r="B503" s="26"/>
      <c r="C503" s="23"/>
      <c r="E503" s="29"/>
      <c r="F503" s="29"/>
      <c r="G503" s="29"/>
      <c r="H503" s="29"/>
      <c r="I503" s="2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</row>
    <row r="504" spans="1:24" s="27" customFormat="1" x14ac:dyDescent="0.25">
      <c r="A504" s="26"/>
      <c r="B504" s="26"/>
      <c r="C504" s="23"/>
      <c r="E504" s="29"/>
      <c r="F504" s="29"/>
      <c r="G504" s="29"/>
      <c r="H504" s="29"/>
      <c r="I504" s="2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</row>
    <row r="505" spans="1:24" s="27" customFormat="1" x14ac:dyDescent="0.25">
      <c r="A505" s="26"/>
      <c r="B505" s="26"/>
      <c r="C505" s="23"/>
      <c r="E505" s="29"/>
      <c r="F505" s="29"/>
      <c r="G505" s="29"/>
      <c r="H505" s="29"/>
      <c r="I505" s="2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</row>
    <row r="506" spans="1:24" s="27" customFormat="1" x14ac:dyDescent="0.25">
      <c r="A506" s="26"/>
      <c r="B506" s="26"/>
      <c r="C506" s="23"/>
      <c r="E506" s="29"/>
      <c r="F506" s="29"/>
      <c r="G506" s="29"/>
      <c r="H506" s="29"/>
      <c r="I506" s="2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</row>
    <row r="507" spans="1:24" s="27" customFormat="1" x14ac:dyDescent="0.25">
      <c r="A507" s="26"/>
      <c r="B507" s="26"/>
      <c r="C507" s="23"/>
      <c r="E507" s="29"/>
      <c r="F507" s="29"/>
      <c r="G507" s="29"/>
      <c r="H507" s="29"/>
      <c r="I507" s="2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</row>
    <row r="508" spans="1:24" s="27" customFormat="1" x14ac:dyDescent="0.25">
      <c r="A508" s="26"/>
      <c r="B508" s="26"/>
      <c r="C508" s="23"/>
      <c r="E508" s="29"/>
      <c r="F508" s="29"/>
      <c r="G508" s="29"/>
      <c r="H508" s="29"/>
      <c r="I508" s="2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</row>
    <row r="509" spans="1:24" s="27" customFormat="1" x14ac:dyDescent="0.25">
      <c r="A509" s="26"/>
      <c r="B509" s="26"/>
      <c r="C509" s="23"/>
      <c r="E509" s="29"/>
      <c r="F509" s="29"/>
      <c r="G509" s="29"/>
      <c r="H509" s="29"/>
      <c r="I509" s="2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</row>
    <row r="510" spans="1:24" s="27" customFormat="1" x14ac:dyDescent="0.25">
      <c r="A510" s="26"/>
      <c r="B510" s="26"/>
      <c r="C510" s="23"/>
      <c r="E510" s="29"/>
      <c r="F510" s="29"/>
      <c r="G510" s="29"/>
      <c r="H510" s="29"/>
      <c r="I510" s="2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</row>
    <row r="511" spans="1:24" s="27" customFormat="1" x14ac:dyDescent="0.25">
      <c r="A511" s="26"/>
      <c r="B511" s="26"/>
      <c r="C511" s="23"/>
      <c r="E511" s="29"/>
      <c r="F511" s="29"/>
      <c r="G511" s="29"/>
      <c r="H511" s="29"/>
      <c r="I511" s="2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</row>
    <row r="512" spans="1:24" s="27" customFormat="1" x14ac:dyDescent="0.25">
      <c r="A512" s="26"/>
      <c r="B512" s="26"/>
      <c r="C512" s="23"/>
      <c r="E512" s="29"/>
      <c r="F512" s="29"/>
      <c r="G512" s="29"/>
      <c r="H512" s="29"/>
      <c r="I512" s="2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</row>
    <row r="513" spans="1:24" s="27" customFormat="1" x14ac:dyDescent="0.25">
      <c r="A513" s="26"/>
      <c r="B513" s="26"/>
      <c r="C513" s="23"/>
      <c r="E513" s="29"/>
      <c r="F513" s="29"/>
      <c r="G513" s="29"/>
      <c r="H513" s="29"/>
      <c r="I513" s="2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</row>
    <row r="514" spans="1:24" s="27" customFormat="1" x14ac:dyDescent="0.25">
      <c r="A514" s="26"/>
      <c r="B514" s="26"/>
      <c r="C514" s="23"/>
      <c r="E514" s="29"/>
      <c r="F514" s="29"/>
      <c r="G514" s="29"/>
      <c r="H514" s="29"/>
      <c r="I514" s="2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</row>
    <row r="515" spans="1:24" s="27" customFormat="1" x14ac:dyDescent="0.25">
      <c r="A515" s="26"/>
      <c r="B515" s="26"/>
      <c r="C515" s="23"/>
      <c r="E515" s="29"/>
      <c r="F515" s="29"/>
      <c r="G515" s="29"/>
      <c r="H515" s="29"/>
      <c r="I515" s="2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</row>
    <row r="516" spans="1:24" s="27" customFormat="1" x14ac:dyDescent="0.25">
      <c r="A516" s="26"/>
      <c r="B516" s="26"/>
      <c r="C516" s="23"/>
      <c r="E516" s="29"/>
      <c r="F516" s="29"/>
      <c r="G516" s="29"/>
      <c r="H516" s="29"/>
      <c r="I516" s="2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</row>
    <row r="517" spans="1:24" s="27" customFormat="1" x14ac:dyDescent="0.25">
      <c r="A517" s="26"/>
      <c r="B517" s="26"/>
      <c r="C517" s="23"/>
      <c r="E517" s="29"/>
      <c r="F517" s="29"/>
      <c r="G517" s="29"/>
      <c r="H517" s="29"/>
      <c r="I517" s="2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</row>
    <row r="518" spans="1:24" s="27" customFormat="1" x14ac:dyDescent="0.25">
      <c r="A518" s="26"/>
      <c r="B518" s="26"/>
      <c r="C518" s="23"/>
      <c r="E518" s="29"/>
      <c r="F518" s="29"/>
      <c r="G518" s="29"/>
      <c r="H518" s="29"/>
      <c r="I518" s="2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</row>
    <row r="519" spans="1:24" s="27" customFormat="1" x14ac:dyDescent="0.25">
      <c r="A519" s="26"/>
      <c r="B519" s="26"/>
      <c r="C519" s="23"/>
      <c r="E519" s="29"/>
      <c r="F519" s="29"/>
      <c r="G519" s="29"/>
      <c r="H519" s="29"/>
      <c r="I519" s="2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</row>
    <row r="520" spans="1:24" s="27" customFormat="1" x14ac:dyDescent="0.25">
      <c r="A520" s="26"/>
      <c r="B520" s="26"/>
      <c r="C520" s="23"/>
      <c r="E520" s="29"/>
      <c r="F520" s="29"/>
      <c r="G520" s="29"/>
      <c r="H520" s="29"/>
      <c r="I520" s="2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</row>
    <row r="521" spans="1:24" s="27" customFormat="1" x14ac:dyDescent="0.25">
      <c r="A521" s="26"/>
      <c r="B521" s="26"/>
      <c r="C521" s="23"/>
      <c r="E521" s="29"/>
      <c r="F521" s="29"/>
      <c r="G521" s="29"/>
      <c r="H521" s="29"/>
      <c r="I521" s="2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</row>
    <row r="522" spans="1:24" s="27" customFormat="1" x14ac:dyDescent="0.25">
      <c r="A522" s="26"/>
      <c r="B522" s="26"/>
      <c r="C522" s="23"/>
      <c r="E522" s="29"/>
      <c r="F522" s="29"/>
      <c r="G522" s="29"/>
      <c r="H522" s="29"/>
      <c r="I522" s="2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</row>
    <row r="523" spans="1:24" s="27" customFormat="1" x14ac:dyDescent="0.25">
      <c r="A523" s="26"/>
      <c r="B523" s="26"/>
      <c r="C523" s="23"/>
      <c r="E523" s="29"/>
      <c r="F523" s="29"/>
      <c r="G523" s="29"/>
      <c r="H523" s="29"/>
      <c r="I523" s="2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</row>
    <row r="524" spans="1:24" s="27" customFormat="1" x14ac:dyDescent="0.25">
      <c r="A524" s="26"/>
      <c r="B524" s="26"/>
      <c r="C524" s="23"/>
      <c r="E524" s="29"/>
      <c r="F524" s="29"/>
      <c r="G524" s="29"/>
      <c r="H524" s="29"/>
      <c r="I524" s="2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</row>
    <row r="525" spans="1:24" s="27" customFormat="1" x14ac:dyDescent="0.25">
      <c r="A525" s="26"/>
      <c r="B525" s="26"/>
      <c r="C525" s="23"/>
      <c r="E525" s="29"/>
      <c r="F525" s="29"/>
      <c r="G525" s="29"/>
      <c r="H525" s="29"/>
      <c r="I525" s="2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</row>
    <row r="526" spans="1:24" s="27" customFormat="1" x14ac:dyDescent="0.25">
      <c r="A526" s="26"/>
      <c r="B526" s="26"/>
      <c r="C526" s="23"/>
      <c r="E526" s="29"/>
      <c r="F526" s="29"/>
      <c r="G526" s="29"/>
      <c r="H526" s="29"/>
      <c r="I526" s="2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</row>
    <row r="527" spans="1:24" s="27" customFormat="1" x14ac:dyDescent="0.25">
      <c r="A527" s="26"/>
      <c r="B527" s="26"/>
      <c r="C527" s="23"/>
      <c r="E527" s="29"/>
      <c r="F527" s="29"/>
      <c r="G527" s="29"/>
      <c r="H527" s="29"/>
      <c r="I527" s="2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</row>
    <row r="528" spans="1:24" s="27" customFormat="1" x14ac:dyDescent="0.25">
      <c r="A528" s="26"/>
      <c r="B528" s="26"/>
      <c r="C528" s="23"/>
      <c r="E528" s="29"/>
      <c r="F528" s="29"/>
      <c r="G528" s="29"/>
      <c r="H528" s="29"/>
      <c r="I528" s="2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</row>
    <row r="529" spans="1:24" s="27" customFormat="1" x14ac:dyDescent="0.25">
      <c r="A529" s="26"/>
      <c r="B529" s="26"/>
      <c r="C529" s="23"/>
      <c r="E529" s="29"/>
      <c r="F529" s="29"/>
      <c r="G529" s="29"/>
      <c r="H529" s="29"/>
      <c r="I529" s="2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</row>
    <row r="530" spans="1:24" s="27" customFormat="1" x14ac:dyDescent="0.25">
      <c r="A530" s="26"/>
      <c r="B530" s="26"/>
      <c r="C530" s="23"/>
      <c r="E530" s="29"/>
      <c r="F530" s="29"/>
      <c r="G530" s="29"/>
      <c r="H530" s="29"/>
      <c r="I530" s="2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</row>
    <row r="531" spans="1:24" s="27" customFormat="1" x14ac:dyDescent="0.25">
      <c r="A531" s="26"/>
      <c r="B531" s="26"/>
      <c r="C531" s="23"/>
      <c r="E531" s="29"/>
      <c r="F531" s="29"/>
      <c r="G531" s="29"/>
      <c r="H531" s="29"/>
      <c r="I531" s="2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</row>
    <row r="532" spans="1:24" s="27" customFormat="1" x14ac:dyDescent="0.25">
      <c r="A532" s="26"/>
      <c r="B532" s="26"/>
      <c r="C532" s="23"/>
      <c r="E532" s="29"/>
      <c r="F532" s="29"/>
      <c r="G532" s="29"/>
      <c r="H532" s="29"/>
      <c r="I532" s="2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</row>
    <row r="533" spans="1:24" s="27" customFormat="1" x14ac:dyDescent="0.25">
      <c r="A533" s="26"/>
      <c r="B533" s="26"/>
      <c r="C533" s="23"/>
      <c r="E533" s="29"/>
      <c r="F533" s="29"/>
      <c r="G533" s="29"/>
      <c r="H533" s="29"/>
      <c r="I533" s="2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</row>
    <row r="534" spans="1:24" s="27" customFormat="1" x14ac:dyDescent="0.25">
      <c r="A534" s="26"/>
      <c r="B534" s="26"/>
      <c r="C534" s="23"/>
      <c r="E534" s="29"/>
      <c r="F534" s="29"/>
      <c r="G534" s="29"/>
      <c r="H534" s="29"/>
      <c r="I534" s="2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</row>
    <row r="535" spans="1:24" s="27" customFormat="1" x14ac:dyDescent="0.25">
      <c r="A535" s="26"/>
      <c r="B535" s="26"/>
      <c r="C535" s="23"/>
      <c r="E535" s="29"/>
      <c r="F535" s="29"/>
      <c r="G535" s="29"/>
      <c r="H535" s="29"/>
      <c r="I535" s="2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</row>
    <row r="536" spans="1:24" s="27" customFormat="1" x14ac:dyDescent="0.25">
      <c r="A536" s="26"/>
      <c r="B536" s="26"/>
      <c r="C536" s="23"/>
      <c r="E536" s="29"/>
      <c r="F536" s="29"/>
      <c r="G536" s="29"/>
      <c r="H536" s="29"/>
      <c r="I536" s="2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</row>
    <row r="537" spans="1:24" s="27" customFormat="1" x14ac:dyDescent="0.25">
      <c r="A537" s="26"/>
      <c r="B537" s="26"/>
      <c r="C537" s="23"/>
      <c r="E537" s="29"/>
      <c r="F537" s="29"/>
      <c r="G537" s="29"/>
      <c r="H537" s="29"/>
      <c r="I537" s="2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</row>
    <row r="538" spans="1:24" s="27" customFormat="1" x14ac:dyDescent="0.25">
      <c r="A538" s="26"/>
      <c r="B538" s="26"/>
      <c r="C538" s="23"/>
      <c r="E538" s="29"/>
      <c r="F538" s="29"/>
      <c r="G538" s="29"/>
      <c r="H538" s="29"/>
      <c r="I538" s="2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</row>
    <row r="539" spans="1:24" s="27" customFormat="1" x14ac:dyDescent="0.25">
      <c r="A539" s="26"/>
      <c r="B539" s="26"/>
      <c r="C539" s="23"/>
      <c r="E539" s="29"/>
      <c r="F539" s="29"/>
      <c r="G539" s="29"/>
      <c r="H539" s="29"/>
      <c r="I539" s="2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</row>
    <row r="540" spans="1:24" s="27" customFormat="1" x14ac:dyDescent="0.25">
      <c r="A540" s="26"/>
      <c r="B540" s="26"/>
      <c r="C540" s="23"/>
      <c r="E540" s="29"/>
      <c r="F540" s="29"/>
      <c r="G540" s="29"/>
      <c r="H540" s="29"/>
      <c r="I540" s="2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</row>
    <row r="541" spans="1:24" s="27" customFormat="1" x14ac:dyDescent="0.25">
      <c r="A541" s="26"/>
      <c r="B541" s="26"/>
      <c r="C541" s="23"/>
      <c r="E541" s="29"/>
      <c r="F541" s="29"/>
      <c r="G541" s="29"/>
      <c r="H541" s="29"/>
      <c r="I541" s="2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</row>
    <row r="542" spans="1:24" s="27" customFormat="1" x14ac:dyDescent="0.25">
      <c r="A542" s="26"/>
      <c r="B542" s="26"/>
      <c r="C542" s="23"/>
      <c r="E542" s="29"/>
      <c r="F542" s="29"/>
      <c r="G542" s="29"/>
      <c r="H542" s="29"/>
      <c r="I542" s="2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</row>
    <row r="543" spans="1:24" s="27" customFormat="1" x14ac:dyDescent="0.25">
      <c r="A543" s="26"/>
      <c r="B543" s="26"/>
      <c r="C543" s="23"/>
      <c r="E543" s="29"/>
      <c r="F543" s="29"/>
      <c r="G543" s="29"/>
      <c r="H543" s="29"/>
      <c r="I543" s="2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</row>
    <row r="544" spans="1:24" s="27" customFormat="1" x14ac:dyDescent="0.25">
      <c r="A544" s="26"/>
      <c r="B544" s="26"/>
      <c r="C544" s="23"/>
      <c r="E544" s="29"/>
      <c r="F544" s="29"/>
      <c r="G544" s="29"/>
      <c r="H544" s="29"/>
      <c r="I544" s="2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</row>
    <row r="545" spans="1:24" s="27" customFormat="1" x14ac:dyDescent="0.25">
      <c r="A545" s="26"/>
      <c r="B545" s="26"/>
      <c r="C545" s="23"/>
      <c r="E545" s="29"/>
      <c r="F545" s="29"/>
      <c r="G545" s="29"/>
      <c r="H545" s="29"/>
      <c r="I545" s="2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</row>
    <row r="546" spans="1:24" s="27" customFormat="1" x14ac:dyDescent="0.25">
      <c r="A546" s="26"/>
      <c r="B546" s="26"/>
      <c r="C546" s="23"/>
      <c r="E546" s="29"/>
      <c r="F546" s="29"/>
      <c r="G546" s="29"/>
      <c r="H546" s="29"/>
      <c r="I546" s="2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</row>
    <row r="547" spans="1:24" s="27" customFormat="1" x14ac:dyDescent="0.25">
      <c r="A547" s="26"/>
      <c r="B547" s="26"/>
      <c r="C547" s="23"/>
      <c r="E547" s="29"/>
      <c r="F547" s="29"/>
      <c r="G547" s="29"/>
      <c r="H547" s="29"/>
      <c r="I547" s="2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</row>
    <row r="548" spans="1:24" s="27" customFormat="1" x14ac:dyDescent="0.25">
      <c r="A548" s="26"/>
      <c r="B548" s="26"/>
      <c r="C548" s="23"/>
      <c r="E548" s="29"/>
      <c r="F548" s="29"/>
      <c r="G548" s="29"/>
      <c r="H548" s="29"/>
      <c r="I548" s="2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</row>
    <row r="549" spans="1:24" s="27" customFormat="1" x14ac:dyDescent="0.25">
      <c r="A549" s="26"/>
      <c r="B549" s="26"/>
      <c r="C549" s="23"/>
      <c r="E549" s="29"/>
      <c r="F549" s="29"/>
      <c r="G549" s="29"/>
      <c r="H549" s="29"/>
      <c r="I549" s="2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</row>
    <row r="550" spans="1:24" s="27" customFormat="1" x14ac:dyDescent="0.25">
      <c r="A550" s="26"/>
      <c r="B550" s="26"/>
      <c r="C550" s="23"/>
      <c r="E550" s="29"/>
      <c r="F550" s="29"/>
      <c r="G550" s="29"/>
      <c r="H550" s="29"/>
      <c r="I550" s="2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</row>
    <row r="551" spans="1:24" s="27" customFormat="1" x14ac:dyDescent="0.25">
      <c r="A551" s="26"/>
      <c r="B551" s="26"/>
      <c r="C551" s="23"/>
      <c r="E551" s="29"/>
      <c r="F551" s="29"/>
      <c r="G551" s="29"/>
      <c r="H551" s="29"/>
      <c r="I551" s="2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</row>
    <row r="552" spans="1:24" s="27" customFormat="1" x14ac:dyDescent="0.25">
      <c r="A552" s="26"/>
      <c r="B552" s="26"/>
      <c r="C552" s="23"/>
      <c r="E552" s="29"/>
      <c r="F552" s="29"/>
      <c r="G552" s="29"/>
      <c r="H552" s="29"/>
      <c r="I552" s="2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</row>
    <row r="553" spans="1:24" s="27" customFormat="1" x14ac:dyDescent="0.25">
      <c r="A553" s="26"/>
      <c r="B553" s="26"/>
      <c r="C553" s="23"/>
      <c r="E553" s="29"/>
      <c r="F553" s="29"/>
      <c r="G553" s="29"/>
      <c r="H553" s="29"/>
      <c r="I553" s="2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</row>
    <row r="554" spans="1:24" s="27" customFormat="1" x14ac:dyDescent="0.25">
      <c r="A554" s="26"/>
      <c r="B554" s="26"/>
      <c r="C554" s="23"/>
      <c r="E554" s="29"/>
      <c r="F554" s="29"/>
      <c r="G554" s="29"/>
      <c r="H554" s="29"/>
      <c r="I554" s="2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</row>
    <row r="555" spans="1:24" s="27" customFormat="1" x14ac:dyDescent="0.25">
      <c r="A555" s="26"/>
      <c r="B555" s="26"/>
      <c r="C555" s="23"/>
      <c r="E555" s="29"/>
      <c r="F555" s="29"/>
      <c r="G555" s="29"/>
      <c r="H555" s="29"/>
      <c r="I555" s="2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</row>
    <row r="556" spans="1:24" s="27" customFormat="1" x14ac:dyDescent="0.25">
      <c r="A556" s="26"/>
      <c r="B556" s="26"/>
      <c r="C556" s="23"/>
      <c r="E556" s="29"/>
      <c r="F556" s="29"/>
      <c r="G556" s="29"/>
      <c r="H556" s="29"/>
      <c r="I556" s="2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</row>
    <row r="557" spans="1:24" s="27" customFormat="1" x14ac:dyDescent="0.25">
      <c r="A557" s="26"/>
      <c r="B557" s="26"/>
      <c r="C557" s="23"/>
      <c r="E557" s="29"/>
      <c r="F557" s="29"/>
      <c r="G557" s="29"/>
      <c r="H557" s="29"/>
      <c r="I557" s="2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</row>
    <row r="558" spans="1:24" s="27" customFormat="1" x14ac:dyDescent="0.25">
      <c r="A558" s="26"/>
      <c r="B558" s="26"/>
      <c r="C558" s="23"/>
      <c r="E558" s="29"/>
      <c r="F558" s="29"/>
      <c r="G558" s="29"/>
      <c r="H558" s="29"/>
      <c r="I558" s="2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</row>
    <row r="559" spans="1:24" s="27" customFormat="1" x14ac:dyDescent="0.25">
      <c r="A559" s="26"/>
      <c r="B559" s="26"/>
      <c r="C559" s="23"/>
      <c r="E559" s="29"/>
      <c r="F559" s="29"/>
      <c r="G559" s="29"/>
      <c r="H559" s="29"/>
      <c r="I559" s="2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</row>
    <row r="560" spans="1:24" s="27" customFormat="1" x14ac:dyDescent="0.25">
      <c r="A560" s="26"/>
      <c r="B560" s="26"/>
      <c r="C560" s="23"/>
      <c r="E560" s="29"/>
      <c r="F560" s="29"/>
      <c r="G560" s="29"/>
      <c r="H560" s="29"/>
      <c r="I560" s="2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</row>
    <row r="561" spans="1:24" s="27" customFormat="1" x14ac:dyDescent="0.25">
      <c r="A561" s="26"/>
      <c r="B561" s="26"/>
      <c r="C561" s="23"/>
      <c r="E561" s="29"/>
      <c r="F561" s="29"/>
      <c r="G561" s="29"/>
      <c r="H561" s="29"/>
      <c r="I561" s="2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</row>
    <row r="562" spans="1:24" s="27" customFormat="1" x14ac:dyDescent="0.25">
      <c r="A562" s="26"/>
      <c r="B562" s="26"/>
      <c r="C562" s="23"/>
      <c r="E562" s="29"/>
      <c r="F562" s="29"/>
      <c r="G562" s="29"/>
      <c r="H562" s="29"/>
      <c r="I562" s="2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</row>
    <row r="563" spans="1:24" s="27" customFormat="1" x14ac:dyDescent="0.25">
      <c r="A563" s="26"/>
      <c r="B563" s="26"/>
      <c r="C563" s="23"/>
      <c r="E563" s="29"/>
      <c r="F563" s="29"/>
      <c r="G563" s="29"/>
      <c r="H563" s="29"/>
      <c r="I563" s="2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</row>
    <row r="564" spans="1:24" s="27" customFormat="1" x14ac:dyDescent="0.25">
      <c r="A564" s="26"/>
      <c r="B564" s="26"/>
      <c r="C564" s="23"/>
      <c r="E564" s="29"/>
      <c r="F564" s="29"/>
      <c r="G564" s="29"/>
      <c r="H564" s="29"/>
      <c r="I564" s="2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</row>
    <row r="565" spans="1:24" s="27" customFormat="1" x14ac:dyDescent="0.25">
      <c r="A565" s="26"/>
      <c r="B565" s="26"/>
      <c r="C565" s="23"/>
      <c r="E565" s="29"/>
      <c r="F565" s="29"/>
      <c r="G565" s="29"/>
      <c r="H565" s="29"/>
      <c r="I565" s="2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</row>
    <row r="566" spans="1:24" s="27" customFormat="1" x14ac:dyDescent="0.25">
      <c r="A566" s="26"/>
      <c r="B566" s="26"/>
      <c r="C566" s="23"/>
      <c r="E566" s="29"/>
      <c r="F566" s="29"/>
      <c r="G566" s="29"/>
      <c r="H566" s="29"/>
      <c r="I566" s="2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</row>
    <row r="567" spans="1:24" s="27" customFormat="1" x14ac:dyDescent="0.25">
      <c r="A567" s="26"/>
      <c r="B567" s="26"/>
      <c r="C567" s="23"/>
      <c r="E567" s="29"/>
      <c r="F567" s="29"/>
      <c r="G567" s="29"/>
      <c r="H567" s="29"/>
      <c r="I567" s="2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</row>
    <row r="568" spans="1:24" s="27" customFormat="1" x14ac:dyDescent="0.25">
      <c r="A568" s="26"/>
      <c r="B568" s="26"/>
      <c r="C568" s="23"/>
      <c r="E568" s="29"/>
      <c r="F568" s="29"/>
      <c r="G568" s="29"/>
      <c r="H568" s="29"/>
      <c r="I568" s="2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</row>
    <row r="569" spans="1:24" s="27" customFormat="1" x14ac:dyDescent="0.25">
      <c r="A569" s="26"/>
      <c r="B569" s="26"/>
      <c r="C569" s="23"/>
      <c r="E569" s="29"/>
      <c r="F569" s="29"/>
      <c r="G569" s="29"/>
      <c r="H569" s="29"/>
      <c r="I569" s="2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</row>
    <row r="570" spans="1:24" s="27" customFormat="1" x14ac:dyDescent="0.25">
      <c r="A570" s="26"/>
      <c r="B570" s="26"/>
      <c r="C570" s="23"/>
      <c r="E570" s="29"/>
      <c r="F570" s="29"/>
      <c r="G570" s="29"/>
      <c r="H570" s="29"/>
      <c r="I570" s="2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</row>
    <row r="571" spans="1:24" s="27" customFormat="1" x14ac:dyDescent="0.25">
      <c r="A571" s="26"/>
      <c r="B571" s="26"/>
      <c r="C571" s="23"/>
      <c r="E571" s="29"/>
      <c r="F571" s="29"/>
      <c r="G571" s="29"/>
      <c r="H571" s="29"/>
      <c r="I571" s="2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</row>
    <row r="572" spans="1:24" s="27" customFormat="1" x14ac:dyDescent="0.25">
      <c r="A572" s="26"/>
      <c r="B572" s="26"/>
      <c r="C572" s="23"/>
      <c r="E572" s="29"/>
      <c r="F572" s="29"/>
      <c r="G572" s="29"/>
      <c r="H572" s="29"/>
      <c r="I572" s="2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</row>
    <row r="573" spans="1:24" s="27" customFormat="1" x14ac:dyDescent="0.25">
      <c r="A573" s="26"/>
      <c r="B573" s="26"/>
      <c r="C573" s="23"/>
      <c r="E573" s="29"/>
      <c r="F573" s="29"/>
      <c r="G573" s="29"/>
      <c r="H573" s="29"/>
      <c r="I573" s="2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</row>
    <row r="574" spans="1:24" s="27" customFormat="1" x14ac:dyDescent="0.25">
      <c r="A574" s="26"/>
      <c r="B574" s="26"/>
      <c r="C574" s="23"/>
      <c r="E574" s="29"/>
      <c r="F574" s="29"/>
      <c r="G574" s="29"/>
      <c r="H574" s="29"/>
      <c r="I574" s="2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</row>
    <row r="575" spans="1:24" s="27" customFormat="1" x14ac:dyDescent="0.25">
      <c r="A575" s="26"/>
      <c r="B575" s="26"/>
      <c r="C575" s="23"/>
      <c r="E575" s="29"/>
      <c r="F575" s="29"/>
      <c r="G575" s="29"/>
      <c r="H575" s="29"/>
      <c r="I575" s="2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</row>
    <row r="576" spans="1:24" s="27" customFormat="1" x14ac:dyDescent="0.25">
      <c r="A576" s="26"/>
      <c r="B576" s="26"/>
      <c r="C576" s="23"/>
      <c r="E576" s="29"/>
      <c r="F576" s="29"/>
      <c r="G576" s="29"/>
      <c r="H576" s="29"/>
      <c r="I576" s="2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</row>
    <row r="577" spans="1:24" s="27" customFormat="1" x14ac:dyDescent="0.25">
      <c r="A577" s="26"/>
      <c r="B577" s="26"/>
      <c r="C577" s="23"/>
      <c r="E577" s="29"/>
      <c r="F577" s="29"/>
      <c r="G577" s="29"/>
      <c r="H577" s="29"/>
      <c r="I577" s="2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</row>
    <row r="578" spans="1:24" s="27" customFormat="1" x14ac:dyDescent="0.25">
      <c r="A578" s="26"/>
      <c r="B578" s="26"/>
      <c r="C578" s="23"/>
      <c r="E578" s="29"/>
      <c r="F578" s="29"/>
      <c r="G578" s="29"/>
      <c r="H578" s="29"/>
      <c r="I578" s="2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</row>
    <row r="579" spans="1:24" s="27" customFormat="1" x14ac:dyDescent="0.25">
      <c r="A579" s="26"/>
      <c r="B579" s="26"/>
      <c r="C579" s="23"/>
      <c r="E579" s="29"/>
      <c r="F579" s="29"/>
      <c r="G579" s="29"/>
      <c r="H579" s="29"/>
      <c r="I579" s="2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</row>
    <row r="580" spans="1:24" s="27" customFormat="1" x14ac:dyDescent="0.25">
      <c r="A580" s="26"/>
      <c r="B580" s="26"/>
      <c r="C580" s="23"/>
      <c r="E580" s="29"/>
      <c r="F580" s="29"/>
      <c r="G580" s="29"/>
      <c r="H580" s="29"/>
      <c r="I580" s="2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</row>
    <row r="581" spans="1:24" s="27" customFormat="1" x14ac:dyDescent="0.25">
      <c r="A581" s="26"/>
      <c r="B581" s="26"/>
      <c r="C581" s="23"/>
      <c r="E581" s="29"/>
      <c r="F581" s="29"/>
      <c r="G581" s="29"/>
      <c r="H581" s="29"/>
      <c r="I581" s="2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</row>
    <row r="582" spans="1:24" s="27" customFormat="1" x14ac:dyDescent="0.25">
      <c r="A582" s="26"/>
      <c r="B582" s="26"/>
      <c r="C582" s="23"/>
      <c r="E582" s="29"/>
      <c r="F582" s="29"/>
      <c r="G582" s="29"/>
      <c r="H582" s="29"/>
      <c r="I582" s="2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</row>
    <row r="583" spans="1:24" s="27" customFormat="1" x14ac:dyDescent="0.25">
      <c r="A583" s="26"/>
      <c r="B583" s="26"/>
      <c r="C583" s="23"/>
      <c r="E583" s="29"/>
      <c r="F583" s="29"/>
      <c r="G583" s="29"/>
      <c r="H583" s="29"/>
      <c r="I583" s="2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</row>
    <row r="584" spans="1:24" s="27" customFormat="1" x14ac:dyDescent="0.25">
      <c r="A584" s="26"/>
      <c r="B584" s="26"/>
      <c r="C584" s="23"/>
      <c r="E584" s="29"/>
      <c r="F584" s="29"/>
      <c r="G584" s="29"/>
      <c r="H584" s="29"/>
      <c r="I584" s="2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</row>
    <row r="585" spans="1:24" s="27" customFormat="1" x14ac:dyDescent="0.25">
      <c r="A585" s="26"/>
      <c r="B585" s="26"/>
      <c r="C585" s="23"/>
      <c r="E585" s="29"/>
      <c r="F585" s="29"/>
      <c r="G585" s="29"/>
      <c r="H585" s="29"/>
      <c r="I585" s="2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</row>
    <row r="586" spans="1:24" s="27" customFormat="1" x14ac:dyDescent="0.25">
      <c r="A586" s="26"/>
      <c r="B586" s="26"/>
      <c r="C586" s="23"/>
      <c r="E586" s="29"/>
      <c r="F586" s="29"/>
      <c r="G586" s="29"/>
      <c r="H586" s="29"/>
      <c r="I586" s="2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</row>
    <row r="587" spans="1:24" s="27" customFormat="1" x14ac:dyDescent="0.25">
      <c r="A587" s="26"/>
      <c r="B587" s="26"/>
      <c r="C587" s="23"/>
      <c r="E587" s="29"/>
      <c r="F587" s="29"/>
      <c r="G587" s="29"/>
      <c r="H587" s="29"/>
      <c r="I587" s="2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</row>
    <row r="588" spans="1:24" s="27" customFormat="1" x14ac:dyDescent="0.25">
      <c r="A588" s="26"/>
      <c r="B588" s="26"/>
      <c r="C588" s="23"/>
      <c r="E588" s="29"/>
      <c r="F588" s="29"/>
      <c r="G588" s="29"/>
      <c r="H588" s="29"/>
      <c r="I588" s="2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</row>
    <row r="589" spans="1:24" s="27" customFormat="1" x14ac:dyDescent="0.25">
      <c r="A589" s="26"/>
      <c r="B589" s="26"/>
      <c r="C589" s="23"/>
      <c r="E589" s="29"/>
      <c r="F589" s="29"/>
      <c r="G589" s="29"/>
      <c r="H589" s="29"/>
      <c r="I589" s="2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</row>
    <row r="590" spans="1:24" s="27" customFormat="1" x14ac:dyDescent="0.25">
      <c r="A590" s="26"/>
      <c r="B590" s="26"/>
      <c r="C590" s="23"/>
      <c r="E590" s="29"/>
      <c r="F590" s="29"/>
      <c r="G590" s="29"/>
      <c r="H590" s="29"/>
      <c r="I590" s="2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</row>
    <row r="591" spans="1:24" s="27" customFormat="1" x14ac:dyDescent="0.25">
      <c r="A591" s="26"/>
      <c r="B591" s="26"/>
      <c r="C591" s="23"/>
      <c r="E591" s="29"/>
      <c r="F591" s="29"/>
      <c r="G591" s="29"/>
      <c r="H591" s="29"/>
      <c r="I591" s="2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</row>
    <row r="592" spans="1:24" s="27" customFormat="1" x14ac:dyDescent="0.25">
      <c r="A592" s="26"/>
      <c r="B592" s="26"/>
      <c r="C592" s="23"/>
      <c r="E592" s="29"/>
      <c r="F592" s="29"/>
      <c r="G592" s="29"/>
      <c r="H592" s="29"/>
      <c r="I592" s="2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</row>
    <row r="593" spans="1:24" s="27" customFormat="1" x14ac:dyDescent="0.25">
      <c r="A593" s="26"/>
      <c r="B593" s="26"/>
      <c r="C593" s="23"/>
      <c r="E593" s="29"/>
      <c r="F593" s="29"/>
      <c r="G593" s="29"/>
      <c r="H593" s="29"/>
      <c r="I593" s="2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</row>
    <row r="594" spans="1:24" s="27" customFormat="1" x14ac:dyDescent="0.25">
      <c r="A594" s="26"/>
      <c r="B594" s="26"/>
      <c r="C594" s="23"/>
      <c r="E594" s="29"/>
      <c r="F594" s="29"/>
      <c r="G594" s="29"/>
      <c r="H594" s="29"/>
      <c r="I594" s="2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</row>
    <row r="595" spans="1:24" s="27" customFormat="1" x14ac:dyDescent="0.25">
      <c r="A595" s="26"/>
      <c r="B595" s="26"/>
      <c r="C595" s="23"/>
      <c r="E595" s="29"/>
      <c r="F595" s="29"/>
      <c r="G595" s="29"/>
      <c r="H595" s="29"/>
      <c r="I595" s="2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</row>
    <row r="596" spans="1:24" s="27" customFormat="1" x14ac:dyDescent="0.25">
      <c r="A596" s="26"/>
      <c r="B596" s="26"/>
      <c r="C596" s="23"/>
      <c r="E596" s="29"/>
      <c r="F596" s="29"/>
      <c r="G596" s="29"/>
      <c r="H596" s="29"/>
      <c r="I596" s="2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</row>
    <row r="597" spans="1:24" s="27" customFormat="1" x14ac:dyDescent="0.25">
      <c r="A597" s="26"/>
      <c r="B597" s="26"/>
      <c r="C597" s="23"/>
      <c r="E597" s="29"/>
      <c r="F597" s="29"/>
      <c r="G597" s="29"/>
      <c r="H597" s="29"/>
      <c r="I597" s="2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</row>
    <row r="598" spans="1:24" s="27" customFormat="1" x14ac:dyDescent="0.25">
      <c r="A598" s="26"/>
      <c r="B598" s="26"/>
      <c r="C598" s="23"/>
      <c r="E598" s="29"/>
      <c r="F598" s="29"/>
      <c r="G598" s="29"/>
      <c r="H598" s="29"/>
      <c r="I598" s="2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</row>
    <row r="599" spans="1:24" s="27" customFormat="1" x14ac:dyDescent="0.25">
      <c r="A599" s="26"/>
      <c r="B599" s="26"/>
      <c r="C599" s="23"/>
      <c r="E599" s="29"/>
      <c r="F599" s="29"/>
      <c r="G599" s="29"/>
      <c r="H599" s="29"/>
      <c r="I599" s="2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</row>
    <row r="600" spans="1:24" s="27" customFormat="1" x14ac:dyDescent="0.25">
      <c r="A600" s="26"/>
      <c r="B600" s="26"/>
      <c r="C600" s="23"/>
      <c r="E600" s="29"/>
      <c r="F600" s="29"/>
      <c r="G600" s="29"/>
      <c r="H600" s="29"/>
      <c r="I600" s="2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</row>
    <row r="601" spans="1:24" s="27" customFormat="1" x14ac:dyDescent="0.25">
      <c r="A601" s="26"/>
      <c r="B601" s="26"/>
      <c r="C601" s="23"/>
      <c r="E601" s="29"/>
      <c r="F601" s="29"/>
      <c r="G601" s="29"/>
      <c r="H601" s="29"/>
      <c r="I601" s="2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</row>
    <row r="602" spans="1:24" s="27" customFormat="1" x14ac:dyDescent="0.25">
      <c r="A602" s="26"/>
      <c r="B602" s="26"/>
      <c r="C602" s="23"/>
      <c r="E602" s="29"/>
      <c r="F602" s="29"/>
      <c r="G602" s="29"/>
      <c r="H602" s="29"/>
      <c r="I602" s="2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</row>
    <row r="603" spans="1:24" s="27" customFormat="1" x14ac:dyDescent="0.25">
      <c r="A603" s="26"/>
      <c r="B603" s="26"/>
      <c r="C603" s="23"/>
      <c r="E603" s="29"/>
      <c r="F603" s="29"/>
      <c r="G603" s="29"/>
      <c r="H603" s="29"/>
      <c r="I603" s="2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</row>
    <row r="604" spans="1:24" s="27" customFormat="1" x14ac:dyDescent="0.25">
      <c r="A604" s="26"/>
      <c r="B604" s="26"/>
      <c r="C604" s="23"/>
      <c r="E604" s="29"/>
      <c r="F604" s="29"/>
      <c r="G604" s="29"/>
      <c r="H604" s="29"/>
      <c r="I604" s="2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</row>
    <row r="605" spans="1:24" s="27" customFormat="1" x14ac:dyDescent="0.25">
      <c r="A605" s="26"/>
      <c r="B605" s="26"/>
      <c r="C605" s="23"/>
      <c r="E605" s="29"/>
      <c r="F605" s="29"/>
      <c r="G605" s="29"/>
      <c r="H605" s="29"/>
      <c r="I605" s="2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</row>
    <row r="606" spans="1:24" s="27" customFormat="1" x14ac:dyDescent="0.25">
      <c r="A606" s="26"/>
      <c r="B606" s="26"/>
      <c r="C606" s="23"/>
      <c r="E606" s="29"/>
      <c r="F606" s="29"/>
      <c r="G606" s="29"/>
      <c r="H606" s="29"/>
      <c r="I606" s="2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</row>
    <row r="607" spans="1:24" s="27" customFormat="1" x14ac:dyDescent="0.25">
      <c r="A607" s="26"/>
      <c r="B607" s="26"/>
      <c r="C607" s="23"/>
      <c r="E607" s="29"/>
      <c r="F607" s="29"/>
      <c r="G607" s="29"/>
      <c r="H607" s="29"/>
      <c r="I607" s="2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</row>
    <row r="608" spans="1:24" s="27" customFormat="1" x14ac:dyDescent="0.25">
      <c r="A608" s="26"/>
      <c r="B608" s="26"/>
      <c r="C608" s="23"/>
      <c r="E608" s="29"/>
      <c r="F608" s="29"/>
      <c r="G608" s="29"/>
      <c r="H608" s="29"/>
      <c r="I608" s="2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</row>
    <row r="609" spans="1:24" s="27" customFormat="1" x14ac:dyDescent="0.25">
      <c r="A609" s="26"/>
      <c r="B609" s="26"/>
      <c r="C609" s="23"/>
      <c r="E609" s="29"/>
      <c r="F609" s="29"/>
      <c r="G609" s="29"/>
      <c r="H609" s="29"/>
      <c r="I609" s="2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</row>
    <row r="610" spans="1:24" s="27" customFormat="1" x14ac:dyDescent="0.25">
      <c r="A610" s="26"/>
      <c r="B610" s="26"/>
      <c r="C610" s="23"/>
      <c r="E610" s="29"/>
      <c r="F610" s="29"/>
      <c r="G610" s="29"/>
      <c r="H610" s="29"/>
      <c r="I610" s="2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</row>
    <row r="611" spans="1:24" s="27" customFormat="1" x14ac:dyDescent="0.25">
      <c r="A611" s="26"/>
      <c r="B611" s="26"/>
      <c r="C611" s="23"/>
      <c r="E611" s="29"/>
      <c r="F611" s="29"/>
      <c r="G611" s="29"/>
      <c r="H611" s="29"/>
      <c r="I611" s="2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</row>
    <row r="612" spans="1:24" s="27" customFormat="1" x14ac:dyDescent="0.25">
      <c r="A612" s="26"/>
      <c r="B612" s="26"/>
      <c r="C612" s="23"/>
      <c r="E612" s="29"/>
      <c r="F612" s="29"/>
      <c r="G612" s="29"/>
      <c r="H612" s="29"/>
      <c r="I612" s="2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</row>
    <row r="613" spans="1:24" s="27" customFormat="1" x14ac:dyDescent="0.25">
      <c r="A613" s="26"/>
      <c r="B613" s="26"/>
      <c r="C613" s="23"/>
      <c r="E613" s="29"/>
      <c r="F613" s="29"/>
      <c r="G613" s="29"/>
      <c r="H613" s="29"/>
      <c r="I613" s="2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</row>
    <row r="614" spans="1:24" s="27" customFormat="1" x14ac:dyDescent="0.25">
      <c r="A614" s="26"/>
      <c r="B614" s="26"/>
      <c r="C614" s="23"/>
      <c r="E614" s="29"/>
      <c r="F614" s="29"/>
      <c r="G614" s="29"/>
      <c r="H614" s="29"/>
      <c r="I614" s="2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</row>
    <row r="615" spans="1:24" s="27" customFormat="1" x14ac:dyDescent="0.25">
      <c r="A615" s="26"/>
      <c r="B615" s="26"/>
      <c r="C615" s="23"/>
      <c r="E615" s="29"/>
      <c r="F615" s="29"/>
      <c r="G615" s="29"/>
      <c r="H615" s="29"/>
      <c r="I615" s="2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</row>
    <row r="616" spans="1:24" s="27" customFormat="1" x14ac:dyDescent="0.25">
      <c r="A616" s="26"/>
      <c r="B616" s="26"/>
      <c r="C616" s="23"/>
      <c r="E616" s="29"/>
      <c r="F616" s="29"/>
      <c r="G616" s="29"/>
      <c r="H616" s="29"/>
      <c r="I616" s="2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</row>
    <row r="617" spans="1:24" s="27" customFormat="1" x14ac:dyDescent="0.25">
      <c r="A617" s="26"/>
      <c r="B617" s="26"/>
      <c r="C617" s="23"/>
      <c r="E617" s="29"/>
      <c r="F617" s="29"/>
      <c r="G617" s="29"/>
      <c r="H617" s="29"/>
      <c r="I617" s="2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</row>
    <row r="618" spans="1:24" s="27" customFormat="1" x14ac:dyDescent="0.25">
      <c r="A618" s="26"/>
      <c r="B618" s="26"/>
      <c r="C618" s="23"/>
      <c r="E618" s="29"/>
      <c r="F618" s="29"/>
      <c r="G618" s="29"/>
      <c r="H618" s="29"/>
      <c r="I618" s="2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</row>
    <row r="619" spans="1:24" s="27" customFormat="1" x14ac:dyDescent="0.25">
      <c r="A619" s="26"/>
      <c r="B619" s="26"/>
      <c r="C619" s="23"/>
      <c r="E619" s="29"/>
      <c r="F619" s="29"/>
      <c r="G619" s="29"/>
      <c r="H619" s="29"/>
      <c r="I619" s="2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</row>
    <row r="620" spans="1:24" s="27" customFormat="1" x14ac:dyDescent="0.25">
      <c r="A620" s="26"/>
      <c r="B620" s="26"/>
      <c r="C620" s="23"/>
      <c r="E620" s="29"/>
      <c r="F620" s="29"/>
      <c r="G620" s="29"/>
      <c r="H620" s="29"/>
      <c r="I620" s="2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</row>
    <row r="621" spans="1:24" s="27" customFormat="1" x14ac:dyDescent="0.25">
      <c r="A621" s="26"/>
      <c r="B621" s="26"/>
      <c r="C621" s="23"/>
      <c r="E621" s="29"/>
      <c r="F621" s="29"/>
      <c r="G621" s="29"/>
      <c r="H621" s="29"/>
      <c r="I621" s="2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</row>
    <row r="622" spans="1:24" s="27" customFormat="1" x14ac:dyDescent="0.25">
      <c r="A622" s="26"/>
      <c r="B622" s="26"/>
      <c r="C622" s="23"/>
      <c r="E622" s="29"/>
      <c r="F622" s="29"/>
      <c r="G622" s="29"/>
      <c r="H622" s="29"/>
      <c r="I622" s="2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</row>
    <row r="623" spans="1:24" s="27" customFormat="1" x14ac:dyDescent="0.25">
      <c r="A623" s="26"/>
      <c r="B623" s="26"/>
      <c r="C623" s="23"/>
      <c r="E623" s="29"/>
      <c r="F623" s="29"/>
      <c r="G623" s="29"/>
      <c r="H623" s="29"/>
      <c r="I623" s="2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</row>
    <row r="624" spans="1:24" s="27" customFormat="1" x14ac:dyDescent="0.25">
      <c r="A624" s="26"/>
      <c r="B624" s="26"/>
      <c r="C624" s="23"/>
      <c r="E624" s="29"/>
      <c r="F624" s="29"/>
      <c r="G624" s="29"/>
      <c r="H624" s="29"/>
      <c r="I624" s="2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</row>
    <row r="625" spans="1:24" s="27" customFormat="1" x14ac:dyDescent="0.25">
      <c r="A625" s="26"/>
      <c r="B625" s="26"/>
      <c r="C625" s="23"/>
      <c r="E625" s="29"/>
      <c r="F625" s="29"/>
      <c r="G625" s="29"/>
      <c r="H625" s="29"/>
      <c r="I625" s="2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</row>
    <row r="626" spans="1:24" s="27" customFormat="1" x14ac:dyDescent="0.25">
      <c r="A626" s="26"/>
      <c r="B626" s="26"/>
      <c r="C626" s="23"/>
      <c r="E626" s="29"/>
      <c r="F626" s="29"/>
      <c r="G626" s="29"/>
      <c r="H626" s="29"/>
      <c r="I626" s="2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</row>
    <row r="627" spans="1:24" s="27" customFormat="1" x14ac:dyDescent="0.25">
      <c r="A627" s="26"/>
      <c r="B627" s="26"/>
      <c r="C627" s="23"/>
      <c r="E627" s="29"/>
      <c r="F627" s="29"/>
      <c r="G627" s="29"/>
      <c r="H627" s="29"/>
      <c r="I627" s="2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</row>
    <row r="628" spans="1:24" s="27" customFormat="1" x14ac:dyDescent="0.25">
      <c r="A628" s="26"/>
      <c r="B628" s="26"/>
      <c r="C628" s="23"/>
      <c r="E628" s="29"/>
      <c r="F628" s="29"/>
      <c r="G628" s="29"/>
      <c r="H628" s="29"/>
      <c r="I628" s="2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</row>
    <row r="629" spans="1:24" s="27" customFormat="1" x14ac:dyDescent="0.25">
      <c r="A629" s="26"/>
      <c r="B629" s="26"/>
      <c r="C629" s="23"/>
      <c r="E629" s="29"/>
      <c r="F629" s="29"/>
      <c r="G629" s="29"/>
      <c r="H629" s="29"/>
      <c r="I629" s="2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</row>
    <row r="630" spans="1:24" s="27" customFormat="1" x14ac:dyDescent="0.25">
      <c r="A630" s="26"/>
      <c r="B630" s="26"/>
      <c r="C630" s="23"/>
      <c r="E630" s="29"/>
      <c r="F630" s="29"/>
      <c r="G630" s="29"/>
      <c r="H630" s="29"/>
      <c r="I630" s="2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</row>
    <row r="631" spans="1:24" s="27" customFormat="1" x14ac:dyDescent="0.25">
      <c r="A631" s="26"/>
      <c r="B631" s="26"/>
      <c r="C631" s="23"/>
      <c r="E631" s="29"/>
      <c r="F631" s="29"/>
      <c r="G631" s="29"/>
      <c r="H631" s="29"/>
      <c r="I631" s="2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</row>
    <row r="632" spans="1:24" s="27" customFormat="1" x14ac:dyDescent="0.25">
      <c r="A632" s="26"/>
      <c r="B632" s="26"/>
      <c r="C632" s="23"/>
      <c r="E632" s="29"/>
      <c r="F632" s="29"/>
      <c r="G632" s="29"/>
      <c r="H632" s="29"/>
      <c r="I632" s="2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</row>
    <row r="633" spans="1:24" s="27" customFormat="1" x14ac:dyDescent="0.25">
      <c r="A633" s="26"/>
      <c r="B633" s="26"/>
      <c r="C633" s="23"/>
      <c r="E633" s="29"/>
      <c r="F633" s="29"/>
      <c r="G633" s="29"/>
      <c r="H633" s="29"/>
      <c r="I633" s="2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</row>
    <row r="634" spans="1:24" s="27" customFormat="1" x14ac:dyDescent="0.25">
      <c r="A634" s="26"/>
      <c r="B634" s="26"/>
      <c r="C634" s="23"/>
      <c r="E634" s="29"/>
      <c r="F634" s="29"/>
      <c r="G634" s="29"/>
      <c r="H634" s="29"/>
      <c r="I634" s="2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</row>
    <row r="635" spans="1:24" s="27" customFormat="1" x14ac:dyDescent="0.25">
      <c r="A635" s="26"/>
      <c r="B635" s="26"/>
      <c r="C635" s="23"/>
      <c r="E635" s="29"/>
      <c r="F635" s="29"/>
      <c r="G635" s="29"/>
      <c r="H635" s="29"/>
      <c r="I635" s="2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</row>
    <row r="636" spans="1:24" s="27" customFormat="1" x14ac:dyDescent="0.25">
      <c r="A636" s="26"/>
      <c r="B636" s="26"/>
      <c r="C636" s="23"/>
      <c r="E636" s="29"/>
      <c r="F636" s="29"/>
      <c r="G636" s="29"/>
      <c r="H636" s="29"/>
      <c r="I636" s="2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</row>
    <row r="637" spans="1:24" s="27" customFormat="1" x14ac:dyDescent="0.25">
      <c r="A637" s="26"/>
      <c r="B637" s="26"/>
      <c r="C637" s="23"/>
      <c r="E637" s="29"/>
      <c r="F637" s="29"/>
      <c r="G637" s="29"/>
      <c r="H637" s="29"/>
      <c r="I637" s="2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</row>
    <row r="638" spans="1:24" s="27" customFormat="1" x14ac:dyDescent="0.25">
      <c r="A638" s="26"/>
      <c r="B638" s="26"/>
      <c r="C638" s="23"/>
      <c r="E638" s="29"/>
      <c r="F638" s="29"/>
      <c r="G638" s="29"/>
      <c r="H638" s="29"/>
      <c r="I638" s="2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</row>
    <row r="639" spans="1:24" s="27" customFormat="1" x14ac:dyDescent="0.25">
      <c r="A639" s="26"/>
      <c r="B639" s="26"/>
      <c r="C639" s="23"/>
      <c r="E639" s="29"/>
      <c r="F639" s="29"/>
      <c r="G639" s="29"/>
      <c r="H639" s="29"/>
      <c r="I639" s="2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</row>
    <row r="640" spans="1:24" s="27" customFormat="1" x14ac:dyDescent="0.25">
      <c r="A640" s="26"/>
      <c r="B640" s="26"/>
      <c r="C640" s="23"/>
      <c r="E640" s="29"/>
      <c r="F640" s="29"/>
      <c r="G640" s="29"/>
      <c r="H640" s="29"/>
      <c r="I640" s="2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</row>
    <row r="641" spans="1:24" s="27" customFormat="1" x14ac:dyDescent="0.25">
      <c r="A641" s="26"/>
      <c r="B641" s="26"/>
      <c r="C641" s="23"/>
      <c r="E641" s="29"/>
      <c r="F641" s="29"/>
      <c r="G641" s="29"/>
      <c r="H641" s="29"/>
      <c r="I641" s="2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</row>
    <row r="642" spans="1:24" s="27" customFormat="1" x14ac:dyDescent="0.25">
      <c r="A642" s="26"/>
      <c r="B642" s="26"/>
      <c r="C642" s="23"/>
      <c r="E642" s="29"/>
      <c r="F642" s="29"/>
      <c r="G642" s="29"/>
      <c r="H642" s="29"/>
      <c r="I642" s="2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</row>
    <row r="643" spans="1:24" s="27" customFormat="1" x14ac:dyDescent="0.25">
      <c r="A643" s="26"/>
      <c r="B643" s="26"/>
      <c r="C643" s="23"/>
      <c r="E643" s="29"/>
      <c r="F643" s="29"/>
      <c r="G643" s="29"/>
      <c r="H643" s="29"/>
      <c r="I643" s="2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</row>
    <row r="644" spans="1:24" s="27" customFormat="1" x14ac:dyDescent="0.25">
      <c r="A644" s="26"/>
      <c r="B644" s="26"/>
      <c r="C644" s="23"/>
      <c r="E644" s="29"/>
      <c r="F644" s="29"/>
      <c r="G644" s="29"/>
      <c r="H644" s="29"/>
      <c r="I644" s="2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</row>
    <row r="645" spans="1:24" s="27" customFormat="1" x14ac:dyDescent="0.25">
      <c r="A645" s="26"/>
      <c r="B645" s="26"/>
      <c r="C645" s="23"/>
      <c r="E645" s="29"/>
      <c r="F645" s="29"/>
      <c r="G645" s="29"/>
      <c r="H645" s="29"/>
      <c r="I645" s="2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</row>
    <row r="646" spans="1:24" s="27" customFormat="1" x14ac:dyDescent="0.25">
      <c r="A646" s="26"/>
      <c r="B646" s="26"/>
      <c r="C646" s="23"/>
      <c r="E646" s="29"/>
      <c r="F646" s="29"/>
      <c r="G646" s="29"/>
      <c r="H646" s="29"/>
      <c r="I646" s="2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</row>
    <row r="647" spans="1:24" s="27" customFormat="1" x14ac:dyDescent="0.25">
      <c r="A647" s="26"/>
      <c r="B647" s="26"/>
      <c r="C647" s="23"/>
      <c r="E647" s="29"/>
      <c r="F647" s="29"/>
      <c r="G647" s="29"/>
      <c r="H647" s="29"/>
      <c r="I647" s="2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</row>
    <row r="648" spans="1:24" s="27" customFormat="1" x14ac:dyDescent="0.25">
      <c r="A648" s="26"/>
      <c r="B648" s="26"/>
      <c r="C648" s="23"/>
      <c r="E648" s="29"/>
      <c r="F648" s="29"/>
      <c r="G648" s="29"/>
      <c r="H648" s="29"/>
      <c r="I648" s="2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</row>
    <row r="649" spans="1:24" s="27" customFormat="1" x14ac:dyDescent="0.25">
      <c r="A649" s="26"/>
      <c r="B649" s="26"/>
      <c r="C649" s="23"/>
      <c r="E649" s="29"/>
      <c r="F649" s="29"/>
      <c r="G649" s="29"/>
      <c r="H649" s="29"/>
      <c r="I649" s="2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</row>
    <row r="650" spans="1:24" s="27" customFormat="1" x14ac:dyDescent="0.25">
      <c r="A650" s="26"/>
      <c r="B650" s="26"/>
      <c r="C650" s="23"/>
      <c r="E650" s="29"/>
      <c r="F650" s="29"/>
      <c r="G650" s="29"/>
      <c r="H650" s="29"/>
      <c r="I650" s="2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</row>
    <row r="651" spans="1:24" s="27" customFormat="1" x14ac:dyDescent="0.25">
      <c r="A651" s="26"/>
      <c r="B651" s="26"/>
      <c r="C651" s="23"/>
      <c r="E651" s="29"/>
      <c r="F651" s="29"/>
      <c r="G651" s="29"/>
      <c r="H651" s="29"/>
      <c r="I651" s="2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</row>
    <row r="652" spans="1:24" s="27" customFormat="1" x14ac:dyDescent="0.25">
      <c r="A652" s="26"/>
      <c r="B652" s="26"/>
      <c r="C652" s="23"/>
      <c r="E652" s="29"/>
      <c r="F652" s="29"/>
      <c r="G652" s="29"/>
      <c r="H652" s="29"/>
      <c r="I652" s="2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</row>
    <row r="653" spans="1:24" s="27" customFormat="1" x14ac:dyDescent="0.25">
      <c r="A653" s="26"/>
      <c r="B653" s="26"/>
      <c r="C653" s="23"/>
      <c r="E653" s="29"/>
      <c r="F653" s="29"/>
      <c r="G653" s="29"/>
      <c r="H653" s="29"/>
      <c r="I653" s="2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</row>
    <row r="654" spans="1:24" s="27" customFormat="1" x14ac:dyDescent="0.25">
      <c r="A654" s="26"/>
      <c r="B654" s="26"/>
      <c r="C654" s="23"/>
      <c r="E654" s="29"/>
      <c r="F654" s="29"/>
      <c r="G654" s="29"/>
      <c r="H654" s="29"/>
      <c r="I654" s="2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</row>
    <row r="655" spans="1:24" s="27" customFormat="1" x14ac:dyDescent="0.25">
      <c r="A655" s="26"/>
      <c r="B655" s="26"/>
      <c r="C655" s="23"/>
      <c r="E655" s="29"/>
      <c r="F655" s="29"/>
      <c r="G655" s="29"/>
      <c r="H655" s="29"/>
      <c r="I655" s="2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</row>
    <row r="656" spans="1:24" s="27" customFormat="1" x14ac:dyDescent="0.25">
      <c r="A656" s="26"/>
      <c r="B656" s="26"/>
      <c r="C656" s="23"/>
      <c r="E656" s="29"/>
      <c r="F656" s="29"/>
      <c r="G656" s="29"/>
      <c r="H656" s="29"/>
      <c r="I656" s="2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</row>
    <row r="657" spans="1:24" s="27" customFormat="1" x14ac:dyDescent="0.25">
      <c r="A657" s="26"/>
      <c r="B657" s="26"/>
      <c r="C657" s="23"/>
      <c r="E657" s="29"/>
      <c r="F657" s="29"/>
      <c r="G657" s="29"/>
      <c r="H657" s="29"/>
      <c r="I657" s="2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</row>
    <row r="658" spans="1:24" s="27" customFormat="1" x14ac:dyDescent="0.25">
      <c r="A658" s="26"/>
      <c r="B658" s="26"/>
      <c r="C658" s="23"/>
      <c r="E658" s="29"/>
      <c r="F658" s="29"/>
      <c r="G658" s="29"/>
      <c r="H658" s="29"/>
      <c r="I658" s="2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</row>
    <row r="659" spans="1:24" s="27" customFormat="1" x14ac:dyDescent="0.25">
      <c r="A659" s="26"/>
      <c r="B659" s="26"/>
      <c r="C659" s="23"/>
      <c r="E659" s="29"/>
      <c r="F659" s="29"/>
      <c r="G659" s="29"/>
      <c r="H659" s="29"/>
      <c r="I659" s="2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</row>
    <row r="660" spans="1:24" s="27" customFormat="1" x14ac:dyDescent="0.25">
      <c r="A660" s="26"/>
      <c r="B660" s="26"/>
      <c r="C660" s="23"/>
      <c r="E660" s="29"/>
      <c r="F660" s="29"/>
      <c r="G660" s="29"/>
      <c r="H660" s="29"/>
      <c r="I660" s="2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</row>
    <row r="661" spans="1:24" s="27" customFormat="1" x14ac:dyDescent="0.25">
      <c r="A661" s="26"/>
      <c r="B661" s="26"/>
      <c r="C661" s="23"/>
      <c r="E661" s="29"/>
      <c r="F661" s="29"/>
      <c r="G661" s="29"/>
      <c r="H661" s="29"/>
      <c r="I661" s="2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</row>
    <row r="662" spans="1:24" s="27" customFormat="1" x14ac:dyDescent="0.25">
      <c r="A662" s="26"/>
      <c r="B662" s="26"/>
      <c r="C662" s="23"/>
      <c r="E662" s="29"/>
      <c r="F662" s="29"/>
      <c r="G662" s="29"/>
      <c r="H662" s="29"/>
      <c r="I662" s="2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</row>
    <row r="663" spans="1:24" s="27" customFormat="1" x14ac:dyDescent="0.25">
      <c r="A663" s="26"/>
      <c r="B663" s="26"/>
      <c r="C663" s="23"/>
      <c r="E663" s="29"/>
      <c r="F663" s="29"/>
      <c r="G663" s="29"/>
      <c r="H663" s="29"/>
      <c r="I663" s="2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</row>
    <row r="664" spans="1:24" s="27" customFormat="1" x14ac:dyDescent="0.25">
      <c r="A664" s="26"/>
      <c r="B664" s="26"/>
      <c r="C664" s="23"/>
      <c r="E664" s="29"/>
      <c r="F664" s="29"/>
      <c r="G664" s="29"/>
      <c r="H664" s="29"/>
      <c r="I664" s="2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</row>
    <row r="665" spans="1:24" s="27" customFormat="1" x14ac:dyDescent="0.25">
      <c r="A665" s="26"/>
      <c r="B665" s="26"/>
      <c r="C665" s="23"/>
      <c r="E665" s="29"/>
      <c r="F665" s="29"/>
      <c r="G665" s="29"/>
      <c r="H665" s="29"/>
      <c r="I665" s="2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</row>
    <row r="666" spans="1:24" s="27" customFormat="1" x14ac:dyDescent="0.25">
      <c r="A666" s="26"/>
      <c r="B666" s="26"/>
      <c r="C666" s="23"/>
      <c r="E666" s="29"/>
      <c r="F666" s="29"/>
      <c r="G666" s="29"/>
      <c r="H666" s="29"/>
      <c r="I666" s="2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</row>
    <row r="667" spans="1:24" s="27" customFormat="1" x14ac:dyDescent="0.25">
      <c r="A667" s="26"/>
      <c r="B667" s="26"/>
      <c r="C667" s="23"/>
      <c r="E667" s="29"/>
      <c r="F667" s="29"/>
      <c r="G667" s="29"/>
      <c r="H667" s="29"/>
      <c r="I667" s="2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</row>
    <row r="668" spans="1:24" s="27" customFormat="1" x14ac:dyDescent="0.25">
      <c r="A668" s="26"/>
      <c r="B668" s="26"/>
      <c r="C668" s="23"/>
      <c r="E668" s="29"/>
      <c r="F668" s="29"/>
      <c r="G668" s="29"/>
      <c r="H668" s="29"/>
      <c r="I668" s="2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</row>
    <row r="669" spans="1:24" s="27" customFormat="1" x14ac:dyDescent="0.25">
      <c r="A669" s="26"/>
      <c r="B669" s="26"/>
      <c r="C669" s="23"/>
      <c r="E669" s="29"/>
      <c r="F669" s="29"/>
      <c r="G669" s="29"/>
      <c r="H669" s="29"/>
      <c r="I669" s="2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</row>
    <row r="670" spans="1:24" s="27" customFormat="1" x14ac:dyDescent="0.25">
      <c r="A670" s="26"/>
      <c r="B670" s="26"/>
      <c r="C670" s="23"/>
      <c r="E670" s="29"/>
      <c r="F670" s="29"/>
      <c r="G670" s="29"/>
      <c r="H670" s="29"/>
      <c r="I670" s="2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</row>
    <row r="671" spans="1:24" s="27" customFormat="1" x14ac:dyDescent="0.25">
      <c r="A671" s="26"/>
      <c r="B671" s="26"/>
      <c r="C671" s="23"/>
      <c r="E671" s="29"/>
      <c r="F671" s="29"/>
      <c r="G671" s="29"/>
      <c r="H671" s="29"/>
      <c r="I671" s="2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</row>
    <row r="672" spans="1:24" s="27" customFormat="1" x14ac:dyDescent="0.25">
      <c r="A672" s="26"/>
      <c r="B672" s="26"/>
      <c r="C672" s="23"/>
      <c r="E672" s="29"/>
      <c r="F672" s="29"/>
      <c r="G672" s="29"/>
      <c r="H672" s="29"/>
      <c r="I672" s="2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</row>
    <row r="673" spans="1:24" s="27" customFormat="1" x14ac:dyDescent="0.25">
      <c r="A673" s="26"/>
      <c r="B673" s="26"/>
      <c r="C673" s="23"/>
      <c r="E673" s="29"/>
      <c r="F673" s="29"/>
      <c r="G673" s="29"/>
      <c r="H673" s="29"/>
      <c r="I673" s="2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</row>
    <row r="674" spans="1:24" s="27" customFormat="1" x14ac:dyDescent="0.25">
      <c r="A674" s="26"/>
      <c r="B674" s="26"/>
      <c r="C674" s="23"/>
      <c r="E674" s="29"/>
      <c r="F674" s="29"/>
      <c r="G674" s="29"/>
      <c r="H674" s="29"/>
      <c r="I674" s="2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</row>
    <row r="675" spans="1:24" s="27" customFormat="1" x14ac:dyDescent="0.25">
      <c r="A675" s="26"/>
      <c r="B675" s="26"/>
      <c r="C675" s="23"/>
      <c r="E675" s="29"/>
      <c r="F675" s="29"/>
      <c r="G675" s="29"/>
      <c r="H675" s="29"/>
      <c r="I675" s="2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</row>
    <row r="676" spans="1:24" s="27" customFormat="1" x14ac:dyDescent="0.25">
      <c r="A676" s="26"/>
      <c r="B676" s="26"/>
      <c r="C676" s="23"/>
      <c r="E676" s="29"/>
      <c r="F676" s="29"/>
      <c r="G676" s="29"/>
      <c r="H676" s="29"/>
      <c r="I676" s="2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</row>
    <row r="677" spans="1:24" s="27" customFormat="1" x14ac:dyDescent="0.25">
      <c r="A677" s="26"/>
      <c r="B677" s="26"/>
      <c r="C677" s="23"/>
      <c r="E677" s="29"/>
      <c r="F677" s="29"/>
      <c r="G677" s="29"/>
      <c r="H677" s="29"/>
      <c r="I677" s="2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</row>
    <row r="678" spans="1:24" s="27" customFormat="1" x14ac:dyDescent="0.25">
      <c r="A678" s="26"/>
      <c r="B678" s="26"/>
      <c r="C678" s="23"/>
      <c r="E678" s="29"/>
      <c r="F678" s="29"/>
      <c r="G678" s="29"/>
      <c r="H678" s="29"/>
      <c r="I678" s="2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</row>
    <row r="679" spans="1:24" s="27" customFormat="1" x14ac:dyDescent="0.25">
      <c r="A679" s="26"/>
      <c r="B679" s="26"/>
      <c r="C679" s="23"/>
      <c r="E679" s="29"/>
      <c r="F679" s="29"/>
      <c r="G679" s="29"/>
      <c r="H679" s="29"/>
      <c r="I679" s="2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</row>
    <row r="680" spans="1:24" s="27" customFormat="1" x14ac:dyDescent="0.25">
      <c r="A680" s="26"/>
      <c r="B680" s="26"/>
      <c r="C680" s="23"/>
      <c r="E680" s="29"/>
      <c r="F680" s="29"/>
      <c r="G680" s="29"/>
      <c r="H680" s="29"/>
      <c r="I680" s="2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</row>
    <row r="681" spans="1:24" s="27" customFormat="1" x14ac:dyDescent="0.25">
      <c r="A681" s="26"/>
      <c r="B681" s="26"/>
      <c r="C681" s="23"/>
      <c r="E681" s="29"/>
      <c r="F681" s="29"/>
      <c r="G681" s="29"/>
      <c r="H681" s="29"/>
      <c r="I681" s="2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</row>
    <row r="682" spans="1:24" s="27" customFormat="1" x14ac:dyDescent="0.25">
      <c r="A682" s="26"/>
      <c r="B682" s="26"/>
      <c r="C682" s="23"/>
      <c r="E682" s="29"/>
      <c r="F682" s="29"/>
      <c r="G682" s="29"/>
      <c r="H682" s="29"/>
      <c r="I682" s="2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</row>
    <row r="683" spans="1:24" s="27" customFormat="1" x14ac:dyDescent="0.25">
      <c r="A683" s="26"/>
      <c r="B683" s="26"/>
      <c r="C683" s="23"/>
      <c r="E683" s="29"/>
      <c r="F683" s="29"/>
      <c r="G683" s="29"/>
      <c r="H683" s="29"/>
      <c r="I683" s="2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</row>
    <row r="684" spans="1:24" s="27" customFormat="1" x14ac:dyDescent="0.25">
      <c r="A684" s="26"/>
      <c r="B684" s="26"/>
      <c r="C684" s="23"/>
      <c r="E684" s="29"/>
      <c r="F684" s="29"/>
      <c r="G684" s="29"/>
      <c r="H684" s="29"/>
      <c r="I684" s="2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</row>
    <row r="685" spans="1:24" s="27" customFormat="1" x14ac:dyDescent="0.25">
      <c r="A685" s="26"/>
      <c r="B685" s="26"/>
      <c r="C685" s="23"/>
      <c r="E685" s="29"/>
      <c r="F685" s="29"/>
      <c r="G685" s="29"/>
      <c r="H685" s="29"/>
      <c r="I685" s="2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</row>
    <row r="686" spans="1:24" s="27" customFormat="1" x14ac:dyDescent="0.25">
      <c r="A686" s="26"/>
      <c r="B686" s="26"/>
      <c r="C686" s="23"/>
      <c r="E686" s="29"/>
      <c r="F686" s="29"/>
      <c r="G686" s="29"/>
      <c r="H686" s="29"/>
      <c r="I686" s="2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</row>
    <row r="687" spans="1:24" s="27" customFormat="1" x14ac:dyDescent="0.25">
      <c r="A687" s="26"/>
      <c r="B687" s="26"/>
      <c r="C687" s="23"/>
      <c r="E687" s="29"/>
      <c r="F687" s="29"/>
      <c r="G687" s="29"/>
      <c r="H687" s="29"/>
      <c r="I687" s="2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</row>
    <row r="688" spans="1:24" s="27" customFormat="1" x14ac:dyDescent="0.25">
      <c r="A688" s="26"/>
      <c r="B688" s="26"/>
      <c r="C688" s="23"/>
      <c r="E688" s="29"/>
      <c r="F688" s="29"/>
      <c r="G688" s="29"/>
      <c r="H688" s="29"/>
      <c r="I688" s="2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</row>
    <row r="689" spans="1:24" s="27" customFormat="1" x14ac:dyDescent="0.25">
      <c r="A689" s="26"/>
      <c r="B689" s="26"/>
      <c r="C689" s="23"/>
      <c r="E689" s="29"/>
      <c r="F689" s="29"/>
      <c r="G689" s="29"/>
      <c r="H689" s="29"/>
      <c r="I689" s="2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</row>
    <row r="690" spans="1:24" s="27" customFormat="1" x14ac:dyDescent="0.25">
      <c r="A690" s="26"/>
      <c r="B690" s="26"/>
      <c r="C690" s="23"/>
      <c r="E690" s="29"/>
      <c r="F690" s="29"/>
      <c r="G690" s="29"/>
      <c r="H690" s="29"/>
      <c r="I690" s="2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</row>
    <row r="691" spans="1:24" s="27" customFormat="1" x14ac:dyDescent="0.25">
      <c r="A691" s="26"/>
      <c r="B691" s="26"/>
      <c r="C691" s="23"/>
      <c r="E691" s="29"/>
      <c r="F691" s="29"/>
      <c r="G691" s="29"/>
      <c r="H691" s="29"/>
      <c r="I691" s="2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</row>
    <row r="692" spans="1:24" s="27" customFormat="1" x14ac:dyDescent="0.25">
      <c r="A692" s="26"/>
      <c r="B692" s="26"/>
      <c r="C692" s="23"/>
      <c r="E692" s="29"/>
      <c r="F692" s="29"/>
      <c r="G692" s="29"/>
      <c r="H692" s="29"/>
      <c r="I692" s="2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</row>
    <row r="693" spans="1:24" s="27" customFormat="1" x14ac:dyDescent="0.25">
      <c r="A693" s="26"/>
      <c r="B693" s="26"/>
      <c r="C693" s="23"/>
      <c r="E693" s="29"/>
      <c r="F693" s="29"/>
      <c r="G693" s="29"/>
      <c r="H693" s="29"/>
      <c r="I693" s="2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</row>
    <row r="694" spans="1:24" s="27" customFormat="1" x14ac:dyDescent="0.25">
      <c r="A694" s="26"/>
      <c r="B694" s="26"/>
      <c r="C694" s="23"/>
      <c r="E694" s="29"/>
      <c r="F694" s="29"/>
      <c r="G694" s="29"/>
      <c r="H694" s="29"/>
      <c r="I694" s="2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</row>
    <row r="695" spans="1:24" s="27" customFormat="1" x14ac:dyDescent="0.25">
      <c r="A695" s="26"/>
      <c r="B695" s="26"/>
      <c r="C695" s="23"/>
      <c r="E695" s="29"/>
      <c r="F695" s="29"/>
      <c r="G695" s="29"/>
      <c r="H695" s="29"/>
      <c r="I695" s="2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</row>
    <row r="696" spans="1:24" s="27" customFormat="1" x14ac:dyDescent="0.25">
      <c r="A696" s="26"/>
      <c r="B696" s="26"/>
      <c r="C696" s="23"/>
      <c r="E696" s="29"/>
      <c r="F696" s="29"/>
      <c r="G696" s="29"/>
      <c r="H696" s="29"/>
      <c r="I696" s="2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</row>
    <row r="697" spans="1:24" s="27" customFormat="1" x14ac:dyDescent="0.25">
      <c r="A697" s="26"/>
      <c r="B697" s="26"/>
      <c r="C697" s="23"/>
      <c r="E697" s="29"/>
      <c r="F697" s="29"/>
      <c r="G697" s="29"/>
      <c r="H697" s="29"/>
      <c r="I697" s="2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</row>
    <row r="698" spans="1:24" s="27" customFormat="1" x14ac:dyDescent="0.25">
      <c r="A698" s="26"/>
      <c r="B698" s="26"/>
      <c r="C698" s="23"/>
      <c r="E698" s="29"/>
      <c r="F698" s="29"/>
      <c r="G698" s="29"/>
      <c r="H698" s="29"/>
      <c r="I698" s="2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</row>
    <row r="699" spans="1:24" s="27" customFormat="1" x14ac:dyDescent="0.25">
      <c r="A699" s="26"/>
      <c r="B699" s="26"/>
      <c r="C699" s="23"/>
      <c r="E699" s="29"/>
      <c r="F699" s="29"/>
      <c r="G699" s="29"/>
      <c r="H699" s="29"/>
      <c r="I699" s="2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</row>
    <row r="700" spans="1:24" s="27" customFormat="1" x14ac:dyDescent="0.25">
      <c r="A700" s="26"/>
      <c r="B700" s="26"/>
      <c r="C700" s="23"/>
      <c r="E700" s="29"/>
      <c r="F700" s="29"/>
      <c r="G700" s="29"/>
      <c r="H700" s="29"/>
      <c r="I700" s="2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</row>
    <row r="701" spans="1:24" s="27" customFormat="1" x14ac:dyDescent="0.25">
      <c r="A701" s="26"/>
      <c r="B701" s="26"/>
      <c r="C701" s="23"/>
      <c r="E701" s="29"/>
      <c r="F701" s="29"/>
      <c r="G701" s="29"/>
      <c r="H701" s="29"/>
      <c r="I701" s="2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</row>
    <row r="702" spans="1:24" s="27" customFormat="1" x14ac:dyDescent="0.25">
      <c r="A702" s="26"/>
      <c r="B702" s="26"/>
      <c r="C702" s="23"/>
      <c r="E702" s="29"/>
      <c r="F702" s="29"/>
      <c r="G702" s="29"/>
      <c r="H702" s="29"/>
      <c r="I702" s="2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</row>
    <row r="703" spans="1:24" s="27" customFormat="1" x14ac:dyDescent="0.25">
      <c r="A703" s="26"/>
      <c r="B703" s="26"/>
      <c r="C703" s="23"/>
      <c r="E703" s="29"/>
      <c r="F703" s="29"/>
      <c r="G703" s="29"/>
      <c r="H703" s="29"/>
      <c r="I703" s="2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</row>
    <row r="704" spans="1:24" s="27" customFormat="1" x14ac:dyDescent="0.25">
      <c r="A704" s="26"/>
      <c r="B704" s="26"/>
      <c r="C704" s="23"/>
      <c r="E704" s="29"/>
      <c r="F704" s="29"/>
      <c r="G704" s="29"/>
      <c r="H704" s="29"/>
      <c r="I704" s="2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</row>
    <row r="705" spans="1:24" s="27" customFormat="1" x14ac:dyDescent="0.25">
      <c r="A705" s="26"/>
      <c r="B705" s="26"/>
      <c r="C705" s="23"/>
      <c r="E705" s="29"/>
      <c r="F705" s="29"/>
      <c r="G705" s="29"/>
      <c r="H705" s="29"/>
      <c r="I705" s="2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</row>
    <row r="706" spans="1:24" s="27" customFormat="1" x14ac:dyDescent="0.25">
      <c r="A706" s="26"/>
      <c r="B706" s="26"/>
      <c r="C706" s="23"/>
      <c r="E706" s="29"/>
      <c r="F706" s="29"/>
      <c r="G706" s="29"/>
      <c r="H706" s="29"/>
      <c r="I706" s="2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</row>
    <row r="707" spans="1:24" s="27" customFormat="1" x14ac:dyDescent="0.25">
      <c r="A707" s="26"/>
      <c r="B707" s="26"/>
      <c r="C707" s="23"/>
      <c r="E707" s="29"/>
      <c r="F707" s="29"/>
      <c r="G707" s="29"/>
      <c r="H707" s="29"/>
      <c r="I707" s="2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</row>
    <row r="708" spans="1:24" s="27" customFormat="1" x14ac:dyDescent="0.25">
      <c r="A708" s="26"/>
      <c r="B708" s="26"/>
      <c r="C708" s="23"/>
      <c r="E708" s="29"/>
      <c r="F708" s="29"/>
      <c r="G708" s="29"/>
      <c r="H708" s="29"/>
      <c r="I708" s="2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</row>
    <row r="709" spans="1:24" s="27" customFormat="1" x14ac:dyDescent="0.25">
      <c r="A709" s="26"/>
      <c r="B709" s="26"/>
      <c r="C709" s="23"/>
      <c r="E709" s="29"/>
      <c r="F709" s="29"/>
      <c r="G709" s="29"/>
      <c r="H709" s="29"/>
      <c r="I709" s="2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</row>
    <row r="710" spans="1:24" s="27" customFormat="1" x14ac:dyDescent="0.25">
      <c r="A710" s="26"/>
      <c r="B710" s="26"/>
      <c r="C710" s="23"/>
      <c r="E710" s="29"/>
      <c r="F710" s="29"/>
      <c r="G710" s="29"/>
      <c r="H710" s="29"/>
      <c r="I710" s="2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</row>
    <row r="711" spans="1:24" s="27" customFormat="1" x14ac:dyDescent="0.25">
      <c r="A711" s="26"/>
      <c r="B711" s="26"/>
      <c r="C711" s="23"/>
      <c r="E711" s="29"/>
      <c r="F711" s="29"/>
      <c r="G711" s="29"/>
      <c r="H711" s="29"/>
      <c r="I711" s="2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</row>
    <row r="712" spans="1:24" s="27" customFormat="1" x14ac:dyDescent="0.25">
      <c r="A712" s="26"/>
      <c r="B712" s="26"/>
      <c r="C712" s="23"/>
      <c r="E712" s="29"/>
      <c r="F712" s="29"/>
      <c r="G712" s="29"/>
      <c r="H712" s="29"/>
      <c r="I712" s="2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</row>
    <row r="713" spans="1:24" s="27" customFormat="1" x14ac:dyDescent="0.25">
      <c r="A713" s="26"/>
      <c r="B713" s="26"/>
      <c r="C713" s="23"/>
      <c r="E713" s="29"/>
      <c r="F713" s="29"/>
      <c r="G713" s="29"/>
      <c r="H713" s="29"/>
      <c r="I713" s="2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</row>
    <row r="714" spans="1:24" s="27" customFormat="1" x14ac:dyDescent="0.25">
      <c r="A714" s="26"/>
      <c r="B714" s="26"/>
      <c r="C714" s="23"/>
      <c r="E714" s="29"/>
      <c r="F714" s="29"/>
      <c r="G714" s="29"/>
      <c r="H714" s="29"/>
      <c r="I714" s="2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</row>
    <row r="715" spans="1:24" s="27" customFormat="1" x14ac:dyDescent="0.25">
      <c r="A715" s="26"/>
      <c r="B715" s="26"/>
      <c r="C715" s="23"/>
      <c r="E715" s="29"/>
      <c r="F715" s="29"/>
      <c r="G715" s="29"/>
      <c r="H715" s="29"/>
      <c r="I715" s="2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</row>
    <row r="716" spans="1:24" s="27" customFormat="1" x14ac:dyDescent="0.25">
      <c r="A716" s="26"/>
      <c r="B716" s="26"/>
      <c r="C716" s="23"/>
      <c r="E716" s="29"/>
      <c r="F716" s="29"/>
      <c r="G716" s="29"/>
      <c r="H716" s="29"/>
      <c r="I716" s="2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</row>
    <row r="717" spans="1:24" s="27" customFormat="1" x14ac:dyDescent="0.25">
      <c r="A717" s="26"/>
      <c r="B717" s="26"/>
      <c r="C717" s="23"/>
      <c r="E717" s="29"/>
      <c r="F717" s="29"/>
      <c r="G717" s="29"/>
      <c r="H717" s="29"/>
      <c r="I717" s="2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</row>
    <row r="718" spans="1:24" s="27" customFormat="1" x14ac:dyDescent="0.25">
      <c r="A718" s="26"/>
      <c r="B718" s="26"/>
      <c r="C718" s="23"/>
      <c r="E718" s="29"/>
      <c r="F718" s="29"/>
      <c r="G718" s="29"/>
      <c r="H718" s="29"/>
      <c r="I718" s="2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</row>
    <row r="719" spans="1:24" s="27" customFormat="1" x14ac:dyDescent="0.25">
      <c r="A719" s="26"/>
      <c r="B719" s="26"/>
      <c r="C719" s="23"/>
      <c r="E719" s="29"/>
      <c r="F719" s="29"/>
      <c r="G719" s="29"/>
      <c r="H719" s="29"/>
      <c r="I719" s="2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</row>
    <row r="720" spans="1:24" s="27" customFormat="1" x14ac:dyDescent="0.25">
      <c r="A720" s="26"/>
      <c r="B720" s="26"/>
      <c r="C720" s="23"/>
      <c r="E720" s="29"/>
      <c r="F720" s="29"/>
      <c r="G720" s="29"/>
      <c r="H720" s="29"/>
      <c r="I720" s="2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</row>
    <row r="721" spans="1:24" s="27" customFormat="1" x14ac:dyDescent="0.25">
      <c r="A721" s="26"/>
      <c r="B721" s="26"/>
      <c r="C721" s="23"/>
      <c r="E721" s="29"/>
      <c r="F721" s="29"/>
      <c r="G721" s="29"/>
      <c r="H721" s="29"/>
      <c r="I721" s="2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</row>
    <row r="722" spans="1:24" s="27" customFormat="1" x14ac:dyDescent="0.25">
      <c r="A722" s="26"/>
      <c r="B722" s="26"/>
      <c r="C722" s="23"/>
      <c r="E722" s="29"/>
      <c r="F722" s="29"/>
      <c r="G722" s="29"/>
      <c r="H722" s="29"/>
      <c r="I722" s="2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</row>
    <row r="723" spans="1:24" s="27" customFormat="1" x14ac:dyDescent="0.25">
      <c r="A723" s="26"/>
      <c r="B723" s="26"/>
      <c r="C723" s="23"/>
      <c r="E723" s="29"/>
      <c r="F723" s="29"/>
      <c r="G723" s="29"/>
      <c r="H723" s="29"/>
      <c r="I723" s="2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</row>
    <row r="724" spans="1:24" s="27" customFormat="1" x14ac:dyDescent="0.25">
      <c r="A724" s="26"/>
      <c r="B724" s="26"/>
      <c r="C724" s="23"/>
      <c r="E724" s="29"/>
      <c r="F724" s="29"/>
      <c r="G724" s="29"/>
      <c r="H724" s="29"/>
      <c r="I724" s="2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</row>
    <row r="725" spans="1:24" s="27" customFormat="1" x14ac:dyDescent="0.25">
      <c r="A725" s="26"/>
      <c r="B725" s="26"/>
      <c r="C725" s="23"/>
      <c r="E725" s="29"/>
      <c r="F725" s="29"/>
      <c r="G725" s="29"/>
      <c r="H725" s="29"/>
      <c r="I725" s="2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</row>
    <row r="726" spans="1:24" s="27" customFormat="1" x14ac:dyDescent="0.25">
      <c r="A726" s="26"/>
      <c r="B726" s="26"/>
      <c r="C726" s="23"/>
      <c r="E726" s="29"/>
      <c r="F726" s="29"/>
      <c r="G726" s="29"/>
      <c r="H726" s="29"/>
      <c r="I726" s="2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</row>
    <row r="727" spans="1:24" s="27" customFormat="1" x14ac:dyDescent="0.25">
      <c r="A727" s="26"/>
      <c r="B727" s="26"/>
      <c r="C727" s="23"/>
      <c r="E727" s="29"/>
      <c r="F727" s="29"/>
      <c r="G727" s="29"/>
      <c r="H727" s="29"/>
      <c r="I727" s="2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</row>
    <row r="728" spans="1:24" s="27" customFormat="1" x14ac:dyDescent="0.25">
      <c r="A728" s="26"/>
      <c r="B728" s="26"/>
      <c r="C728" s="23"/>
      <c r="E728" s="29"/>
      <c r="F728" s="29"/>
      <c r="G728" s="29"/>
      <c r="H728" s="29"/>
      <c r="I728" s="2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</row>
    <row r="729" spans="1:24" s="27" customFormat="1" x14ac:dyDescent="0.25">
      <c r="A729" s="26"/>
      <c r="B729" s="26"/>
      <c r="C729" s="23"/>
      <c r="E729" s="29"/>
      <c r="F729" s="29"/>
      <c r="G729" s="29"/>
      <c r="H729" s="29"/>
      <c r="I729" s="2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</row>
    <row r="730" spans="1:24" s="27" customFormat="1" x14ac:dyDescent="0.25">
      <c r="A730" s="26"/>
      <c r="B730" s="26"/>
      <c r="C730" s="23"/>
      <c r="E730" s="29"/>
      <c r="F730" s="29"/>
      <c r="G730" s="29"/>
      <c r="H730" s="29"/>
      <c r="I730" s="2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</row>
    <row r="731" spans="1:24" s="27" customFormat="1" x14ac:dyDescent="0.25">
      <c r="A731" s="26"/>
      <c r="B731" s="26"/>
      <c r="C731" s="23"/>
      <c r="E731" s="29"/>
      <c r="F731" s="29"/>
      <c r="G731" s="29"/>
      <c r="H731" s="29"/>
      <c r="I731" s="2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</row>
    <row r="732" spans="1:24" s="27" customFormat="1" x14ac:dyDescent="0.25">
      <c r="A732" s="26"/>
      <c r="B732" s="26"/>
      <c r="C732" s="23"/>
      <c r="E732" s="29"/>
      <c r="F732" s="29"/>
      <c r="G732" s="29"/>
      <c r="H732" s="29"/>
      <c r="I732" s="2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</row>
    <row r="733" spans="1:24" s="27" customFormat="1" x14ac:dyDescent="0.25">
      <c r="A733" s="26"/>
      <c r="B733" s="26"/>
      <c r="C733" s="23"/>
      <c r="E733" s="29"/>
      <c r="F733" s="29"/>
      <c r="G733" s="29"/>
      <c r="H733" s="29"/>
      <c r="I733" s="2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</row>
    <row r="734" spans="1:24" s="27" customFormat="1" x14ac:dyDescent="0.25">
      <c r="A734" s="26"/>
      <c r="B734" s="26"/>
      <c r="C734" s="23"/>
      <c r="E734" s="29"/>
      <c r="F734" s="29"/>
      <c r="G734" s="29"/>
      <c r="H734" s="29"/>
      <c r="I734" s="2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</row>
    <row r="735" spans="1:24" s="27" customFormat="1" x14ac:dyDescent="0.25">
      <c r="A735" s="26"/>
      <c r="B735" s="26"/>
      <c r="C735" s="23"/>
      <c r="E735" s="29"/>
      <c r="F735" s="29"/>
      <c r="G735" s="29"/>
      <c r="H735" s="29"/>
      <c r="I735" s="2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</row>
    <row r="736" spans="1:24" s="27" customFormat="1" x14ac:dyDescent="0.25">
      <c r="A736" s="26"/>
      <c r="B736" s="26"/>
      <c r="C736" s="23"/>
      <c r="E736" s="29"/>
      <c r="F736" s="29"/>
      <c r="G736" s="29"/>
      <c r="H736" s="29"/>
      <c r="I736" s="2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</row>
    <row r="737" spans="1:24" s="27" customFormat="1" x14ac:dyDescent="0.25">
      <c r="A737" s="26"/>
      <c r="B737" s="26"/>
      <c r="C737" s="23"/>
      <c r="E737" s="29"/>
      <c r="F737" s="29"/>
      <c r="G737" s="29"/>
      <c r="H737" s="29"/>
      <c r="I737" s="2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</row>
    <row r="738" spans="1:24" s="27" customFormat="1" x14ac:dyDescent="0.25">
      <c r="A738" s="26"/>
      <c r="B738" s="26"/>
      <c r="C738" s="23"/>
      <c r="E738" s="29"/>
      <c r="F738" s="29"/>
      <c r="G738" s="29"/>
      <c r="H738" s="29"/>
      <c r="I738" s="2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</row>
    <row r="739" spans="1:24" s="27" customFormat="1" x14ac:dyDescent="0.25">
      <c r="A739" s="26"/>
      <c r="B739" s="26"/>
      <c r="C739" s="23"/>
      <c r="E739" s="29"/>
      <c r="F739" s="29"/>
      <c r="G739" s="29"/>
      <c r="H739" s="29"/>
      <c r="I739" s="2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</row>
    <row r="740" spans="1:24" s="27" customFormat="1" x14ac:dyDescent="0.25">
      <c r="A740" s="26"/>
      <c r="B740" s="26"/>
      <c r="C740" s="23"/>
      <c r="E740" s="29"/>
      <c r="F740" s="29"/>
      <c r="G740" s="29"/>
      <c r="H740" s="29"/>
      <c r="I740" s="2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</row>
    <row r="741" spans="1:24" s="27" customFormat="1" x14ac:dyDescent="0.25">
      <c r="A741" s="26"/>
      <c r="B741" s="26"/>
      <c r="C741" s="23"/>
      <c r="E741" s="29"/>
      <c r="F741" s="29"/>
      <c r="G741" s="29"/>
      <c r="H741" s="29"/>
      <c r="I741" s="2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</row>
    <row r="742" spans="1:24" s="27" customFormat="1" x14ac:dyDescent="0.25">
      <c r="A742" s="26"/>
      <c r="B742" s="26"/>
      <c r="C742" s="23"/>
      <c r="E742" s="29"/>
      <c r="F742" s="29"/>
      <c r="G742" s="29"/>
      <c r="H742" s="29"/>
      <c r="I742" s="2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</row>
    <row r="743" spans="1:24" s="27" customFormat="1" x14ac:dyDescent="0.25">
      <c r="A743" s="26"/>
      <c r="B743" s="26"/>
      <c r="C743" s="23"/>
      <c r="E743" s="29"/>
      <c r="F743" s="29"/>
      <c r="G743" s="29"/>
      <c r="H743" s="29"/>
      <c r="I743" s="2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</row>
    <row r="744" spans="1:24" s="27" customFormat="1" x14ac:dyDescent="0.25">
      <c r="A744" s="26"/>
      <c r="B744" s="26"/>
      <c r="C744" s="23"/>
      <c r="E744" s="29"/>
      <c r="F744" s="29"/>
      <c r="G744" s="29"/>
      <c r="H744" s="29"/>
      <c r="I744" s="2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</row>
    <row r="745" spans="1:24" s="27" customFormat="1" x14ac:dyDescent="0.25">
      <c r="A745" s="26"/>
      <c r="B745" s="26"/>
      <c r="C745" s="23"/>
      <c r="E745" s="29"/>
      <c r="F745" s="29"/>
      <c r="G745" s="29"/>
      <c r="H745" s="29"/>
      <c r="I745" s="2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</row>
    <row r="746" spans="1:24" s="27" customFormat="1" x14ac:dyDescent="0.25">
      <c r="A746" s="26"/>
      <c r="B746" s="26"/>
      <c r="C746" s="23"/>
      <c r="E746" s="29"/>
      <c r="F746" s="29"/>
      <c r="G746" s="29"/>
      <c r="H746" s="29"/>
      <c r="I746" s="2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</row>
    <row r="747" spans="1:24" s="27" customFormat="1" x14ac:dyDescent="0.25">
      <c r="A747" s="26"/>
      <c r="B747" s="26"/>
      <c r="C747" s="23"/>
      <c r="E747" s="29"/>
      <c r="F747" s="29"/>
      <c r="G747" s="29"/>
      <c r="H747" s="29"/>
      <c r="I747" s="2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</row>
    <row r="748" spans="1:24" s="27" customFormat="1" x14ac:dyDescent="0.25">
      <c r="A748" s="26"/>
      <c r="B748" s="26"/>
      <c r="C748" s="23"/>
      <c r="E748" s="29"/>
      <c r="F748" s="29"/>
      <c r="G748" s="29"/>
      <c r="H748" s="29"/>
      <c r="I748" s="2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</row>
    <row r="749" spans="1:24" s="27" customFormat="1" x14ac:dyDescent="0.25">
      <c r="A749" s="26"/>
      <c r="B749" s="26"/>
      <c r="C749" s="23"/>
      <c r="E749" s="29"/>
      <c r="F749" s="29"/>
      <c r="G749" s="29"/>
      <c r="H749" s="29"/>
      <c r="I749" s="2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</row>
    <row r="750" spans="1:24" s="27" customFormat="1" x14ac:dyDescent="0.25">
      <c r="A750" s="26"/>
      <c r="B750" s="26"/>
      <c r="C750" s="23"/>
      <c r="E750" s="29"/>
      <c r="F750" s="29"/>
      <c r="G750" s="29"/>
      <c r="H750" s="29"/>
      <c r="I750" s="2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</row>
    <row r="751" spans="1:24" s="27" customFormat="1" x14ac:dyDescent="0.25">
      <c r="A751" s="26"/>
      <c r="B751" s="26"/>
      <c r="C751" s="23"/>
      <c r="E751" s="29"/>
      <c r="F751" s="29"/>
      <c r="G751" s="29"/>
      <c r="H751" s="29"/>
      <c r="I751" s="2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</row>
    <row r="752" spans="1:24" s="27" customFormat="1" x14ac:dyDescent="0.25">
      <c r="A752" s="26"/>
      <c r="B752" s="26"/>
      <c r="C752" s="23"/>
      <c r="E752" s="29"/>
      <c r="F752" s="29"/>
      <c r="G752" s="29"/>
      <c r="H752" s="29"/>
      <c r="I752" s="2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</row>
    <row r="753" spans="1:24" s="27" customFormat="1" x14ac:dyDescent="0.25">
      <c r="A753" s="26"/>
      <c r="B753" s="26"/>
      <c r="C753" s="23"/>
      <c r="E753" s="29"/>
      <c r="F753" s="29"/>
      <c r="G753" s="29"/>
      <c r="H753" s="29"/>
      <c r="I753" s="2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</row>
    <row r="754" spans="1:24" s="27" customFormat="1" x14ac:dyDescent="0.25">
      <c r="A754" s="26"/>
      <c r="B754" s="26"/>
      <c r="C754" s="23"/>
      <c r="E754" s="29"/>
      <c r="F754" s="29"/>
      <c r="G754" s="29"/>
      <c r="H754" s="29"/>
      <c r="I754" s="2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</row>
    <row r="755" spans="1:24" s="27" customFormat="1" x14ac:dyDescent="0.25">
      <c r="A755" s="26"/>
      <c r="B755" s="26"/>
      <c r="C755" s="23"/>
      <c r="E755" s="29"/>
      <c r="F755" s="29"/>
      <c r="G755" s="29"/>
      <c r="H755" s="29"/>
      <c r="I755" s="2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</row>
    <row r="756" spans="1:24" s="27" customFormat="1" x14ac:dyDescent="0.25">
      <c r="A756" s="26"/>
      <c r="B756" s="26"/>
      <c r="C756" s="23"/>
      <c r="E756" s="29"/>
      <c r="F756" s="29"/>
      <c r="G756" s="29"/>
      <c r="H756" s="29"/>
      <c r="I756" s="2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</row>
    <row r="757" spans="1:24" s="27" customFormat="1" x14ac:dyDescent="0.25">
      <c r="A757" s="26"/>
      <c r="B757" s="26"/>
      <c r="C757" s="23"/>
      <c r="E757" s="29"/>
      <c r="F757" s="29"/>
      <c r="G757" s="29"/>
      <c r="H757" s="29"/>
      <c r="I757" s="2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</row>
    <row r="758" spans="1:24" s="27" customFormat="1" x14ac:dyDescent="0.25">
      <c r="A758" s="26"/>
      <c r="B758" s="26"/>
      <c r="C758" s="23"/>
      <c r="E758" s="29"/>
      <c r="F758" s="29"/>
      <c r="G758" s="29"/>
      <c r="H758" s="29"/>
      <c r="I758" s="2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</row>
    <row r="759" spans="1:24" s="27" customFormat="1" x14ac:dyDescent="0.25">
      <c r="A759" s="26"/>
      <c r="B759" s="26"/>
      <c r="C759" s="23"/>
      <c r="E759" s="29"/>
      <c r="F759" s="29"/>
      <c r="G759" s="29"/>
      <c r="H759" s="29"/>
      <c r="I759" s="2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</row>
    <row r="760" spans="1:24" s="27" customFormat="1" x14ac:dyDescent="0.25">
      <c r="A760" s="26"/>
      <c r="B760" s="26"/>
      <c r="C760" s="23"/>
      <c r="E760" s="29"/>
      <c r="F760" s="29"/>
      <c r="G760" s="29"/>
      <c r="H760" s="29"/>
      <c r="I760" s="2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</row>
    <row r="761" spans="1:24" s="27" customFormat="1" x14ac:dyDescent="0.25">
      <c r="A761" s="26"/>
      <c r="B761" s="26"/>
      <c r="C761" s="23"/>
      <c r="E761" s="29"/>
      <c r="F761" s="29"/>
      <c r="G761" s="29"/>
      <c r="H761" s="29"/>
      <c r="I761" s="2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</row>
    <row r="762" spans="1:24" s="27" customFormat="1" x14ac:dyDescent="0.25">
      <c r="A762" s="26"/>
      <c r="B762" s="26"/>
      <c r="C762" s="23"/>
      <c r="E762" s="29"/>
      <c r="F762" s="29"/>
      <c r="G762" s="29"/>
      <c r="H762" s="29"/>
      <c r="I762" s="2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</row>
    <row r="763" spans="1:24" s="27" customFormat="1" x14ac:dyDescent="0.25">
      <c r="A763" s="26"/>
      <c r="B763" s="26"/>
      <c r="C763" s="23"/>
      <c r="E763" s="29"/>
      <c r="F763" s="29"/>
      <c r="G763" s="29"/>
      <c r="H763" s="29"/>
      <c r="I763" s="2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</row>
    <row r="764" spans="1:24" s="27" customFormat="1" x14ac:dyDescent="0.25">
      <c r="A764" s="26"/>
      <c r="B764" s="26"/>
      <c r="C764" s="23"/>
      <c r="E764" s="29"/>
      <c r="F764" s="29"/>
      <c r="G764" s="29"/>
      <c r="H764" s="29"/>
      <c r="I764" s="2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</row>
    <row r="765" spans="1:24" s="27" customFormat="1" x14ac:dyDescent="0.25">
      <c r="A765" s="26"/>
      <c r="B765" s="26"/>
      <c r="C765" s="23"/>
      <c r="E765" s="29"/>
      <c r="F765" s="29"/>
      <c r="G765" s="29"/>
      <c r="H765" s="29"/>
      <c r="I765" s="2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</row>
    <row r="766" spans="1:24" s="27" customFormat="1" x14ac:dyDescent="0.25">
      <c r="A766" s="26"/>
      <c r="B766" s="26"/>
      <c r="C766" s="23"/>
      <c r="E766" s="29"/>
      <c r="F766" s="29"/>
      <c r="G766" s="29"/>
      <c r="H766" s="29"/>
      <c r="I766" s="2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</row>
    <row r="767" spans="1:24" s="27" customFormat="1" x14ac:dyDescent="0.25">
      <c r="A767" s="26"/>
      <c r="B767" s="26"/>
      <c r="C767" s="23"/>
      <c r="E767" s="29"/>
      <c r="F767" s="29"/>
      <c r="G767" s="29"/>
      <c r="H767" s="29"/>
      <c r="I767" s="2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</row>
    <row r="768" spans="1:24" s="27" customFormat="1" x14ac:dyDescent="0.25">
      <c r="A768" s="26"/>
      <c r="B768" s="26"/>
      <c r="C768" s="23"/>
      <c r="E768" s="29"/>
      <c r="F768" s="29"/>
      <c r="G768" s="29"/>
      <c r="H768" s="29"/>
      <c r="I768" s="2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</row>
    <row r="769" spans="1:24" s="27" customFormat="1" x14ac:dyDescent="0.25">
      <c r="A769" s="26"/>
      <c r="B769" s="26"/>
      <c r="C769" s="23"/>
      <c r="E769" s="29"/>
      <c r="F769" s="29"/>
      <c r="G769" s="29"/>
      <c r="H769" s="29"/>
      <c r="I769" s="2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</row>
    <row r="770" spans="1:24" s="27" customFormat="1" x14ac:dyDescent="0.25">
      <c r="A770" s="26"/>
      <c r="B770" s="26"/>
      <c r="C770" s="23"/>
      <c r="E770" s="29"/>
      <c r="F770" s="29"/>
      <c r="G770" s="29"/>
      <c r="H770" s="29"/>
      <c r="I770" s="2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</row>
    <row r="771" spans="1:24" s="27" customFormat="1" x14ac:dyDescent="0.25">
      <c r="A771" s="26"/>
      <c r="B771" s="26"/>
      <c r="C771" s="23"/>
      <c r="E771" s="29"/>
      <c r="F771" s="50"/>
      <c r="G771" s="29"/>
      <c r="H771" s="29"/>
      <c r="I771" s="2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</row>
    <row r="772" spans="1:24" s="27" customFormat="1" x14ac:dyDescent="0.25">
      <c r="A772" s="26"/>
      <c r="B772" s="26"/>
      <c r="C772" s="23"/>
      <c r="E772" s="29"/>
      <c r="F772" s="29"/>
      <c r="G772" s="29"/>
      <c r="H772" s="29"/>
      <c r="I772" s="2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</row>
    <row r="773" spans="1:24" s="27" customFormat="1" x14ac:dyDescent="0.25">
      <c r="A773" s="26"/>
      <c r="B773" s="26"/>
      <c r="C773" s="23"/>
      <c r="E773" s="29"/>
      <c r="F773" s="29"/>
      <c r="G773" s="29"/>
      <c r="H773" s="29"/>
      <c r="I773" s="2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</row>
    <row r="774" spans="1:24" s="27" customFormat="1" x14ac:dyDescent="0.25">
      <c r="A774" s="26"/>
      <c r="B774" s="26"/>
      <c r="C774" s="23"/>
      <c r="E774" s="29"/>
      <c r="F774" s="29"/>
      <c r="G774" s="29"/>
      <c r="H774" s="29"/>
      <c r="I774" s="2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</row>
    <row r="775" spans="1:24" s="27" customFormat="1" x14ac:dyDescent="0.25">
      <c r="A775" s="26"/>
      <c r="B775" s="26"/>
      <c r="C775" s="23"/>
      <c r="E775" s="29"/>
      <c r="F775" s="29"/>
      <c r="G775" s="29"/>
      <c r="H775" s="29"/>
      <c r="I775" s="2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</row>
    <row r="776" spans="1:24" s="27" customFormat="1" x14ac:dyDescent="0.25">
      <c r="A776" s="26"/>
      <c r="B776" s="26"/>
      <c r="C776" s="23"/>
      <c r="E776" s="29"/>
      <c r="F776" s="29"/>
      <c r="G776" s="29"/>
      <c r="H776" s="29"/>
      <c r="I776" s="2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</row>
    <row r="777" spans="1:24" s="27" customFormat="1" x14ac:dyDescent="0.25">
      <c r="A777" s="26"/>
      <c r="B777" s="26"/>
      <c r="C777" s="23"/>
      <c r="E777" s="29"/>
      <c r="F777" s="29"/>
      <c r="G777" s="29"/>
      <c r="H777" s="29"/>
      <c r="I777" s="2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</row>
    <row r="778" spans="1:24" s="27" customFormat="1" x14ac:dyDescent="0.25">
      <c r="A778" s="26"/>
      <c r="B778" s="26"/>
      <c r="C778" s="23"/>
      <c r="E778" s="29"/>
      <c r="F778" s="29"/>
      <c r="G778" s="29"/>
      <c r="H778" s="29"/>
      <c r="I778" s="2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</row>
    <row r="779" spans="1:24" s="27" customFormat="1" x14ac:dyDescent="0.25">
      <c r="A779" s="26"/>
      <c r="B779" s="26"/>
      <c r="C779" s="23"/>
      <c r="E779" s="29"/>
      <c r="F779" s="29"/>
      <c r="G779" s="29"/>
      <c r="H779" s="29"/>
      <c r="I779" s="2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</row>
    <row r="780" spans="1:24" s="27" customFormat="1" x14ac:dyDescent="0.25">
      <c r="A780" s="26"/>
      <c r="B780" s="26"/>
      <c r="C780" s="23"/>
      <c r="E780" s="29"/>
      <c r="F780" s="29"/>
      <c r="G780" s="29"/>
      <c r="H780" s="29"/>
      <c r="I780" s="2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</row>
    <row r="781" spans="1:24" s="27" customFormat="1" x14ac:dyDescent="0.25">
      <c r="A781" s="26"/>
      <c r="B781" s="26"/>
      <c r="C781" s="23"/>
      <c r="E781" s="29"/>
      <c r="F781" s="29"/>
      <c r="G781" s="29"/>
      <c r="H781" s="29"/>
      <c r="I781" s="2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</row>
    <row r="782" spans="1:24" s="27" customFormat="1" x14ac:dyDescent="0.25">
      <c r="A782" s="26"/>
      <c r="B782" s="26"/>
      <c r="C782" s="23"/>
      <c r="E782" s="29"/>
      <c r="F782" s="29"/>
      <c r="G782" s="29"/>
      <c r="H782" s="29"/>
      <c r="I782" s="2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</row>
    <row r="783" spans="1:24" s="27" customFormat="1" x14ac:dyDescent="0.25">
      <c r="A783" s="26"/>
      <c r="B783" s="26"/>
      <c r="C783" s="23"/>
      <c r="E783" s="29"/>
      <c r="F783" s="29"/>
      <c r="G783" s="29"/>
      <c r="H783" s="29"/>
      <c r="I783" s="2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</row>
    <row r="784" spans="1:24" s="27" customFormat="1" x14ac:dyDescent="0.25">
      <c r="A784" s="26"/>
      <c r="B784" s="26"/>
      <c r="C784" s="23"/>
      <c r="E784" s="29"/>
      <c r="F784" s="29"/>
      <c r="G784" s="29"/>
      <c r="H784" s="29"/>
      <c r="I784" s="2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</row>
    <row r="785" spans="1:24" s="27" customFormat="1" x14ac:dyDescent="0.25">
      <c r="A785" s="26"/>
      <c r="B785" s="26"/>
      <c r="C785" s="23"/>
      <c r="E785" s="29"/>
      <c r="F785" s="29"/>
      <c r="G785" s="29"/>
      <c r="H785" s="29"/>
      <c r="I785" s="2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</row>
    <row r="786" spans="1:24" s="27" customFormat="1" x14ac:dyDescent="0.25">
      <c r="A786" s="26"/>
      <c r="B786" s="26"/>
      <c r="C786" s="23"/>
      <c r="E786" s="29"/>
      <c r="F786" s="29"/>
      <c r="G786" s="29"/>
      <c r="H786" s="29"/>
      <c r="I786" s="2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</row>
    <row r="787" spans="1:24" s="27" customFormat="1" x14ac:dyDescent="0.25">
      <c r="A787" s="26"/>
      <c r="B787" s="26"/>
      <c r="C787" s="23"/>
      <c r="E787" s="29"/>
      <c r="F787" s="29"/>
      <c r="G787" s="29"/>
      <c r="H787" s="29"/>
      <c r="I787" s="2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</row>
    <row r="788" spans="1:24" s="27" customFormat="1" x14ac:dyDescent="0.25">
      <c r="A788" s="26"/>
      <c r="B788" s="26"/>
      <c r="C788" s="23"/>
      <c r="E788" s="50"/>
      <c r="F788" s="29"/>
      <c r="G788" s="29"/>
      <c r="H788" s="29"/>
      <c r="I788" s="2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</row>
    <row r="789" spans="1:24" s="27" customFormat="1" x14ac:dyDescent="0.25">
      <c r="A789" s="26"/>
      <c r="B789" s="26"/>
      <c r="C789" s="23"/>
      <c r="E789" s="50"/>
      <c r="F789" s="29"/>
      <c r="G789" s="29"/>
      <c r="H789" s="29"/>
      <c r="I789" s="2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</row>
    <row r="790" spans="1:24" s="27" customFormat="1" x14ac:dyDescent="0.25">
      <c r="A790" s="26"/>
      <c r="B790" s="26"/>
      <c r="C790" s="23"/>
      <c r="E790" s="29"/>
      <c r="F790" s="29"/>
      <c r="G790" s="29"/>
      <c r="H790" s="29"/>
      <c r="I790" s="2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</row>
    <row r="791" spans="1:24" s="27" customFormat="1" x14ac:dyDescent="0.25">
      <c r="A791" s="26"/>
      <c r="B791" s="26"/>
      <c r="C791" s="23"/>
      <c r="E791" s="29"/>
      <c r="F791" s="29"/>
      <c r="G791" s="29"/>
      <c r="H791" s="29"/>
      <c r="I791" s="2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</row>
    <row r="792" spans="1:24" s="27" customFormat="1" x14ac:dyDescent="0.25">
      <c r="A792" s="26"/>
      <c r="B792" s="26"/>
      <c r="C792" s="23"/>
      <c r="E792" s="29"/>
      <c r="F792" s="29"/>
      <c r="G792" s="29"/>
      <c r="H792" s="29"/>
      <c r="I792" s="2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</row>
    <row r="793" spans="1:24" s="27" customFormat="1" x14ac:dyDescent="0.25">
      <c r="A793" s="26"/>
      <c r="B793" s="26"/>
      <c r="C793" s="23"/>
      <c r="E793" s="29"/>
      <c r="F793" s="50"/>
      <c r="G793" s="29"/>
      <c r="H793" s="29"/>
      <c r="I793" s="2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</row>
    <row r="794" spans="1:24" s="27" customFormat="1" x14ac:dyDescent="0.25">
      <c r="A794" s="26"/>
      <c r="B794" s="26"/>
      <c r="C794" s="23"/>
      <c r="E794" s="29"/>
      <c r="F794" s="29"/>
      <c r="G794" s="29"/>
      <c r="H794" s="29"/>
      <c r="I794" s="2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</row>
    <row r="795" spans="1:24" s="27" customFormat="1" x14ac:dyDescent="0.25">
      <c r="A795" s="26"/>
      <c r="B795" s="26"/>
      <c r="C795" s="23"/>
      <c r="E795" s="29"/>
      <c r="F795" s="29"/>
      <c r="G795" s="29"/>
      <c r="H795" s="29"/>
      <c r="I795" s="2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</row>
    <row r="796" spans="1:24" s="27" customFormat="1" x14ac:dyDescent="0.25">
      <c r="A796" s="26"/>
      <c r="B796" s="26"/>
      <c r="C796" s="23"/>
      <c r="E796" s="50"/>
      <c r="F796" s="29"/>
      <c r="G796" s="29"/>
      <c r="H796" s="29"/>
      <c r="I796" s="2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</row>
    <row r="797" spans="1:24" s="27" customFormat="1" x14ac:dyDescent="0.25">
      <c r="A797" s="26"/>
      <c r="B797" s="26"/>
      <c r="C797" s="23"/>
      <c r="E797" s="29"/>
      <c r="F797" s="29"/>
      <c r="G797" s="29"/>
      <c r="H797" s="29"/>
      <c r="I797" s="2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</row>
    <row r="798" spans="1:24" s="27" customFormat="1" x14ac:dyDescent="0.25">
      <c r="A798" s="26"/>
      <c r="B798" s="26"/>
      <c r="C798" s="23"/>
      <c r="E798" s="29"/>
      <c r="F798" s="29"/>
      <c r="G798" s="29"/>
      <c r="H798" s="29"/>
      <c r="I798" s="2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</row>
    <row r="799" spans="1:24" s="27" customFormat="1" x14ac:dyDescent="0.25">
      <c r="A799" s="26"/>
      <c r="B799" s="26"/>
      <c r="C799" s="23"/>
      <c r="E799" s="29"/>
      <c r="F799" s="29"/>
      <c r="G799" s="29"/>
      <c r="H799" s="29"/>
      <c r="I799" s="2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</row>
    <row r="800" spans="1:24" s="27" customFormat="1" x14ac:dyDescent="0.25">
      <c r="A800" s="26"/>
      <c r="B800" s="26"/>
      <c r="C800" s="23"/>
      <c r="E800" s="29"/>
      <c r="F800" s="29"/>
      <c r="G800" s="29"/>
      <c r="H800" s="29"/>
      <c r="I800" s="2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</row>
    <row r="801" spans="1:24" s="27" customFormat="1" x14ac:dyDescent="0.25">
      <c r="A801" s="26"/>
      <c r="B801" s="26"/>
      <c r="C801" s="23"/>
      <c r="E801" s="29"/>
      <c r="F801" s="29"/>
      <c r="G801" s="29"/>
      <c r="H801" s="29"/>
      <c r="I801" s="2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</row>
    <row r="802" spans="1:24" s="27" customFormat="1" x14ac:dyDescent="0.25">
      <c r="A802" s="26"/>
      <c r="B802" s="26"/>
      <c r="C802" s="23"/>
      <c r="E802" s="29"/>
      <c r="F802" s="29"/>
      <c r="G802" s="29"/>
      <c r="H802" s="29"/>
      <c r="I802" s="2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</row>
    <row r="803" spans="1:24" s="27" customFormat="1" x14ac:dyDescent="0.25">
      <c r="A803" s="26"/>
      <c r="B803" s="26"/>
      <c r="C803" s="23"/>
      <c r="E803" s="29"/>
      <c r="F803" s="29"/>
      <c r="G803" s="29"/>
      <c r="H803" s="29"/>
      <c r="I803" s="2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</row>
    <row r="804" spans="1:24" s="27" customFormat="1" x14ac:dyDescent="0.25">
      <c r="A804" s="26"/>
      <c r="B804" s="26"/>
      <c r="C804" s="23"/>
      <c r="E804" s="29"/>
      <c r="F804" s="29"/>
      <c r="G804" s="29"/>
      <c r="H804" s="29"/>
      <c r="I804" s="2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</row>
    <row r="805" spans="1:24" s="27" customFormat="1" x14ac:dyDescent="0.25">
      <c r="A805" s="26"/>
      <c r="B805" s="26"/>
      <c r="C805" s="23"/>
      <c r="E805" s="29"/>
      <c r="F805" s="29"/>
      <c r="G805" s="29"/>
      <c r="H805" s="29"/>
      <c r="I805" s="2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</row>
    <row r="806" spans="1:24" s="27" customFormat="1" x14ac:dyDescent="0.25">
      <c r="A806" s="26"/>
      <c r="B806" s="26"/>
      <c r="C806" s="23"/>
      <c r="E806" s="29"/>
      <c r="F806" s="29"/>
      <c r="G806" s="29"/>
      <c r="H806" s="29"/>
      <c r="I806" s="2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</row>
    <row r="807" spans="1:24" s="27" customFormat="1" x14ac:dyDescent="0.25">
      <c r="A807" s="26"/>
      <c r="B807" s="26"/>
      <c r="C807" s="23"/>
      <c r="E807" s="29"/>
      <c r="F807" s="29"/>
      <c r="G807" s="29"/>
      <c r="H807" s="29"/>
      <c r="I807" s="2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</row>
    <row r="808" spans="1:24" s="27" customFormat="1" x14ac:dyDescent="0.25">
      <c r="A808" s="26"/>
      <c r="B808" s="26"/>
      <c r="C808" s="23"/>
      <c r="E808" s="29"/>
      <c r="F808" s="29"/>
      <c r="G808" s="29"/>
      <c r="H808" s="29"/>
      <c r="I808" s="2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</row>
    <row r="809" spans="1:24" s="27" customFormat="1" x14ac:dyDescent="0.25">
      <c r="A809" s="26"/>
      <c r="B809" s="26"/>
      <c r="C809" s="23"/>
      <c r="E809" s="29"/>
      <c r="F809" s="29"/>
      <c r="G809" s="29"/>
      <c r="H809" s="29"/>
      <c r="I809" s="2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</row>
    <row r="810" spans="1:24" s="27" customFormat="1" x14ac:dyDescent="0.25">
      <c r="A810" s="26"/>
      <c r="B810" s="26"/>
      <c r="C810" s="23"/>
      <c r="E810" s="29"/>
      <c r="F810" s="29"/>
      <c r="G810" s="29"/>
      <c r="H810" s="29"/>
      <c r="I810" s="2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</row>
    <row r="811" spans="1:24" s="27" customFormat="1" x14ac:dyDescent="0.25">
      <c r="A811" s="26"/>
      <c r="B811" s="26"/>
      <c r="C811" s="23"/>
      <c r="E811" s="29"/>
      <c r="F811" s="29"/>
      <c r="G811" s="29"/>
      <c r="H811" s="29"/>
      <c r="I811" s="2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</row>
    <row r="812" spans="1:24" s="27" customFormat="1" x14ac:dyDescent="0.25">
      <c r="A812" s="26"/>
      <c r="B812" s="26"/>
      <c r="C812" s="23"/>
      <c r="E812" s="29"/>
      <c r="F812" s="29"/>
      <c r="G812" s="29"/>
      <c r="H812" s="29"/>
      <c r="I812" s="2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</row>
    <row r="813" spans="1:24" s="27" customFormat="1" x14ac:dyDescent="0.25">
      <c r="A813" s="26"/>
      <c r="B813" s="26"/>
      <c r="C813" s="23"/>
      <c r="E813" s="29"/>
      <c r="F813" s="50"/>
      <c r="G813" s="29"/>
      <c r="H813" s="29"/>
      <c r="I813" s="2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</row>
    <row r="814" spans="1:24" s="27" customFormat="1" x14ac:dyDescent="0.25">
      <c r="A814" s="26"/>
      <c r="B814" s="26"/>
      <c r="C814" s="23"/>
      <c r="E814" s="29"/>
      <c r="F814" s="29"/>
      <c r="G814" s="29"/>
      <c r="H814" s="29"/>
      <c r="I814" s="2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</row>
    <row r="815" spans="1:24" s="27" customFormat="1" x14ac:dyDescent="0.25">
      <c r="A815" s="26"/>
      <c r="B815" s="26"/>
      <c r="C815" s="23"/>
      <c r="E815" s="29"/>
      <c r="F815" s="29"/>
      <c r="G815" s="29"/>
      <c r="H815" s="29"/>
      <c r="I815" s="2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</row>
    <row r="816" spans="1:24" s="27" customFormat="1" x14ac:dyDescent="0.25">
      <c r="A816" s="26"/>
      <c r="B816" s="26"/>
      <c r="C816" s="23"/>
      <c r="E816" s="29"/>
      <c r="F816" s="29"/>
      <c r="G816" s="29"/>
      <c r="H816" s="29"/>
      <c r="I816" s="2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</row>
    <row r="817" spans="1:24" s="27" customFormat="1" x14ac:dyDescent="0.25">
      <c r="A817" s="26"/>
      <c r="B817" s="26"/>
      <c r="C817" s="23"/>
      <c r="E817" s="29"/>
      <c r="F817" s="50"/>
      <c r="G817" s="29"/>
      <c r="H817" s="29"/>
      <c r="I817" s="2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</row>
    <row r="818" spans="1:24" s="27" customFormat="1" x14ac:dyDescent="0.25">
      <c r="A818" s="26"/>
      <c r="B818" s="26"/>
      <c r="C818" s="23"/>
      <c r="E818" s="29"/>
      <c r="F818" s="29"/>
      <c r="G818" s="29"/>
      <c r="H818" s="29"/>
      <c r="I818" s="2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</row>
    <row r="819" spans="1:24" s="27" customFormat="1" x14ac:dyDescent="0.25">
      <c r="A819" s="26"/>
      <c r="B819" s="26"/>
      <c r="C819" s="23"/>
      <c r="E819" s="29"/>
      <c r="F819" s="29"/>
      <c r="G819" s="29"/>
      <c r="H819" s="29"/>
      <c r="I819" s="2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</row>
    <row r="820" spans="1:24" s="27" customFormat="1" x14ac:dyDescent="0.25">
      <c r="A820" s="26"/>
      <c r="B820" s="26"/>
      <c r="C820" s="23"/>
      <c r="E820" s="29"/>
      <c r="F820" s="29"/>
      <c r="G820" s="29"/>
      <c r="H820" s="29"/>
      <c r="I820" s="2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</row>
    <row r="821" spans="1:24" s="27" customFormat="1" x14ac:dyDescent="0.25">
      <c r="A821" s="26"/>
      <c r="B821" s="26"/>
      <c r="C821" s="23"/>
      <c r="E821" s="29"/>
      <c r="F821" s="50"/>
      <c r="G821" s="29"/>
      <c r="H821" s="29"/>
      <c r="I821" s="2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</row>
    <row r="822" spans="1:24" s="27" customFormat="1" x14ac:dyDescent="0.25">
      <c r="A822" s="26"/>
      <c r="B822" s="26"/>
      <c r="C822" s="23"/>
      <c r="E822" s="29"/>
      <c r="F822" s="29"/>
      <c r="G822" s="29"/>
      <c r="H822" s="29"/>
      <c r="I822" s="2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</row>
    <row r="823" spans="1:24" s="27" customFormat="1" x14ac:dyDescent="0.25">
      <c r="A823" s="26"/>
      <c r="B823" s="26"/>
      <c r="C823" s="23"/>
      <c r="E823" s="29"/>
      <c r="F823" s="29"/>
      <c r="G823" s="29"/>
      <c r="H823" s="29"/>
      <c r="I823" s="2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</row>
    <row r="824" spans="1:24" s="27" customFormat="1" x14ac:dyDescent="0.25">
      <c r="A824" s="26"/>
      <c r="B824" s="26"/>
      <c r="C824" s="23"/>
      <c r="E824" s="29"/>
      <c r="F824" s="29"/>
      <c r="G824" s="29"/>
      <c r="H824" s="29"/>
      <c r="I824" s="2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</row>
    <row r="825" spans="1:24" s="27" customFormat="1" x14ac:dyDescent="0.25">
      <c r="A825" s="26"/>
      <c r="B825" s="26"/>
      <c r="C825" s="23"/>
      <c r="E825" s="29"/>
      <c r="F825" s="29"/>
      <c r="G825" s="29"/>
      <c r="H825" s="29"/>
      <c r="I825" s="2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</row>
    <row r="826" spans="1:24" s="27" customFormat="1" x14ac:dyDescent="0.25">
      <c r="A826" s="26"/>
      <c r="B826" s="26"/>
      <c r="C826" s="23"/>
      <c r="E826" s="29"/>
      <c r="F826" s="29"/>
      <c r="G826" s="29"/>
      <c r="H826" s="29"/>
      <c r="I826" s="2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</row>
    <row r="827" spans="1:24" s="27" customFormat="1" x14ac:dyDescent="0.25">
      <c r="A827" s="26"/>
      <c r="B827" s="26"/>
      <c r="C827" s="23"/>
      <c r="E827" s="29"/>
      <c r="F827" s="29"/>
      <c r="G827" s="29"/>
      <c r="H827" s="29"/>
      <c r="I827" s="2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</row>
    <row r="828" spans="1:24" s="27" customFormat="1" x14ac:dyDescent="0.25">
      <c r="A828" s="26"/>
      <c r="B828" s="26"/>
      <c r="C828" s="23"/>
      <c r="E828" s="29"/>
      <c r="F828" s="29"/>
      <c r="G828" s="29"/>
      <c r="H828" s="29"/>
      <c r="I828" s="2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</row>
    <row r="829" spans="1:24" s="27" customFormat="1" x14ac:dyDescent="0.25">
      <c r="A829" s="26"/>
      <c r="B829" s="26"/>
      <c r="C829" s="23"/>
      <c r="E829" s="29"/>
      <c r="F829" s="29"/>
      <c r="G829" s="29"/>
      <c r="H829" s="29"/>
      <c r="I829" s="2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</row>
    <row r="830" spans="1:24" s="27" customFormat="1" x14ac:dyDescent="0.25">
      <c r="A830" s="26"/>
      <c r="B830" s="26"/>
      <c r="C830" s="23"/>
      <c r="E830" s="29"/>
      <c r="F830" s="29"/>
      <c r="G830" s="29"/>
      <c r="H830" s="29"/>
      <c r="I830" s="2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</row>
    <row r="831" spans="1:24" s="27" customFormat="1" x14ac:dyDescent="0.25">
      <c r="A831" s="26"/>
      <c r="B831" s="26"/>
      <c r="C831" s="23"/>
      <c r="E831" s="29"/>
      <c r="F831" s="29"/>
      <c r="G831" s="29"/>
      <c r="H831" s="29"/>
      <c r="I831" s="2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</row>
    <row r="832" spans="1:24" s="27" customFormat="1" x14ac:dyDescent="0.25">
      <c r="A832" s="26"/>
      <c r="B832" s="26"/>
      <c r="C832" s="23"/>
      <c r="E832" s="29"/>
      <c r="F832" s="29"/>
      <c r="G832" s="29"/>
      <c r="H832" s="29"/>
      <c r="I832" s="2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</row>
    <row r="833" spans="1:24" s="27" customFormat="1" x14ac:dyDescent="0.25">
      <c r="A833" s="26"/>
      <c r="B833" s="26"/>
      <c r="C833" s="23"/>
      <c r="E833" s="29"/>
      <c r="F833" s="29"/>
      <c r="G833" s="29"/>
      <c r="H833" s="29"/>
      <c r="I833" s="2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</row>
    <row r="834" spans="1:24" s="27" customFormat="1" x14ac:dyDescent="0.25">
      <c r="A834" s="26"/>
      <c r="B834" s="26"/>
      <c r="C834" s="23"/>
      <c r="E834" s="29"/>
      <c r="F834" s="29"/>
      <c r="G834" s="29"/>
      <c r="H834" s="29"/>
      <c r="I834" s="2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</row>
    <row r="835" spans="1:24" s="27" customFormat="1" x14ac:dyDescent="0.25">
      <c r="A835" s="26"/>
      <c r="B835" s="26"/>
      <c r="C835" s="23"/>
      <c r="E835" s="29"/>
      <c r="F835" s="29"/>
      <c r="G835" s="29"/>
      <c r="H835" s="29"/>
      <c r="I835" s="2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</row>
    <row r="836" spans="1:24" s="27" customFormat="1" x14ac:dyDescent="0.25">
      <c r="A836" s="26"/>
      <c r="B836" s="26"/>
      <c r="C836" s="23"/>
      <c r="E836" s="50"/>
      <c r="F836" s="50"/>
      <c r="G836" s="29"/>
      <c r="H836" s="29"/>
      <c r="I836" s="2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</row>
    <row r="837" spans="1:24" s="27" customFormat="1" x14ac:dyDescent="0.25">
      <c r="A837" s="26"/>
      <c r="B837" s="26"/>
      <c r="C837" s="23"/>
      <c r="E837" s="29"/>
      <c r="F837" s="29"/>
      <c r="G837" s="29"/>
      <c r="H837" s="29"/>
      <c r="I837" s="2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</row>
    <row r="838" spans="1:24" s="27" customFormat="1" x14ac:dyDescent="0.25">
      <c r="A838" s="26"/>
      <c r="B838" s="26"/>
      <c r="C838" s="23"/>
      <c r="E838" s="29"/>
      <c r="F838" s="29"/>
      <c r="G838" s="29"/>
      <c r="H838" s="29"/>
      <c r="I838" s="2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</row>
    <row r="839" spans="1:24" s="27" customFormat="1" x14ac:dyDescent="0.25">
      <c r="A839" s="26"/>
      <c r="B839" s="26"/>
      <c r="C839" s="23"/>
      <c r="E839" s="29"/>
      <c r="F839" s="50"/>
      <c r="G839" s="29"/>
      <c r="H839" s="29"/>
      <c r="I839" s="2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</row>
    <row r="840" spans="1:24" s="27" customFormat="1" x14ac:dyDescent="0.25">
      <c r="A840" s="26"/>
      <c r="B840" s="26"/>
      <c r="C840" s="23"/>
      <c r="E840" s="29"/>
      <c r="F840" s="29"/>
      <c r="G840" s="29"/>
      <c r="H840" s="29"/>
      <c r="I840" s="2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</row>
    <row r="841" spans="1:24" s="27" customFormat="1" x14ac:dyDescent="0.25">
      <c r="A841" s="26"/>
      <c r="B841" s="26"/>
      <c r="C841" s="23"/>
      <c r="E841" s="29"/>
      <c r="F841" s="50"/>
      <c r="G841" s="29"/>
      <c r="H841" s="29"/>
      <c r="I841" s="2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</row>
    <row r="842" spans="1:24" s="27" customFormat="1" x14ac:dyDescent="0.25">
      <c r="A842" s="26"/>
      <c r="B842" s="26"/>
      <c r="C842" s="23"/>
      <c r="E842" s="29"/>
      <c r="F842" s="29"/>
      <c r="G842" s="29"/>
      <c r="H842" s="29"/>
      <c r="I842" s="2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</row>
    <row r="843" spans="1:24" s="27" customFormat="1" x14ac:dyDescent="0.25">
      <c r="A843" s="26"/>
      <c r="B843" s="26"/>
      <c r="C843" s="23"/>
      <c r="E843" s="29"/>
      <c r="F843" s="29"/>
      <c r="G843" s="29"/>
      <c r="H843" s="29"/>
      <c r="I843" s="2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</row>
    <row r="844" spans="1:24" s="27" customFormat="1" x14ac:dyDescent="0.25">
      <c r="A844" s="26"/>
      <c r="B844" s="26"/>
      <c r="C844" s="23"/>
      <c r="E844" s="29"/>
      <c r="F844" s="29"/>
      <c r="G844" s="29"/>
      <c r="H844" s="29"/>
      <c r="I844" s="2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</row>
    <row r="845" spans="1:24" s="27" customFormat="1" x14ac:dyDescent="0.25">
      <c r="A845" s="26"/>
      <c r="B845" s="26"/>
      <c r="C845" s="23"/>
      <c r="E845" s="29"/>
      <c r="F845" s="29"/>
      <c r="G845" s="29"/>
      <c r="H845" s="29"/>
      <c r="I845" s="2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</row>
    <row r="846" spans="1:24" s="27" customFormat="1" x14ac:dyDescent="0.25">
      <c r="A846" s="26"/>
      <c r="B846" s="26"/>
      <c r="C846" s="23"/>
      <c r="E846" s="29"/>
      <c r="F846" s="29"/>
      <c r="G846" s="29"/>
      <c r="H846" s="29"/>
      <c r="I846" s="2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</row>
    <row r="847" spans="1:24" s="27" customFormat="1" x14ac:dyDescent="0.25">
      <c r="A847" s="26"/>
      <c r="B847" s="26"/>
      <c r="C847" s="23"/>
      <c r="E847" s="29"/>
      <c r="F847" s="29"/>
      <c r="G847" s="29"/>
      <c r="H847" s="29"/>
      <c r="I847" s="2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</row>
    <row r="848" spans="1:24" s="27" customFormat="1" x14ac:dyDescent="0.25">
      <c r="A848" s="26"/>
      <c r="B848" s="26"/>
      <c r="C848" s="23"/>
      <c r="E848" s="29"/>
      <c r="F848" s="29"/>
      <c r="G848" s="29"/>
      <c r="H848" s="29"/>
      <c r="I848" s="2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</row>
    <row r="849" spans="1:24" s="27" customFormat="1" x14ac:dyDescent="0.25">
      <c r="A849" s="26"/>
      <c r="B849" s="26"/>
      <c r="C849" s="23"/>
      <c r="E849" s="29"/>
      <c r="F849" s="50"/>
      <c r="G849" s="29"/>
      <c r="H849" s="29"/>
      <c r="I849" s="2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</row>
    <row r="850" spans="1:24" s="27" customFormat="1" x14ac:dyDescent="0.25">
      <c r="A850" s="26"/>
      <c r="B850" s="26"/>
      <c r="C850" s="23"/>
      <c r="E850" s="29"/>
      <c r="F850" s="29"/>
      <c r="G850" s="29"/>
      <c r="H850" s="29"/>
      <c r="I850" s="2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</row>
    <row r="851" spans="1:24" s="27" customFormat="1" x14ac:dyDescent="0.25">
      <c r="A851" s="26"/>
      <c r="B851" s="26"/>
      <c r="C851" s="23"/>
      <c r="E851" s="29"/>
      <c r="F851" s="29"/>
      <c r="G851" s="29"/>
      <c r="H851" s="29"/>
      <c r="I851" s="2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</row>
    <row r="852" spans="1:24" s="27" customFormat="1" x14ac:dyDescent="0.25">
      <c r="A852" s="26"/>
      <c r="B852" s="26"/>
      <c r="C852" s="23"/>
      <c r="E852" s="29"/>
      <c r="F852" s="29"/>
      <c r="G852" s="29"/>
      <c r="H852" s="29"/>
      <c r="I852" s="2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</row>
    <row r="853" spans="1:24" s="27" customFormat="1" x14ac:dyDescent="0.25">
      <c r="A853" s="26"/>
      <c r="B853" s="26"/>
      <c r="C853" s="23"/>
      <c r="E853" s="29"/>
      <c r="F853" s="29"/>
      <c r="G853" s="29"/>
      <c r="H853" s="29"/>
      <c r="I853" s="2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</row>
    <row r="854" spans="1:24" s="27" customFormat="1" x14ac:dyDescent="0.25">
      <c r="A854" s="26"/>
      <c r="B854" s="26"/>
      <c r="C854" s="23"/>
      <c r="E854" s="29"/>
      <c r="F854" s="29"/>
      <c r="G854" s="29"/>
      <c r="H854" s="29"/>
      <c r="I854" s="2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</row>
    <row r="855" spans="1:24" s="27" customFormat="1" x14ac:dyDescent="0.25">
      <c r="A855" s="26"/>
      <c r="B855" s="26"/>
      <c r="C855" s="23"/>
      <c r="E855" s="29"/>
      <c r="F855" s="29"/>
      <c r="G855" s="29"/>
      <c r="H855" s="29"/>
      <c r="I855" s="2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</row>
    <row r="856" spans="1:24" s="27" customFormat="1" x14ac:dyDescent="0.25">
      <c r="A856" s="26"/>
      <c r="B856" s="26"/>
      <c r="C856" s="23"/>
      <c r="E856" s="29"/>
      <c r="F856" s="29"/>
      <c r="G856" s="29"/>
      <c r="H856" s="29"/>
      <c r="I856" s="2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</row>
    <row r="857" spans="1:24" s="27" customFormat="1" x14ac:dyDescent="0.25">
      <c r="A857" s="26"/>
      <c r="B857" s="26"/>
      <c r="C857" s="23"/>
      <c r="E857" s="29"/>
      <c r="F857" s="29"/>
      <c r="G857" s="29"/>
      <c r="H857" s="29"/>
      <c r="I857" s="2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</row>
    <row r="858" spans="1:24" s="27" customFormat="1" x14ac:dyDescent="0.25">
      <c r="A858" s="26"/>
      <c r="B858" s="26"/>
      <c r="C858" s="23"/>
      <c r="E858" s="29"/>
      <c r="F858" s="50"/>
      <c r="G858" s="29"/>
      <c r="H858" s="29"/>
      <c r="I858" s="2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</row>
    <row r="859" spans="1:24" s="27" customFormat="1" x14ac:dyDescent="0.25">
      <c r="A859" s="26"/>
      <c r="B859" s="26"/>
      <c r="C859" s="23"/>
      <c r="E859" s="50"/>
      <c r="F859" s="29"/>
      <c r="G859" s="29"/>
      <c r="H859" s="29"/>
      <c r="I859" s="2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</row>
    <row r="860" spans="1:24" s="27" customFormat="1" x14ac:dyDescent="0.25">
      <c r="A860" s="26"/>
      <c r="B860" s="26"/>
      <c r="C860" s="23"/>
      <c r="E860" s="29"/>
      <c r="F860" s="29"/>
      <c r="G860" s="29"/>
      <c r="H860" s="29"/>
      <c r="I860" s="2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</row>
    <row r="861" spans="1:24" s="27" customFormat="1" x14ac:dyDescent="0.25">
      <c r="A861" s="26"/>
      <c r="B861" s="26"/>
      <c r="C861" s="23"/>
      <c r="E861" s="29"/>
      <c r="F861" s="29"/>
      <c r="G861" s="29"/>
      <c r="H861" s="29"/>
      <c r="I861" s="2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</row>
    <row r="862" spans="1:24" s="27" customFormat="1" x14ac:dyDescent="0.25">
      <c r="A862" s="26"/>
      <c r="B862" s="26"/>
      <c r="C862" s="23"/>
      <c r="E862" s="29"/>
      <c r="F862" s="29"/>
      <c r="G862" s="29"/>
      <c r="H862" s="29"/>
      <c r="I862" s="2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</row>
    <row r="863" spans="1:24" s="27" customFormat="1" x14ac:dyDescent="0.25">
      <c r="A863" s="26"/>
      <c r="B863" s="26"/>
      <c r="C863" s="23"/>
      <c r="E863" s="29"/>
      <c r="F863" s="29"/>
      <c r="G863" s="29"/>
      <c r="H863" s="29"/>
      <c r="I863" s="2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</row>
    <row r="864" spans="1:24" s="27" customFormat="1" x14ac:dyDescent="0.25">
      <c r="A864" s="26"/>
      <c r="B864" s="26"/>
      <c r="C864" s="23"/>
      <c r="E864" s="50"/>
      <c r="F864" s="29"/>
      <c r="G864" s="29"/>
      <c r="H864" s="29"/>
      <c r="I864" s="2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</row>
    <row r="865" spans="1:24" s="27" customFormat="1" x14ac:dyDescent="0.25">
      <c r="A865" s="26"/>
      <c r="B865" s="26"/>
      <c r="C865" s="23"/>
      <c r="E865" s="29"/>
      <c r="F865" s="29"/>
      <c r="G865" s="29"/>
      <c r="H865" s="29"/>
      <c r="I865" s="2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</row>
    <row r="866" spans="1:24" s="27" customFormat="1" x14ac:dyDescent="0.25">
      <c r="A866" s="26"/>
      <c r="B866" s="26"/>
      <c r="C866" s="23"/>
      <c r="E866" s="29"/>
      <c r="F866" s="29"/>
      <c r="G866" s="29"/>
      <c r="H866" s="29"/>
      <c r="I866" s="2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</row>
    <row r="867" spans="1:24" s="27" customFormat="1" x14ac:dyDescent="0.25">
      <c r="A867" s="26"/>
      <c r="B867" s="26"/>
      <c r="C867" s="23"/>
      <c r="E867" s="29"/>
      <c r="F867" s="29"/>
      <c r="G867" s="29"/>
      <c r="H867" s="29"/>
      <c r="I867" s="2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</row>
    <row r="868" spans="1:24" s="27" customFormat="1" x14ac:dyDescent="0.25">
      <c r="A868" s="26"/>
      <c r="B868" s="26"/>
      <c r="C868" s="23"/>
      <c r="E868" s="29"/>
      <c r="F868" s="29"/>
      <c r="G868" s="29"/>
      <c r="H868" s="29"/>
      <c r="I868" s="2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</row>
    <row r="869" spans="1:24" s="27" customFormat="1" x14ac:dyDescent="0.25">
      <c r="A869" s="26"/>
      <c r="B869" s="26"/>
      <c r="C869" s="23"/>
      <c r="E869" s="29"/>
      <c r="F869" s="29"/>
      <c r="G869" s="29"/>
      <c r="H869" s="29"/>
      <c r="I869" s="2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</row>
    <row r="870" spans="1:24" s="27" customFormat="1" x14ac:dyDescent="0.25">
      <c r="A870" s="26"/>
      <c r="B870" s="26"/>
      <c r="C870" s="23"/>
      <c r="E870" s="29"/>
      <c r="F870" s="29"/>
      <c r="G870" s="29"/>
      <c r="H870" s="29"/>
      <c r="I870" s="2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</row>
    <row r="871" spans="1:24" s="27" customFormat="1" x14ac:dyDescent="0.25">
      <c r="A871" s="26"/>
      <c r="B871" s="26"/>
      <c r="C871" s="23"/>
      <c r="E871" s="29"/>
      <c r="F871" s="29"/>
      <c r="G871" s="29"/>
      <c r="H871" s="29"/>
      <c r="I871" s="2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</row>
    <row r="872" spans="1:24" s="27" customFormat="1" x14ac:dyDescent="0.25">
      <c r="A872" s="26"/>
      <c r="B872" s="26"/>
      <c r="C872" s="23"/>
      <c r="E872" s="29"/>
      <c r="F872" s="29"/>
      <c r="G872" s="29"/>
      <c r="H872" s="29"/>
      <c r="I872" s="2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</row>
    <row r="873" spans="1:24" s="27" customFormat="1" x14ac:dyDescent="0.25">
      <c r="A873" s="26"/>
      <c r="B873" s="26"/>
      <c r="C873" s="23"/>
      <c r="E873" s="29"/>
      <c r="F873" s="29"/>
      <c r="G873" s="29"/>
      <c r="H873" s="29"/>
      <c r="I873" s="2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</row>
    <row r="874" spans="1:24" s="27" customFormat="1" x14ac:dyDescent="0.25">
      <c r="A874" s="26"/>
      <c r="B874" s="26"/>
      <c r="C874" s="23"/>
      <c r="E874" s="29"/>
      <c r="F874" s="29"/>
      <c r="G874" s="29"/>
      <c r="H874" s="29"/>
      <c r="I874" s="2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</row>
    <row r="875" spans="1:24" s="27" customFormat="1" x14ac:dyDescent="0.25">
      <c r="A875" s="26"/>
      <c r="B875" s="26"/>
      <c r="C875" s="23"/>
      <c r="E875" s="29"/>
      <c r="F875" s="50"/>
      <c r="G875" s="29"/>
      <c r="H875" s="29"/>
      <c r="I875" s="2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</row>
    <row r="876" spans="1:24" s="27" customFormat="1" x14ac:dyDescent="0.25">
      <c r="A876" s="26"/>
      <c r="B876" s="26"/>
      <c r="C876" s="23"/>
      <c r="E876" s="29"/>
      <c r="F876" s="29"/>
      <c r="G876" s="29"/>
      <c r="H876" s="29"/>
      <c r="I876" s="2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</row>
    <row r="877" spans="1:24" s="27" customFormat="1" x14ac:dyDescent="0.25">
      <c r="A877" s="26"/>
      <c r="B877" s="26"/>
      <c r="C877" s="23"/>
      <c r="E877" s="29"/>
      <c r="F877" s="29"/>
      <c r="G877" s="29"/>
      <c r="H877" s="29"/>
      <c r="I877" s="2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</row>
    <row r="878" spans="1:24" s="27" customFormat="1" x14ac:dyDescent="0.25">
      <c r="A878" s="26"/>
      <c r="B878" s="26"/>
      <c r="C878" s="23"/>
      <c r="E878" s="29"/>
      <c r="F878" s="29"/>
      <c r="G878" s="29"/>
      <c r="H878" s="29"/>
      <c r="I878" s="2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</row>
    <row r="879" spans="1:24" s="27" customFormat="1" x14ac:dyDescent="0.25">
      <c r="A879" s="26"/>
      <c r="B879" s="26"/>
      <c r="C879" s="23"/>
      <c r="E879" s="29"/>
      <c r="F879" s="29"/>
      <c r="G879" s="29"/>
      <c r="H879" s="29"/>
      <c r="I879" s="2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</row>
    <row r="880" spans="1:24" s="27" customFormat="1" x14ac:dyDescent="0.25">
      <c r="A880" s="26"/>
      <c r="B880" s="26"/>
      <c r="C880" s="23"/>
      <c r="E880" s="50"/>
      <c r="F880" s="29"/>
      <c r="G880" s="29"/>
      <c r="H880" s="29"/>
      <c r="I880" s="2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</row>
    <row r="881" spans="1:24" s="27" customFormat="1" x14ac:dyDescent="0.25">
      <c r="A881" s="26"/>
      <c r="B881" s="26"/>
      <c r="C881" s="23"/>
      <c r="E881" s="29"/>
      <c r="F881" s="29"/>
      <c r="G881" s="29"/>
      <c r="H881" s="29"/>
      <c r="I881" s="2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</row>
    <row r="882" spans="1:24" s="27" customFormat="1" x14ac:dyDescent="0.25">
      <c r="A882" s="26"/>
      <c r="B882" s="26"/>
      <c r="C882" s="23"/>
      <c r="E882" s="29"/>
      <c r="F882" s="29"/>
      <c r="G882" s="29"/>
      <c r="H882" s="29"/>
      <c r="I882" s="2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</row>
    <row r="883" spans="1:24" s="27" customFormat="1" x14ac:dyDescent="0.25">
      <c r="A883" s="26"/>
      <c r="B883" s="26"/>
      <c r="C883" s="23"/>
      <c r="E883" s="29"/>
      <c r="F883" s="29"/>
      <c r="G883" s="29"/>
      <c r="H883" s="29"/>
      <c r="I883" s="2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</row>
    <row r="884" spans="1:24" s="27" customFormat="1" x14ac:dyDescent="0.25">
      <c r="A884" s="26"/>
      <c r="B884" s="26"/>
      <c r="C884" s="23"/>
      <c r="E884" s="29"/>
      <c r="F884" s="29"/>
      <c r="G884" s="29"/>
      <c r="H884" s="29"/>
      <c r="I884" s="2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</row>
    <row r="885" spans="1:24" s="27" customFormat="1" x14ac:dyDescent="0.25">
      <c r="A885" s="26"/>
      <c r="B885" s="26"/>
      <c r="C885" s="23"/>
      <c r="E885" s="29"/>
      <c r="F885" s="29"/>
      <c r="G885" s="29"/>
      <c r="H885" s="29"/>
      <c r="I885" s="2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</row>
    <row r="886" spans="1:24" s="27" customFormat="1" x14ac:dyDescent="0.25">
      <c r="A886" s="26"/>
      <c r="B886" s="26"/>
      <c r="C886" s="23"/>
      <c r="E886" s="29"/>
      <c r="F886" s="29"/>
      <c r="G886" s="29"/>
      <c r="H886" s="29"/>
      <c r="I886" s="2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</row>
    <row r="887" spans="1:24" s="27" customFormat="1" x14ac:dyDescent="0.25">
      <c r="A887" s="26"/>
      <c r="B887" s="26"/>
      <c r="C887" s="23"/>
      <c r="E887" s="50"/>
      <c r="F887" s="29"/>
      <c r="G887" s="29"/>
      <c r="H887" s="29"/>
      <c r="I887" s="2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</row>
    <row r="888" spans="1:24" s="27" customFormat="1" x14ac:dyDescent="0.25">
      <c r="A888" s="26"/>
      <c r="B888" s="26"/>
      <c r="C888" s="23"/>
      <c r="E888" s="29"/>
      <c r="F888" s="29"/>
      <c r="G888" s="29"/>
      <c r="H888" s="29"/>
      <c r="I888" s="2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</row>
    <row r="889" spans="1:24" s="27" customFormat="1" x14ac:dyDescent="0.25">
      <c r="A889" s="26"/>
      <c r="B889" s="26"/>
      <c r="C889" s="23"/>
      <c r="E889" s="29"/>
      <c r="F889" s="29"/>
      <c r="G889" s="29"/>
      <c r="H889" s="29"/>
      <c r="I889" s="2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</row>
    <row r="890" spans="1:24" s="27" customFormat="1" x14ac:dyDescent="0.25">
      <c r="A890" s="26"/>
      <c r="B890" s="26"/>
      <c r="C890" s="23"/>
      <c r="E890" s="29"/>
      <c r="F890" s="50"/>
      <c r="G890" s="29"/>
      <c r="H890" s="29"/>
      <c r="I890" s="2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</row>
    <row r="891" spans="1:24" s="27" customFormat="1" x14ac:dyDescent="0.25">
      <c r="A891" s="26"/>
      <c r="B891" s="26"/>
      <c r="C891" s="23"/>
      <c r="E891" s="29"/>
      <c r="F891" s="29"/>
      <c r="G891" s="29"/>
      <c r="H891" s="29"/>
      <c r="I891" s="2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</row>
    <row r="892" spans="1:24" s="27" customFormat="1" x14ac:dyDescent="0.25">
      <c r="A892" s="26"/>
      <c r="B892" s="26"/>
      <c r="C892" s="23"/>
      <c r="E892" s="29"/>
      <c r="F892" s="29"/>
      <c r="G892" s="29"/>
      <c r="H892" s="29"/>
      <c r="I892" s="2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</row>
    <row r="893" spans="1:24" s="27" customFormat="1" x14ac:dyDescent="0.25">
      <c r="A893" s="26"/>
      <c r="B893" s="26"/>
      <c r="C893" s="23"/>
      <c r="E893" s="50"/>
      <c r="F893" s="29"/>
      <c r="G893" s="29"/>
      <c r="H893" s="29"/>
      <c r="I893" s="2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</row>
    <row r="894" spans="1:24" s="27" customFormat="1" x14ac:dyDescent="0.25">
      <c r="A894" s="26"/>
      <c r="B894" s="26"/>
      <c r="C894" s="23"/>
      <c r="E894" s="29"/>
      <c r="F894" s="50"/>
      <c r="G894" s="29"/>
      <c r="H894" s="29"/>
      <c r="I894" s="2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</row>
    <row r="895" spans="1:24" s="27" customFormat="1" x14ac:dyDescent="0.25">
      <c r="A895" s="26"/>
      <c r="B895" s="26"/>
      <c r="C895" s="23"/>
      <c r="E895" s="29"/>
      <c r="F895" s="29"/>
      <c r="G895" s="29"/>
      <c r="H895" s="29"/>
      <c r="I895" s="2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</row>
    <row r="896" spans="1:24" s="27" customFormat="1" x14ac:dyDescent="0.25">
      <c r="A896" s="26"/>
      <c r="B896" s="26"/>
      <c r="C896" s="23"/>
      <c r="E896" s="29"/>
      <c r="F896" s="29"/>
      <c r="G896" s="29"/>
      <c r="H896" s="29"/>
      <c r="I896" s="2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</row>
    <row r="897" spans="1:24" s="27" customFormat="1" x14ac:dyDescent="0.25">
      <c r="A897" s="26"/>
      <c r="B897" s="26"/>
      <c r="C897" s="23"/>
      <c r="E897" s="29"/>
      <c r="F897" s="29"/>
      <c r="G897" s="29"/>
      <c r="H897" s="29"/>
      <c r="I897" s="2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</row>
    <row r="898" spans="1:24" s="27" customFormat="1" x14ac:dyDescent="0.25">
      <c r="A898" s="26"/>
      <c r="B898" s="26"/>
      <c r="C898" s="23"/>
      <c r="E898" s="29"/>
      <c r="F898" s="29"/>
      <c r="G898" s="29"/>
      <c r="H898" s="29"/>
      <c r="I898" s="2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</row>
    <row r="899" spans="1:24" s="27" customFormat="1" x14ac:dyDescent="0.25">
      <c r="A899" s="26"/>
      <c r="B899" s="26"/>
      <c r="C899" s="23"/>
      <c r="E899" s="29"/>
      <c r="F899" s="29"/>
      <c r="G899" s="29"/>
      <c r="H899" s="29"/>
      <c r="I899" s="2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</row>
    <row r="900" spans="1:24" s="27" customFormat="1" x14ac:dyDescent="0.25">
      <c r="A900" s="26"/>
      <c r="B900" s="26"/>
      <c r="C900" s="23"/>
      <c r="E900" s="29"/>
      <c r="F900" s="29"/>
      <c r="G900" s="29"/>
      <c r="H900" s="29"/>
      <c r="I900" s="2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</row>
    <row r="901" spans="1:24" s="27" customFormat="1" x14ac:dyDescent="0.25">
      <c r="A901" s="26"/>
      <c r="B901" s="26"/>
      <c r="C901" s="23"/>
      <c r="E901" s="29"/>
      <c r="F901" s="29"/>
      <c r="G901" s="29"/>
      <c r="H901" s="29"/>
      <c r="I901" s="2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</row>
    <row r="902" spans="1:24" s="27" customFormat="1" x14ac:dyDescent="0.25">
      <c r="A902" s="26"/>
      <c r="B902" s="26"/>
      <c r="C902" s="23"/>
      <c r="E902" s="29"/>
      <c r="F902" s="29"/>
      <c r="G902" s="29"/>
      <c r="H902" s="29"/>
      <c r="I902" s="2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</row>
    <row r="903" spans="1:24" s="27" customFormat="1" x14ac:dyDescent="0.25">
      <c r="A903" s="26"/>
      <c r="B903" s="26"/>
      <c r="C903" s="23"/>
      <c r="E903" s="29"/>
      <c r="F903" s="29"/>
      <c r="G903" s="29"/>
      <c r="H903" s="29"/>
      <c r="I903" s="2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</row>
    <row r="904" spans="1:24" s="27" customFormat="1" x14ac:dyDescent="0.25">
      <c r="A904" s="26"/>
      <c r="B904" s="26"/>
      <c r="C904" s="23"/>
      <c r="E904" s="29"/>
      <c r="F904" s="29"/>
      <c r="G904" s="29"/>
      <c r="H904" s="29"/>
      <c r="I904" s="2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</row>
    <row r="905" spans="1:24" s="27" customFormat="1" x14ac:dyDescent="0.25">
      <c r="A905" s="26"/>
      <c r="B905" s="26"/>
      <c r="C905" s="23"/>
      <c r="E905" s="29"/>
      <c r="F905" s="50"/>
      <c r="G905" s="29"/>
      <c r="H905" s="29"/>
      <c r="I905" s="2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</row>
    <row r="906" spans="1:24" s="27" customFormat="1" x14ac:dyDescent="0.25">
      <c r="A906" s="26"/>
      <c r="B906" s="26"/>
      <c r="C906" s="23"/>
      <c r="E906" s="29"/>
      <c r="F906" s="29"/>
      <c r="G906" s="29"/>
      <c r="H906" s="29"/>
      <c r="I906" s="2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</row>
    <row r="907" spans="1:24" s="27" customFormat="1" x14ac:dyDescent="0.25">
      <c r="A907" s="26"/>
      <c r="B907" s="26"/>
      <c r="C907" s="23"/>
      <c r="E907" s="29"/>
      <c r="F907" s="29"/>
      <c r="G907" s="29"/>
      <c r="H907" s="29"/>
      <c r="I907" s="2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</row>
    <row r="908" spans="1:24" s="27" customFormat="1" x14ac:dyDescent="0.25">
      <c r="A908" s="26"/>
      <c r="B908" s="26"/>
      <c r="C908" s="23"/>
      <c r="E908" s="29"/>
      <c r="F908" s="50"/>
      <c r="G908" s="29"/>
      <c r="H908" s="29"/>
      <c r="I908" s="2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</row>
    <row r="909" spans="1:24" s="27" customFormat="1" x14ac:dyDescent="0.25">
      <c r="A909" s="26"/>
      <c r="B909" s="26"/>
      <c r="C909" s="23"/>
      <c r="E909" s="29"/>
      <c r="F909" s="29"/>
      <c r="G909" s="29"/>
      <c r="H909" s="29"/>
      <c r="I909" s="2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</row>
    <row r="910" spans="1:24" s="27" customFormat="1" x14ac:dyDescent="0.25">
      <c r="A910" s="26"/>
      <c r="B910" s="26"/>
      <c r="C910" s="23"/>
      <c r="E910" s="50"/>
      <c r="F910" s="29"/>
      <c r="G910" s="29"/>
      <c r="H910" s="29"/>
      <c r="I910" s="2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</row>
    <row r="911" spans="1:24" s="27" customFormat="1" x14ac:dyDescent="0.25">
      <c r="A911" s="26"/>
      <c r="B911" s="26"/>
      <c r="C911" s="23"/>
      <c r="E911" s="29"/>
      <c r="F911" s="29"/>
      <c r="G911" s="29"/>
      <c r="H911" s="29"/>
      <c r="I911" s="2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</row>
    <row r="912" spans="1:24" s="27" customFormat="1" x14ac:dyDescent="0.25">
      <c r="A912" s="26"/>
      <c r="B912" s="26"/>
      <c r="C912" s="23"/>
      <c r="E912" s="29"/>
      <c r="F912" s="29"/>
      <c r="G912" s="29"/>
      <c r="H912" s="29"/>
      <c r="I912" s="2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</row>
    <row r="913" spans="1:24" s="27" customFormat="1" x14ac:dyDescent="0.25">
      <c r="A913" s="26"/>
      <c r="B913" s="26"/>
      <c r="C913" s="23"/>
      <c r="E913" s="50"/>
      <c r="F913" s="29"/>
      <c r="G913" s="29"/>
      <c r="H913" s="29"/>
      <c r="I913" s="2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</row>
    <row r="914" spans="1:24" s="27" customFormat="1" x14ac:dyDescent="0.25">
      <c r="A914" s="26"/>
      <c r="B914" s="26"/>
      <c r="C914" s="23"/>
      <c r="E914" s="29"/>
      <c r="F914" s="29"/>
      <c r="G914" s="29"/>
      <c r="H914" s="29"/>
      <c r="I914" s="2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</row>
    <row r="915" spans="1:24" s="27" customFormat="1" x14ac:dyDescent="0.25">
      <c r="A915" s="26"/>
      <c r="B915" s="26"/>
      <c r="C915" s="23"/>
      <c r="E915" s="29"/>
      <c r="F915" s="29"/>
      <c r="G915" s="29"/>
      <c r="H915" s="29"/>
      <c r="I915" s="2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</row>
    <row r="916" spans="1:24" s="27" customFormat="1" x14ac:dyDescent="0.25">
      <c r="A916" s="26"/>
      <c r="B916" s="26"/>
      <c r="C916" s="23"/>
      <c r="E916" s="29"/>
      <c r="F916" s="29"/>
      <c r="G916" s="29"/>
      <c r="H916" s="29"/>
      <c r="I916" s="2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</row>
    <row r="917" spans="1:24" s="27" customFormat="1" x14ac:dyDescent="0.25">
      <c r="A917" s="26"/>
      <c r="B917" s="26"/>
      <c r="C917" s="23"/>
      <c r="E917" s="50"/>
      <c r="F917" s="29"/>
      <c r="G917" s="29"/>
      <c r="H917" s="29"/>
      <c r="I917" s="2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</row>
    <row r="918" spans="1:24" s="27" customFormat="1" x14ac:dyDescent="0.25">
      <c r="A918" s="26"/>
      <c r="B918" s="26"/>
      <c r="C918" s="23"/>
      <c r="E918" s="29"/>
      <c r="F918" s="29"/>
      <c r="G918" s="29"/>
      <c r="H918" s="29"/>
      <c r="I918" s="2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</row>
    <row r="919" spans="1:24" s="27" customFormat="1" x14ac:dyDescent="0.25">
      <c r="A919" s="26"/>
      <c r="B919" s="26"/>
      <c r="C919" s="23"/>
      <c r="E919" s="29"/>
      <c r="F919" s="29"/>
      <c r="G919" s="29"/>
      <c r="H919" s="29"/>
      <c r="I919" s="2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</row>
    <row r="920" spans="1:24" s="27" customFormat="1" x14ac:dyDescent="0.25">
      <c r="A920" s="26"/>
      <c r="B920" s="26"/>
      <c r="C920" s="23"/>
      <c r="E920" s="29"/>
      <c r="F920" s="29"/>
      <c r="G920" s="29"/>
      <c r="H920" s="29"/>
      <c r="I920" s="2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</row>
    <row r="921" spans="1:24" s="27" customFormat="1" x14ac:dyDescent="0.25">
      <c r="A921" s="26"/>
      <c r="B921" s="26"/>
      <c r="C921" s="23"/>
      <c r="E921" s="50"/>
      <c r="F921" s="29"/>
      <c r="G921" s="29"/>
      <c r="H921" s="29"/>
      <c r="I921" s="2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</row>
    <row r="922" spans="1:24" s="27" customFormat="1" x14ac:dyDescent="0.25">
      <c r="A922" s="26"/>
      <c r="B922" s="26"/>
      <c r="C922" s="23"/>
      <c r="E922" s="29"/>
      <c r="F922" s="29"/>
      <c r="G922" s="29"/>
      <c r="H922" s="29"/>
      <c r="I922" s="2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</row>
    <row r="923" spans="1:24" s="27" customFormat="1" x14ac:dyDescent="0.25">
      <c r="A923" s="26"/>
      <c r="B923" s="26"/>
      <c r="C923" s="23"/>
      <c r="E923" s="29"/>
      <c r="F923" s="29"/>
      <c r="G923" s="29"/>
      <c r="H923" s="29"/>
      <c r="I923" s="2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</row>
    <row r="924" spans="1:24" s="27" customFormat="1" x14ac:dyDescent="0.25">
      <c r="A924" s="26"/>
      <c r="B924" s="26"/>
      <c r="C924" s="23"/>
      <c r="E924" s="29"/>
      <c r="F924" s="29"/>
      <c r="G924" s="29"/>
      <c r="H924" s="29"/>
      <c r="I924" s="2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</row>
    <row r="925" spans="1:24" s="27" customFormat="1" x14ac:dyDescent="0.25">
      <c r="A925" s="26"/>
      <c r="B925" s="26"/>
      <c r="C925" s="23"/>
      <c r="E925" s="29"/>
      <c r="F925" s="29"/>
      <c r="G925" s="29"/>
      <c r="H925" s="29"/>
      <c r="I925" s="2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</row>
    <row r="926" spans="1:24" s="27" customFormat="1" x14ac:dyDescent="0.25">
      <c r="A926" s="26"/>
      <c r="B926" s="26"/>
      <c r="C926" s="23"/>
      <c r="E926" s="29"/>
      <c r="F926" s="29"/>
      <c r="G926" s="29"/>
      <c r="H926" s="29"/>
      <c r="I926" s="2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</row>
    <row r="927" spans="1:24" s="27" customFormat="1" x14ac:dyDescent="0.25">
      <c r="A927" s="26"/>
      <c r="B927" s="26"/>
      <c r="C927" s="23"/>
      <c r="E927" s="29"/>
      <c r="F927" s="29"/>
      <c r="G927" s="29"/>
      <c r="H927" s="29"/>
      <c r="I927" s="2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</row>
    <row r="928" spans="1:24" s="27" customFormat="1" x14ac:dyDescent="0.25">
      <c r="A928" s="26"/>
      <c r="B928" s="26"/>
      <c r="C928" s="23"/>
      <c r="E928" s="50"/>
      <c r="F928" s="29"/>
      <c r="G928" s="29"/>
      <c r="H928" s="29"/>
      <c r="I928" s="2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</row>
    <row r="929" spans="1:24" s="27" customFormat="1" x14ac:dyDescent="0.25">
      <c r="A929" s="26"/>
      <c r="B929" s="26"/>
      <c r="C929" s="23"/>
      <c r="E929" s="29"/>
      <c r="F929" s="29"/>
      <c r="G929" s="29"/>
      <c r="H929" s="29"/>
      <c r="I929" s="2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</row>
    <row r="930" spans="1:24" s="27" customFormat="1" x14ac:dyDescent="0.25">
      <c r="A930" s="26"/>
      <c r="B930" s="26"/>
      <c r="C930" s="23"/>
      <c r="E930" s="29"/>
      <c r="F930" s="29"/>
      <c r="G930" s="29"/>
      <c r="H930" s="29"/>
      <c r="I930" s="2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</row>
    <row r="931" spans="1:24" s="27" customFormat="1" x14ac:dyDescent="0.25">
      <c r="A931" s="26"/>
      <c r="B931" s="26"/>
      <c r="C931" s="23"/>
      <c r="E931" s="29"/>
      <c r="F931" s="29"/>
      <c r="G931" s="29"/>
      <c r="H931" s="29"/>
      <c r="I931" s="2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</row>
    <row r="932" spans="1:24" s="27" customFormat="1" x14ac:dyDescent="0.25">
      <c r="A932" s="26"/>
      <c r="B932" s="26"/>
      <c r="C932" s="23"/>
      <c r="E932" s="29"/>
      <c r="F932" s="29"/>
      <c r="G932" s="29"/>
      <c r="H932" s="29"/>
      <c r="I932" s="2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</row>
    <row r="933" spans="1:24" s="27" customFormat="1" x14ac:dyDescent="0.25">
      <c r="A933" s="26"/>
      <c r="B933" s="26"/>
      <c r="C933" s="23"/>
      <c r="E933" s="29"/>
      <c r="F933" s="50"/>
      <c r="G933" s="29"/>
      <c r="H933" s="29"/>
      <c r="I933" s="2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</row>
    <row r="934" spans="1:24" s="27" customFormat="1" x14ac:dyDescent="0.25">
      <c r="A934" s="26"/>
      <c r="B934" s="26"/>
      <c r="C934" s="23"/>
      <c r="E934" s="29"/>
      <c r="F934" s="29"/>
      <c r="G934" s="29"/>
      <c r="H934" s="29"/>
      <c r="I934" s="2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</row>
    <row r="935" spans="1:24" s="27" customFormat="1" x14ac:dyDescent="0.25">
      <c r="A935" s="26"/>
      <c r="B935" s="26"/>
      <c r="C935" s="23"/>
      <c r="E935" s="50"/>
      <c r="F935" s="29"/>
      <c r="G935" s="29"/>
      <c r="H935" s="29"/>
      <c r="I935" s="2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</row>
    <row r="936" spans="1:24" s="27" customFormat="1" x14ac:dyDescent="0.25">
      <c r="A936" s="26"/>
      <c r="B936" s="26"/>
      <c r="C936" s="23"/>
      <c r="E936" s="29"/>
      <c r="F936" s="29"/>
      <c r="G936" s="29"/>
      <c r="H936" s="29"/>
      <c r="I936" s="2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</row>
    <row r="937" spans="1:24" s="27" customFormat="1" x14ac:dyDescent="0.25">
      <c r="A937" s="26"/>
      <c r="B937" s="26"/>
      <c r="C937" s="23"/>
      <c r="E937" s="29"/>
      <c r="F937" s="29"/>
      <c r="G937" s="29"/>
      <c r="H937" s="29"/>
      <c r="I937" s="2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</row>
    <row r="938" spans="1:24" s="27" customFormat="1" x14ac:dyDescent="0.25">
      <c r="A938" s="26"/>
      <c r="B938" s="26"/>
      <c r="C938" s="23"/>
      <c r="E938" s="29"/>
      <c r="F938" s="29"/>
      <c r="G938" s="29"/>
      <c r="H938" s="29"/>
      <c r="I938" s="2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</row>
    <row r="939" spans="1:24" s="27" customFormat="1" x14ac:dyDescent="0.25">
      <c r="A939" s="26"/>
      <c r="B939" s="26"/>
      <c r="C939" s="23"/>
      <c r="E939" s="29"/>
      <c r="F939" s="29"/>
      <c r="G939" s="29"/>
      <c r="H939" s="29"/>
      <c r="I939" s="2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</row>
    <row r="940" spans="1:24" s="27" customFormat="1" x14ac:dyDescent="0.25">
      <c r="A940" s="26"/>
      <c r="B940" s="26"/>
      <c r="C940" s="23"/>
      <c r="E940" s="29"/>
      <c r="F940" s="29"/>
      <c r="G940" s="29"/>
      <c r="H940" s="29"/>
      <c r="I940" s="2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</row>
    <row r="941" spans="1:24" s="27" customFormat="1" x14ac:dyDescent="0.25">
      <c r="A941" s="26"/>
      <c r="B941" s="26"/>
      <c r="C941" s="23"/>
      <c r="E941" s="29"/>
      <c r="F941" s="29"/>
      <c r="G941" s="29"/>
      <c r="H941" s="29"/>
      <c r="I941" s="2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</row>
    <row r="942" spans="1:24" s="27" customFormat="1" x14ac:dyDescent="0.25">
      <c r="A942" s="26"/>
      <c r="B942" s="26"/>
      <c r="C942" s="23"/>
      <c r="E942" s="29"/>
      <c r="F942" s="29"/>
      <c r="G942" s="29"/>
      <c r="H942" s="29"/>
      <c r="I942" s="2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</row>
    <row r="943" spans="1:24" s="27" customFormat="1" x14ac:dyDescent="0.25">
      <c r="A943" s="26"/>
      <c r="B943" s="26"/>
      <c r="C943" s="23"/>
      <c r="E943" s="29"/>
      <c r="F943" s="29"/>
      <c r="G943" s="29"/>
      <c r="H943" s="29"/>
      <c r="I943" s="2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</row>
    <row r="944" spans="1:24" s="27" customFormat="1" x14ac:dyDescent="0.25">
      <c r="A944" s="26"/>
      <c r="B944" s="26"/>
      <c r="C944" s="23"/>
      <c r="E944" s="29"/>
      <c r="F944" s="29"/>
      <c r="G944" s="29"/>
      <c r="H944" s="29"/>
      <c r="I944" s="2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</row>
    <row r="945" spans="1:24" s="27" customFormat="1" x14ac:dyDescent="0.25">
      <c r="A945" s="26"/>
      <c r="B945" s="26"/>
      <c r="C945" s="23"/>
      <c r="E945" s="29"/>
      <c r="F945" s="29"/>
      <c r="G945" s="29"/>
      <c r="H945" s="29"/>
      <c r="I945" s="2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</row>
    <row r="946" spans="1:24" s="27" customFormat="1" x14ac:dyDescent="0.25">
      <c r="A946" s="26"/>
      <c r="B946" s="26"/>
      <c r="C946" s="23"/>
      <c r="E946" s="29"/>
      <c r="F946" s="29"/>
      <c r="G946" s="29"/>
      <c r="H946" s="29"/>
      <c r="I946" s="2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</row>
    <row r="947" spans="1:24" s="27" customFormat="1" x14ac:dyDescent="0.25">
      <c r="A947" s="26"/>
      <c r="B947" s="26"/>
      <c r="C947" s="23"/>
      <c r="E947" s="29"/>
      <c r="F947" s="29"/>
      <c r="G947" s="29"/>
      <c r="H947" s="29"/>
      <c r="I947" s="2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</row>
    <row r="948" spans="1:24" s="27" customFormat="1" x14ac:dyDescent="0.25">
      <c r="A948" s="26"/>
      <c r="B948" s="26"/>
      <c r="C948" s="23"/>
      <c r="E948" s="29"/>
      <c r="F948" s="29"/>
      <c r="G948" s="29"/>
      <c r="H948" s="29"/>
      <c r="I948" s="2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</row>
    <row r="949" spans="1:24" s="27" customFormat="1" x14ac:dyDescent="0.25">
      <c r="A949" s="26"/>
      <c r="B949" s="26"/>
      <c r="C949" s="23"/>
      <c r="E949" s="29"/>
      <c r="F949" s="50"/>
      <c r="G949" s="29"/>
      <c r="H949" s="29"/>
      <c r="I949" s="2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</row>
    <row r="950" spans="1:24" s="27" customFormat="1" x14ac:dyDescent="0.25">
      <c r="A950" s="26"/>
      <c r="B950" s="26"/>
      <c r="C950" s="23"/>
      <c r="E950" s="29"/>
      <c r="F950" s="29"/>
      <c r="G950" s="29"/>
      <c r="H950" s="29"/>
      <c r="I950" s="2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</row>
    <row r="951" spans="1:24" s="27" customFormat="1" x14ac:dyDescent="0.25">
      <c r="A951" s="26"/>
      <c r="B951" s="26"/>
      <c r="C951" s="23"/>
      <c r="E951" s="29"/>
      <c r="F951" s="29"/>
      <c r="G951" s="29"/>
      <c r="H951" s="29"/>
      <c r="I951" s="2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</row>
    <row r="952" spans="1:24" s="27" customFormat="1" x14ac:dyDescent="0.25">
      <c r="A952" s="26"/>
      <c r="B952" s="26"/>
      <c r="C952" s="23"/>
      <c r="E952" s="29"/>
      <c r="F952" s="29"/>
      <c r="G952" s="29"/>
      <c r="H952" s="29"/>
      <c r="I952" s="2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</row>
    <row r="953" spans="1:24" s="27" customFormat="1" x14ac:dyDescent="0.25">
      <c r="A953" s="26"/>
      <c r="B953" s="26"/>
      <c r="C953" s="23"/>
      <c r="E953" s="29"/>
      <c r="F953" s="29"/>
      <c r="G953" s="29"/>
      <c r="H953" s="29"/>
      <c r="I953" s="2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</row>
    <row r="954" spans="1:24" s="27" customFormat="1" x14ac:dyDescent="0.25">
      <c r="A954" s="26"/>
      <c r="B954" s="26"/>
      <c r="C954" s="23"/>
      <c r="E954" s="29"/>
      <c r="F954" s="29"/>
      <c r="G954" s="29"/>
      <c r="H954" s="29"/>
      <c r="I954" s="2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</row>
    <row r="955" spans="1:24" s="27" customFormat="1" x14ac:dyDescent="0.25">
      <c r="A955" s="26"/>
      <c r="B955" s="26"/>
      <c r="C955" s="23"/>
      <c r="E955" s="29"/>
      <c r="F955" s="29"/>
      <c r="G955" s="29"/>
      <c r="H955" s="29"/>
      <c r="I955" s="2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</row>
    <row r="956" spans="1:24" s="27" customFormat="1" x14ac:dyDescent="0.25">
      <c r="A956" s="26"/>
      <c r="B956" s="26"/>
      <c r="C956" s="23"/>
      <c r="E956" s="50"/>
      <c r="F956" s="29"/>
      <c r="G956" s="29"/>
      <c r="H956" s="29"/>
      <c r="I956" s="2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</row>
    <row r="957" spans="1:24" s="27" customFormat="1" x14ac:dyDescent="0.25">
      <c r="A957" s="26"/>
      <c r="B957" s="26"/>
      <c r="C957" s="23"/>
      <c r="E957" s="29"/>
      <c r="F957" s="29"/>
      <c r="G957" s="29"/>
      <c r="H957" s="29"/>
      <c r="I957" s="2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</row>
    <row r="958" spans="1:24" s="27" customFormat="1" x14ac:dyDescent="0.25">
      <c r="A958" s="26"/>
      <c r="B958" s="26"/>
      <c r="C958" s="23"/>
      <c r="E958" s="29"/>
      <c r="F958" s="29"/>
      <c r="G958" s="29"/>
      <c r="H958" s="29"/>
      <c r="I958" s="2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</row>
    <row r="959" spans="1:24" s="27" customFormat="1" x14ac:dyDescent="0.25">
      <c r="A959" s="26"/>
      <c r="B959" s="26"/>
      <c r="C959" s="23"/>
      <c r="E959" s="29"/>
      <c r="F959" s="29"/>
      <c r="G959" s="29"/>
      <c r="H959" s="29"/>
      <c r="I959" s="2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</row>
    <row r="960" spans="1:24" s="27" customFormat="1" x14ac:dyDescent="0.25">
      <c r="A960" s="26"/>
      <c r="B960" s="26"/>
      <c r="C960" s="23"/>
      <c r="E960" s="29"/>
      <c r="F960" s="29"/>
      <c r="G960" s="29"/>
      <c r="H960" s="29"/>
      <c r="I960" s="2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</row>
    <row r="961" spans="1:24" s="27" customFormat="1" x14ac:dyDescent="0.25">
      <c r="A961" s="26"/>
      <c r="B961" s="26"/>
      <c r="C961" s="23"/>
      <c r="E961" s="50"/>
      <c r="F961" s="29"/>
      <c r="G961" s="29"/>
      <c r="H961" s="29"/>
      <c r="I961" s="2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</row>
    <row r="962" spans="1:24" s="27" customFormat="1" x14ac:dyDescent="0.25">
      <c r="A962" s="26"/>
      <c r="B962" s="26"/>
      <c r="C962" s="23"/>
      <c r="E962" s="29"/>
      <c r="F962" s="29"/>
      <c r="G962" s="29"/>
      <c r="H962" s="29"/>
      <c r="I962" s="2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</row>
    <row r="963" spans="1:24" s="27" customFormat="1" x14ac:dyDescent="0.25">
      <c r="A963" s="26"/>
      <c r="B963" s="26"/>
      <c r="C963" s="23"/>
      <c r="E963" s="29"/>
      <c r="F963" s="29"/>
      <c r="G963" s="29"/>
      <c r="H963" s="29"/>
      <c r="I963" s="2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</row>
    <row r="964" spans="1:24" s="27" customFormat="1" x14ac:dyDescent="0.25">
      <c r="A964" s="26"/>
      <c r="B964" s="26"/>
      <c r="C964" s="23"/>
      <c r="E964" s="29"/>
      <c r="F964" s="29"/>
      <c r="G964" s="29"/>
      <c r="H964" s="29"/>
      <c r="I964" s="2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</row>
    <row r="965" spans="1:24" s="27" customFormat="1" x14ac:dyDescent="0.25">
      <c r="A965" s="26"/>
      <c r="B965" s="26"/>
      <c r="C965" s="23"/>
      <c r="E965" s="29"/>
      <c r="F965" s="29"/>
      <c r="G965" s="29"/>
      <c r="H965" s="29"/>
      <c r="I965" s="2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</row>
    <row r="966" spans="1:24" s="27" customFormat="1" x14ac:dyDescent="0.25">
      <c r="A966" s="26"/>
      <c r="B966" s="26"/>
      <c r="C966" s="23"/>
      <c r="E966" s="29"/>
      <c r="F966" s="29"/>
      <c r="G966" s="29"/>
      <c r="H966" s="29"/>
      <c r="I966" s="2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</row>
    <row r="967" spans="1:24" s="27" customFormat="1" x14ac:dyDescent="0.25">
      <c r="A967" s="26"/>
      <c r="B967" s="26"/>
      <c r="C967" s="23"/>
      <c r="E967" s="29"/>
      <c r="F967" s="29"/>
      <c r="G967" s="29"/>
      <c r="H967" s="29"/>
      <c r="I967" s="2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</row>
    <row r="968" spans="1:24" s="27" customFormat="1" x14ac:dyDescent="0.25">
      <c r="A968" s="26"/>
      <c r="B968" s="26"/>
      <c r="C968" s="23"/>
      <c r="E968" s="29"/>
      <c r="F968" s="29"/>
      <c r="G968" s="29"/>
      <c r="H968" s="29"/>
      <c r="I968" s="2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</row>
    <row r="969" spans="1:24" s="27" customFormat="1" x14ac:dyDescent="0.25">
      <c r="A969" s="26"/>
      <c r="B969" s="26"/>
      <c r="C969" s="23"/>
      <c r="E969" s="29"/>
      <c r="F969" s="29"/>
      <c r="G969" s="29"/>
      <c r="H969" s="29"/>
      <c r="I969" s="2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</row>
    <row r="970" spans="1:24" s="27" customFormat="1" x14ac:dyDescent="0.25">
      <c r="A970" s="26"/>
      <c r="B970" s="26"/>
      <c r="C970" s="23"/>
      <c r="E970" s="29"/>
      <c r="F970" s="29"/>
      <c r="G970" s="29"/>
      <c r="H970" s="29"/>
      <c r="I970" s="2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</row>
    <row r="971" spans="1:24" s="27" customFormat="1" x14ac:dyDescent="0.25">
      <c r="A971" s="26"/>
      <c r="B971" s="26"/>
      <c r="C971" s="23"/>
      <c r="E971" s="29"/>
      <c r="F971" s="29"/>
      <c r="G971" s="29"/>
      <c r="H971" s="29"/>
      <c r="I971" s="2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</row>
    <row r="972" spans="1:24" s="27" customFormat="1" x14ac:dyDescent="0.25">
      <c r="A972" s="26"/>
      <c r="B972" s="26"/>
      <c r="C972" s="23"/>
      <c r="E972" s="29"/>
      <c r="F972" s="29"/>
      <c r="G972" s="29"/>
      <c r="H972" s="29"/>
      <c r="I972" s="2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</row>
    <row r="973" spans="1:24" s="27" customFormat="1" x14ac:dyDescent="0.25">
      <c r="A973" s="26"/>
      <c r="B973" s="26"/>
      <c r="C973" s="23"/>
      <c r="E973" s="29"/>
      <c r="F973" s="29"/>
      <c r="G973" s="29"/>
      <c r="H973" s="29"/>
      <c r="I973" s="2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</row>
    <row r="974" spans="1:24" s="27" customFormat="1" x14ac:dyDescent="0.25">
      <c r="A974" s="26"/>
      <c r="B974" s="26"/>
      <c r="C974" s="23"/>
      <c r="E974" s="29"/>
      <c r="F974" s="29"/>
      <c r="G974" s="29"/>
      <c r="H974" s="29"/>
      <c r="I974" s="2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</row>
    <row r="975" spans="1:24" s="27" customFormat="1" x14ac:dyDescent="0.25">
      <c r="A975" s="26"/>
      <c r="B975" s="26"/>
      <c r="C975" s="23"/>
      <c r="E975" s="50"/>
      <c r="F975" s="29"/>
      <c r="G975" s="29"/>
      <c r="H975" s="29"/>
      <c r="I975" s="2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</row>
    <row r="976" spans="1:24" s="27" customFormat="1" x14ac:dyDescent="0.25">
      <c r="A976" s="26"/>
      <c r="B976" s="26"/>
      <c r="C976" s="23"/>
      <c r="E976" s="29"/>
      <c r="F976" s="29"/>
      <c r="G976" s="29"/>
      <c r="H976" s="29"/>
      <c r="I976" s="2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</row>
    <row r="977" spans="1:24" s="27" customFormat="1" x14ac:dyDescent="0.25">
      <c r="A977" s="26"/>
      <c r="B977" s="26"/>
      <c r="C977" s="23"/>
      <c r="E977" s="29"/>
      <c r="F977" s="29"/>
      <c r="G977" s="29"/>
      <c r="H977" s="29"/>
      <c r="I977" s="2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</row>
    <row r="978" spans="1:24" s="27" customFormat="1" x14ac:dyDescent="0.25">
      <c r="A978" s="26"/>
      <c r="B978" s="26"/>
      <c r="C978" s="23"/>
      <c r="E978" s="29"/>
      <c r="F978" s="29"/>
      <c r="G978" s="29"/>
      <c r="H978" s="29"/>
      <c r="I978" s="2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</row>
    <row r="979" spans="1:24" s="27" customFormat="1" x14ac:dyDescent="0.25">
      <c r="A979" s="26"/>
      <c r="B979" s="26"/>
      <c r="C979" s="23"/>
      <c r="E979" s="29"/>
      <c r="F979" s="29"/>
      <c r="G979" s="29"/>
      <c r="H979" s="29"/>
      <c r="I979" s="2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</row>
    <row r="980" spans="1:24" s="27" customFormat="1" x14ac:dyDescent="0.25">
      <c r="A980" s="26"/>
      <c r="B980" s="26"/>
      <c r="C980" s="23"/>
      <c r="E980" s="29"/>
      <c r="F980" s="29"/>
      <c r="G980" s="29"/>
      <c r="H980" s="29"/>
      <c r="I980" s="2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</row>
    <row r="981" spans="1:24" s="27" customFormat="1" x14ac:dyDescent="0.25">
      <c r="A981" s="26"/>
      <c r="B981" s="26"/>
      <c r="C981" s="23"/>
      <c r="E981" s="29"/>
      <c r="F981" s="29"/>
      <c r="G981" s="29"/>
      <c r="H981" s="29"/>
      <c r="I981" s="2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</row>
    <row r="982" spans="1:24" s="27" customFormat="1" x14ac:dyDescent="0.25">
      <c r="A982" s="26"/>
      <c r="B982" s="26"/>
      <c r="C982" s="23"/>
      <c r="E982" s="29"/>
      <c r="F982" s="29"/>
      <c r="G982" s="29"/>
      <c r="H982" s="29"/>
      <c r="I982" s="2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</row>
    <row r="983" spans="1:24" s="27" customFormat="1" x14ac:dyDescent="0.25">
      <c r="A983" s="26"/>
      <c r="B983" s="26"/>
      <c r="C983" s="23"/>
      <c r="E983" s="29"/>
      <c r="F983" s="29"/>
      <c r="G983" s="29"/>
      <c r="H983" s="29"/>
      <c r="I983" s="2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</row>
    <row r="984" spans="1:24" s="27" customFormat="1" x14ac:dyDescent="0.25">
      <c r="A984" s="26"/>
      <c r="B984" s="26"/>
      <c r="C984" s="23"/>
      <c r="E984" s="29"/>
      <c r="F984" s="29"/>
      <c r="G984" s="29"/>
      <c r="H984" s="29"/>
      <c r="I984" s="2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</row>
    <row r="985" spans="1:24" s="27" customFormat="1" x14ac:dyDescent="0.25">
      <c r="A985" s="26"/>
      <c r="B985" s="26"/>
      <c r="C985" s="23"/>
      <c r="E985" s="29"/>
      <c r="F985" s="29"/>
      <c r="G985" s="29"/>
      <c r="H985" s="29"/>
      <c r="I985" s="2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</row>
    <row r="986" spans="1:24" s="27" customFormat="1" x14ac:dyDescent="0.25">
      <c r="A986" s="26"/>
      <c r="B986" s="26"/>
      <c r="C986" s="23"/>
      <c r="E986" s="29"/>
      <c r="F986" s="29"/>
      <c r="G986" s="29"/>
      <c r="H986" s="29"/>
      <c r="I986" s="2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</row>
    <row r="987" spans="1:24" s="27" customFormat="1" x14ac:dyDescent="0.25">
      <c r="A987" s="26"/>
      <c r="B987" s="26"/>
      <c r="C987" s="23"/>
      <c r="E987" s="29"/>
      <c r="F987" s="29"/>
      <c r="G987" s="29"/>
      <c r="H987" s="29"/>
      <c r="I987" s="2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</row>
    <row r="988" spans="1:24" s="27" customFormat="1" x14ac:dyDescent="0.25">
      <c r="A988" s="26"/>
      <c r="B988" s="26"/>
      <c r="C988" s="23"/>
      <c r="E988" s="29"/>
      <c r="F988" s="29"/>
      <c r="G988" s="29"/>
      <c r="H988" s="29"/>
      <c r="I988" s="2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</row>
    <row r="989" spans="1:24" s="27" customFormat="1" x14ac:dyDescent="0.25">
      <c r="A989" s="26"/>
      <c r="B989" s="26"/>
      <c r="C989" s="23"/>
      <c r="E989" s="29"/>
      <c r="F989" s="29"/>
      <c r="G989" s="29"/>
      <c r="H989" s="29"/>
      <c r="I989" s="2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</row>
    <row r="990" spans="1:24" s="27" customFormat="1" x14ac:dyDescent="0.25">
      <c r="A990" s="26"/>
      <c r="B990" s="26"/>
      <c r="C990" s="23"/>
      <c r="E990" s="29"/>
      <c r="F990" s="29"/>
      <c r="G990" s="29"/>
      <c r="H990" s="29"/>
      <c r="I990" s="2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</row>
    <row r="991" spans="1:24" s="27" customFormat="1" x14ac:dyDescent="0.25">
      <c r="A991" s="26"/>
      <c r="B991" s="26"/>
      <c r="C991" s="23"/>
      <c r="E991" s="29"/>
      <c r="F991" s="29"/>
      <c r="G991" s="29"/>
      <c r="H991" s="29"/>
      <c r="I991" s="2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</row>
    <row r="992" spans="1:24" s="27" customFormat="1" x14ac:dyDescent="0.25">
      <c r="A992" s="26"/>
      <c r="B992" s="26"/>
      <c r="C992" s="23"/>
      <c r="E992" s="29"/>
      <c r="F992" s="50"/>
      <c r="G992" s="29"/>
      <c r="H992" s="29"/>
      <c r="I992" s="2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</row>
    <row r="993" spans="1:24" s="27" customFormat="1" x14ac:dyDescent="0.25">
      <c r="A993" s="26"/>
      <c r="B993" s="26"/>
      <c r="C993" s="23"/>
      <c r="E993" s="29"/>
      <c r="F993" s="29"/>
      <c r="G993" s="29"/>
      <c r="H993" s="29"/>
      <c r="I993" s="2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</row>
    <row r="994" spans="1:24" s="27" customFormat="1" x14ac:dyDescent="0.25">
      <c r="A994" s="26"/>
      <c r="B994" s="26"/>
      <c r="C994" s="23"/>
      <c r="E994" s="29"/>
      <c r="F994" s="29"/>
      <c r="G994" s="29"/>
      <c r="H994" s="29"/>
      <c r="I994" s="2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</row>
    <row r="995" spans="1:24" s="27" customFormat="1" x14ac:dyDescent="0.25">
      <c r="A995" s="26"/>
      <c r="B995" s="26"/>
      <c r="C995" s="23"/>
      <c r="E995" s="29"/>
      <c r="F995" s="29"/>
      <c r="G995" s="29"/>
      <c r="H995" s="29"/>
      <c r="I995" s="2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</row>
    <row r="996" spans="1:24" s="27" customFormat="1" x14ac:dyDescent="0.25">
      <c r="A996" s="26"/>
      <c r="B996" s="26"/>
      <c r="C996" s="23"/>
      <c r="E996" s="29"/>
      <c r="F996" s="29"/>
      <c r="G996" s="29"/>
      <c r="H996" s="29"/>
      <c r="I996" s="2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</row>
    <row r="997" spans="1:24" s="27" customFormat="1" x14ac:dyDescent="0.25">
      <c r="A997" s="26"/>
      <c r="B997" s="26"/>
      <c r="C997" s="23"/>
      <c r="E997" s="29"/>
      <c r="F997" s="29"/>
      <c r="G997" s="29"/>
      <c r="H997" s="29"/>
      <c r="I997" s="2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</row>
    <row r="998" spans="1:24" s="27" customFormat="1" x14ac:dyDescent="0.25">
      <c r="A998" s="26"/>
      <c r="B998" s="26"/>
      <c r="C998" s="23"/>
      <c r="E998" s="29"/>
      <c r="F998" s="29"/>
      <c r="G998" s="29"/>
      <c r="H998" s="29"/>
      <c r="I998" s="2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</row>
    <row r="999" spans="1:24" s="27" customFormat="1" x14ac:dyDescent="0.25">
      <c r="A999" s="26"/>
      <c r="B999" s="26"/>
      <c r="C999" s="23"/>
      <c r="E999" s="29"/>
      <c r="F999" s="29"/>
      <c r="G999" s="29"/>
      <c r="H999" s="29"/>
      <c r="I999" s="2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</row>
    <row r="1000" spans="1:24" s="27" customFormat="1" x14ac:dyDescent="0.25">
      <c r="A1000" s="26"/>
      <c r="B1000" s="26"/>
      <c r="C1000" s="23"/>
      <c r="E1000" s="50"/>
      <c r="F1000" s="29"/>
      <c r="G1000" s="29"/>
      <c r="H1000" s="29"/>
      <c r="I1000" s="2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</row>
    <row r="1001" spans="1:24" s="27" customFormat="1" x14ac:dyDescent="0.25">
      <c r="A1001" s="26"/>
      <c r="B1001" s="26"/>
      <c r="C1001" s="23"/>
      <c r="E1001" s="29"/>
      <c r="F1001" s="29"/>
      <c r="G1001" s="29"/>
      <c r="H1001" s="29"/>
      <c r="I1001" s="2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</row>
    <row r="1002" spans="1:24" s="27" customFormat="1" x14ac:dyDescent="0.25">
      <c r="A1002" s="26"/>
      <c r="B1002" s="26"/>
      <c r="C1002" s="23"/>
      <c r="E1002" s="29"/>
      <c r="F1002" s="29"/>
      <c r="G1002" s="29"/>
      <c r="H1002" s="29"/>
      <c r="I1002" s="2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</row>
    <row r="1003" spans="1:24" s="27" customFormat="1" x14ac:dyDescent="0.25">
      <c r="A1003" s="26"/>
      <c r="B1003" s="26"/>
      <c r="C1003" s="23"/>
      <c r="E1003" s="29"/>
      <c r="F1003" s="29"/>
      <c r="G1003" s="29"/>
      <c r="H1003" s="29"/>
      <c r="I1003" s="2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</row>
    <row r="1004" spans="1:24" s="27" customFormat="1" x14ac:dyDescent="0.25">
      <c r="A1004" s="26"/>
      <c r="B1004" s="26"/>
      <c r="C1004" s="23"/>
      <c r="E1004" s="29"/>
      <c r="F1004" s="29"/>
      <c r="G1004" s="29"/>
      <c r="H1004" s="29"/>
      <c r="I1004" s="2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</row>
    <row r="1005" spans="1:24" s="27" customFormat="1" x14ac:dyDescent="0.25">
      <c r="A1005" s="26"/>
      <c r="B1005" s="26"/>
      <c r="C1005" s="23"/>
      <c r="E1005" s="29"/>
      <c r="F1005" s="29"/>
      <c r="G1005" s="29"/>
      <c r="H1005" s="29"/>
      <c r="I1005" s="2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</row>
    <row r="1006" spans="1:24" s="27" customFormat="1" x14ac:dyDescent="0.25">
      <c r="A1006" s="26"/>
      <c r="B1006" s="26"/>
      <c r="C1006" s="23"/>
      <c r="E1006" s="29"/>
      <c r="F1006" s="29"/>
      <c r="G1006" s="29"/>
      <c r="H1006" s="29"/>
      <c r="I1006" s="2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</row>
    <row r="1007" spans="1:24" s="27" customFormat="1" x14ac:dyDescent="0.25">
      <c r="A1007" s="26"/>
      <c r="B1007" s="26"/>
      <c r="C1007" s="23"/>
      <c r="E1007" s="29"/>
      <c r="F1007" s="50"/>
      <c r="G1007" s="29"/>
      <c r="H1007" s="29"/>
      <c r="I1007" s="2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</row>
    <row r="1008" spans="1:24" s="27" customFormat="1" x14ac:dyDescent="0.25">
      <c r="A1008" s="26"/>
      <c r="B1008" s="26"/>
      <c r="C1008" s="23"/>
      <c r="E1008" s="29"/>
      <c r="F1008" s="29"/>
      <c r="G1008" s="29"/>
      <c r="H1008" s="29"/>
      <c r="I1008" s="2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</row>
    <row r="1009" spans="1:24" s="27" customFormat="1" x14ac:dyDescent="0.25">
      <c r="A1009" s="26"/>
      <c r="B1009" s="26"/>
      <c r="C1009" s="23"/>
      <c r="E1009" s="29"/>
      <c r="F1009" s="29"/>
      <c r="G1009" s="29"/>
      <c r="H1009" s="29"/>
      <c r="I1009" s="2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</row>
    <row r="1010" spans="1:24" s="27" customFormat="1" x14ac:dyDescent="0.25">
      <c r="A1010" s="26"/>
      <c r="B1010" s="26"/>
      <c r="C1010" s="23"/>
      <c r="E1010" s="29"/>
      <c r="F1010" s="29"/>
      <c r="G1010" s="29"/>
      <c r="H1010" s="29"/>
      <c r="I1010" s="2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</row>
    <row r="1011" spans="1:24" s="27" customFormat="1" x14ac:dyDescent="0.25">
      <c r="A1011" s="26"/>
      <c r="B1011" s="26"/>
      <c r="C1011" s="23"/>
      <c r="E1011" s="29"/>
      <c r="F1011" s="29"/>
      <c r="G1011" s="29"/>
      <c r="H1011" s="29"/>
      <c r="I1011" s="2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</row>
    <row r="1012" spans="1:24" s="27" customFormat="1" x14ac:dyDescent="0.25">
      <c r="A1012" s="26"/>
      <c r="B1012" s="26"/>
      <c r="C1012" s="23"/>
      <c r="E1012" s="29"/>
      <c r="F1012" s="29"/>
      <c r="G1012" s="29"/>
      <c r="H1012" s="29"/>
      <c r="I1012" s="2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</row>
    <row r="1013" spans="1:24" s="27" customFormat="1" x14ac:dyDescent="0.25">
      <c r="A1013" s="26"/>
      <c r="B1013" s="26"/>
      <c r="C1013" s="23"/>
      <c r="E1013" s="29"/>
      <c r="F1013" s="29"/>
      <c r="G1013" s="29"/>
      <c r="H1013" s="29"/>
      <c r="I1013" s="2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</row>
    <row r="1014" spans="1:24" s="27" customFormat="1" x14ac:dyDescent="0.25">
      <c r="A1014" s="26"/>
      <c r="B1014" s="26"/>
      <c r="C1014" s="23"/>
      <c r="E1014" s="29"/>
      <c r="F1014" s="29"/>
      <c r="G1014" s="29"/>
      <c r="H1014" s="29"/>
      <c r="I1014" s="2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</row>
    <row r="1015" spans="1:24" s="27" customFormat="1" x14ac:dyDescent="0.25">
      <c r="A1015" s="26"/>
      <c r="B1015" s="26"/>
      <c r="C1015" s="23"/>
      <c r="E1015" s="29"/>
      <c r="F1015" s="29"/>
      <c r="G1015" s="29"/>
      <c r="H1015" s="29"/>
      <c r="I1015" s="2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</row>
    <row r="1016" spans="1:24" s="27" customFormat="1" x14ac:dyDescent="0.25">
      <c r="A1016" s="26"/>
      <c r="B1016" s="26"/>
      <c r="C1016" s="23"/>
      <c r="E1016" s="29"/>
      <c r="F1016" s="29"/>
      <c r="G1016" s="29"/>
      <c r="H1016" s="29"/>
      <c r="I1016" s="2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</row>
    <row r="1017" spans="1:24" s="27" customFormat="1" x14ac:dyDescent="0.25">
      <c r="A1017" s="26"/>
      <c r="B1017" s="26"/>
      <c r="C1017" s="23"/>
      <c r="E1017" s="29"/>
      <c r="F1017" s="29"/>
      <c r="G1017" s="29"/>
      <c r="H1017" s="29"/>
      <c r="I1017" s="2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</row>
    <row r="1018" spans="1:24" s="27" customFormat="1" x14ac:dyDescent="0.25">
      <c r="A1018" s="26"/>
      <c r="B1018" s="26"/>
      <c r="C1018" s="23"/>
      <c r="E1018" s="29"/>
      <c r="F1018" s="50"/>
      <c r="G1018" s="29"/>
      <c r="H1018" s="29"/>
      <c r="I1018" s="2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</row>
    <row r="1019" spans="1:24" s="27" customFormat="1" x14ac:dyDescent="0.25">
      <c r="A1019" s="26"/>
      <c r="B1019" s="26"/>
      <c r="C1019" s="23"/>
      <c r="E1019" s="29"/>
      <c r="F1019" s="29"/>
      <c r="G1019" s="29"/>
      <c r="H1019" s="29"/>
      <c r="I1019" s="2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</row>
    <row r="1020" spans="1:24" s="27" customFormat="1" x14ac:dyDescent="0.25">
      <c r="A1020" s="26"/>
      <c r="B1020" s="26"/>
      <c r="C1020" s="23"/>
      <c r="E1020" s="29"/>
      <c r="F1020" s="29"/>
      <c r="G1020" s="29"/>
      <c r="H1020" s="29"/>
      <c r="I1020" s="29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</row>
    <row r="1021" spans="1:24" s="27" customFormat="1" x14ac:dyDescent="0.25">
      <c r="A1021" s="26"/>
      <c r="B1021" s="26"/>
      <c r="C1021" s="23"/>
      <c r="E1021" s="29"/>
      <c r="F1021" s="50"/>
      <c r="G1021" s="29"/>
      <c r="H1021" s="29"/>
      <c r="I1021" s="29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</row>
    <row r="1022" spans="1:24" s="27" customFormat="1" x14ac:dyDescent="0.25">
      <c r="A1022" s="26"/>
      <c r="B1022" s="26"/>
      <c r="C1022" s="23"/>
      <c r="E1022" s="29"/>
      <c r="F1022" s="29"/>
      <c r="G1022" s="29"/>
      <c r="H1022" s="29"/>
      <c r="I1022" s="29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</row>
    <row r="1023" spans="1:24" s="27" customFormat="1" x14ac:dyDescent="0.25">
      <c r="A1023" s="26"/>
      <c r="B1023" s="26"/>
      <c r="C1023" s="23"/>
      <c r="E1023" s="29"/>
      <c r="F1023" s="29"/>
      <c r="G1023" s="29"/>
      <c r="H1023" s="29"/>
      <c r="I1023" s="29"/>
      <c r="J1023" s="49"/>
      <c r="K1023" s="49"/>
      <c r="L1023" s="49"/>
      <c r="M1023" s="49"/>
      <c r="N1023" s="49"/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</row>
    <row r="1024" spans="1:24" s="27" customFormat="1" x14ac:dyDescent="0.25">
      <c r="A1024" s="26"/>
      <c r="B1024" s="26"/>
      <c r="C1024" s="23"/>
      <c r="E1024" s="29"/>
      <c r="F1024" s="29"/>
      <c r="G1024" s="29"/>
      <c r="H1024" s="29"/>
      <c r="I1024" s="29"/>
      <c r="J1024" s="49"/>
      <c r="K1024" s="49"/>
      <c r="L1024" s="49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</row>
    <row r="1025" spans="1:24" s="27" customFormat="1" x14ac:dyDescent="0.25">
      <c r="A1025" s="26"/>
      <c r="B1025" s="26"/>
      <c r="C1025" s="23"/>
      <c r="E1025" s="29"/>
      <c r="F1025" s="29"/>
      <c r="G1025" s="29"/>
      <c r="H1025" s="29"/>
      <c r="I1025" s="29"/>
      <c r="J1025" s="49"/>
      <c r="K1025" s="49"/>
      <c r="L1025" s="49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</row>
    <row r="1026" spans="1:24" s="27" customFormat="1" x14ac:dyDescent="0.25">
      <c r="A1026" s="26"/>
      <c r="B1026" s="26"/>
      <c r="C1026" s="23"/>
      <c r="E1026" s="29"/>
      <c r="F1026" s="29"/>
      <c r="G1026" s="29"/>
      <c r="H1026" s="29"/>
      <c r="I1026" s="29"/>
      <c r="J1026" s="49"/>
      <c r="K1026" s="49"/>
      <c r="L1026" s="49"/>
      <c r="M1026" s="49"/>
      <c r="N1026" s="49"/>
      <c r="O1026" s="49"/>
      <c r="P1026" s="49"/>
      <c r="Q1026" s="49"/>
      <c r="R1026" s="49"/>
      <c r="S1026" s="49"/>
      <c r="T1026" s="49"/>
      <c r="U1026" s="49"/>
      <c r="V1026" s="49"/>
      <c r="W1026" s="49"/>
      <c r="X1026" s="49"/>
    </row>
    <row r="1027" spans="1:24" s="27" customFormat="1" x14ac:dyDescent="0.25">
      <c r="A1027" s="26"/>
      <c r="B1027" s="26"/>
      <c r="C1027" s="23"/>
      <c r="E1027" s="29"/>
      <c r="F1027" s="29"/>
      <c r="G1027" s="29"/>
      <c r="H1027" s="29"/>
      <c r="I1027" s="29"/>
      <c r="J1027" s="49"/>
      <c r="K1027" s="49"/>
      <c r="L1027" s="49"/>
      <c r="M1027" s="49"/>
      <c r="N1027" s="49"/>
      <c r="O1027" s="49"/>
      <c r="P1027" s="49"/>
      <c r="Q1027" s="49"/>
      <c r="R1027" s="49"/>
      <c r="S1027" s="49"/>
      <c r="T1027" s="49"/>
      <c r="U1027" s="49"/>
      <c r="V1027" s="49"/>
      <c r="W1027" s="49"/>
      <c r="X1027" s="49"/>
    </row>
    <row r="1028" spans="1:24" s="27" customFormat="1" x14ac:dyDescent="0.25">
      <c r="A1028" s="26"/>
      <c r="B1028" s="26"/>
      <c r="C1028" s="23"/>
      <c r="E1028" s="29"/>
      <c r="F1028" s="50"/>
      <c r="G1028" s="29"/>
      <c r="H1028" s="29"/>
      <c r="I1028" s="29"/>
      <c r="J1028" s="49"/>
      <c r="K1028" s="49"/>
      <c r="L1028" s="49"/>
      <c r="M1028" s="49"/>
      <c r="N1028" s="49"/>
      <c r="O1028" s="49"/>
      <c r="P1028" s="49"/>
      <c r="Q1028" s="49"/>
      <c r="R1028" s="49"/>
      <c r="S1028" s="49"/>
      <c r="T1028" s="49"/>
      <c r="U1028" s="49"/>
      <c r="V1028" s="49"/>
      <c r="W1028" s="49"/>
      <c r="X1028" s="49"/>
    </row>
    <row r="1029" spans="1:24" s="27" customFormat="1" x14ac:dyDescent="0.25">
      <c r="A1029" s="26"/>
      <c r="B1029" s="26"/>
      <c r="C1029" s="23"/>
      <c r="E1029" s="29"/>
      <c r="F1029" s="29"/>
      <c r="G1029" s="29"/>
      <c r="H1029" s="29"/>
      <c r="I1029" s="29"/>
      <c r="J1029" s="49"/>
      <c r="K1029" s="49"/>
      <c r="L1029" s="49"/>
      <c r="M1029" s="49"/>
      <c r="N1029" s="49"/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</row>
    <row r="1030" spans="1:24" s="27" customFormat="1" x14ac:dyDescent="0.25">
      <c r="A1030" s="26"/>
      <c r="B1030" s="26"/>
      <c r="C1030" s="23"/>
      <c r="E1030" s="29"/>
      <c r="F1030" s="29"/>
      <c r="G1030" s="29"/>
      <c r="H1030" s="29"/>
      <c r="I1030" s="29"/>
      <c r="J1030" s="49"/>
      <c r="K1030" s="49"/>
      <c r="L1030" s="49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</row>
    <row r="1031" spans="1:24" s="27" customFormat="1" x14ac:dyDescent="0.25">
      <c r="A1031" s="26"/>
      <c r="B1031" s="26"/>
      <c r="C1031" s="23"/>
      <c r="E1031" s="29"/>
      <c r="F1031" s="29"/>
      <c r="G1031" s="29"/>
      <c r="H1031" s="29"/>
      <c r="I1031" s="29"/>
      <c r="J1031" s="49"/>
      <c r="K1031" s="49"/>
      <c r="L1031" s="49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</row>
    <row r="1032" spans="1:24" s="27" customFormat="1" x14ac:dyDescent="0.25">
      <c r="A1032" s="26"/>
      <c r="B1032" s="26"/>
      <c r="C1032" s="23"/>
      <c r="E1032" s="29"/>
      <c r="F1032" s="29"/>
      <c r="G1032" s="29"/>
      <c r="H1032" s="29"/>
      <c r="I1032" s="29"/>
      <c r="J1032" s="49"/>
      <c r="K1032" s="49"/>
      <c r="L1032" s="49"/>
      <c r="M1032" s="49"/>
      <c r="N1032" s="49"/>
      <c r="O1032" s="49"/>
      <c r="P1032" s="49"/>
      <c r="Q1032" s="49"/>
      <c r="R1032" s="49"/>
      <c r="S1032" s="49"/>
      <c r="T1032" s="49"/>
      <c r="U1032" s="49"/>
      <c r="V1032" s="49"/>
      <c r="W1032" s="49"/>
      <c r="X1032" s="49"/>
    </row>
    <row r="1033" spans="1:24" s="27" customFormat="1" x14ac:dyDescent="0.25">
      <c r="A1033" s="26"/>
      <c r="B1033" s="26"/>
      <c r="C1033" s="23"/>
      <c r="E1033" s="29"/>
      <c r="F1033" s="29"/>
      <c r="G1033" s="29"/>
      <c r="H1033" s="29"/>
      <c r="I1033" s="29"/>
      <c r="J1033" s="49"/>
      <c r="K1033" s="49"/>
      <c r="L1033" s="49"/>
      <c r="M1033" s="49"/>
      <c r="N1033" s="49"/>
      <c r="O1033" s="49"/>
      <c r="P1033" s="49"/>
      <c r="Q1033" s="49"/>
      <c r="R1033" s="49"/>
      <c r="S1033" s="49"/>
      <c r="T1033" s="49"/>
      <c r="U1033" s="49"/>
      <c r="V1033" s="49"/>
      <c r="W1033" s="49"/>
      <c r="X1033" s="49"/>
    </row>
    <row r="1034" spans="1:24" s="27" customFormat="1" x14ac:dyDescent="0.25">
      <c r="A1034" s="26"/>
      <c r="B1034" s="26"/>
      <c r="C1034" s="23"/>
      <c r="E1034" s="29"/>
      <c r="F1034" s="29"/>
      <c r="G1034" s="29"/>
      <c r="H1034" s="29"/>
      <c r="I1034" s="29"/>
      <c r="J1034" s="49"/>
      <c r="K1034" s="49"/>
      <c r="L1034" s="49"/>
      <c r="M1034" s="49"/>
      <c r="N1034" s="49"/>
      <c r="O1034" s="49"/>
      <c r="P1034" s="49"/>
      <c r="Q1034" s="49"/>
      <c r="R1034" s="49"/>
      <c r="S1034" s="49"/>
      <c r="T1034" s="49"/>
      <c r="U1034" s="49"/>
      <c r="V1034" s="49"/>
      <c r="W1034" s="49"/>
      <c r="X1034" s="49"/>
    </row>
    <row r="1035" spans="1:24" s="27" customFormat="1" x14ac:dyDescent="0.25">
      <c r="A1035" s="26"/>
      <c r="B1035" s="26"/>
      <c r="C1035" s="23"/>
      <c r="E1035" s="50"/>
      <c r="F1035" s="29"/>
      <c r="G1035" s="29"/>
      <c r="H1035" s="29"/>
      <c r="I1035" s="29"/>
      <c r="J1035" s="49"/>
      <c r="K1035" s="49"/>
      <c r="L1035" s="49"/>
      <c r="M1035" s="49"/>
      <c r="N1035" s="49"/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</row>
    <row r="1036" spans="1:24" s="27" customFormat="1" x14ac:dyDescent="0.25">
      <c r="A1036" s="26"/>
      <c r="B1036" s="26"/>
      <c r="C1036" s="23"/>
      <c r="E1036" s="50"/>
      <c r="F1036" s="29"/>
      <c r="G1036" s="29"/>
      <c r="H1036" s="29"/>
      <c r="I1036" s="29"/>
      <c r="J1036" s="49"/>
      <c r="K1036" s="49"/>
      <c r="L1036" s="49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</row>
    <row r="1037" spans="1:24" s="27" customFormat="1" x14ac:dyDescent="0.25">
      <c r="A1037" s="26"/>
      <c r="B1037" s="26"/>
      <c r="C1037" s="23"/>
      <c r="E1037" s="29"/>
      <c r="F1037" s="29"/>
      <c r="G1037" s="29"/>
      <c r="H1037" s="29"/>
      <c r="I1037" s="29"/>
      <c r="J1037" s="49"/>
      <c r="K1037" s="49"/>
      <c r="L1037" s="49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</row>
    <row r="1038" spans="1:24" s="27" customFormat="1" x14ac:dyDescent="0.25">
      <c r="A1038" s="26"/>
      <c r="B1038" s="26"/>
      <c r="C1038" s="23"/>
      <c r="E1038" s="29"/>
      <c r="F1038" s="29"/>
      <c r="G1038" s="29"/>
      <c r="H1038" s="29"/>
      <c r="I1038" s="29"/>
      <c r="J1038" s="49"/>
      <c r="K1038" s="49"/>
      <c r="L1038" s="49"/>
      <c r="M1038" s="49"/>
      <c r="N1038" s="49"/>
      <c r="O1038" s="49"/>
      <c r="P1038" s="49"/>
      <c r="Q1038" s="49"/>
      <c r="R1038" s="49"/>
      <c r="S1038" s="49"/>
      <c r="T1038" s="49"/>
      <c r="U1038" s="49"/>
      <c r="V1038" s="49"/>
      <c r="W1038" s="49"/>
      <c r="X1038" s="49"/>
    </row>
    <row r="1039" spans="1:24" s="27" customFormat="1" x14ac:dyDescent="0.25">
      <c r="A1039" s="26"/>
      <c r="B1039" s="26"/>
      <c r="C1039" s="23"/>
      <c r="E1039" s="29"/>
      <c r="F1039" s="29"/>
      <c r="G1039" s="29"/>
      <c r="H1039" s="29"/>
      <c r="I1039" s="29"/>
      <c r="J1039" s="49"/>
      <c r="K1039" s="49"/>
      <c r="L1039" s="49"/>
      <c r="M1039" s="49"/>
      <c r="N1039" s="49"/>
      <c r="O1039" s="49"/>
      <c r="P1039" s="49"/>
      <c r="Q1039" s="49"/>
      <c r="R1039" s="49"/>
      <c r="S1039" s="49"/>
      <c r="T1039" s="49"/>
      <c r="U1039" s="49"/>
      <c r="V1039" s="49"/>
      <c r="W1039" s="49"/>
      <c r="X1039" s="49"/>
    </row>
    <row r="1040" spans="1:24" s="27" customFormat="1" x14ac:dyDescent="0.25">
      <c r="A1040" s="26"/>
      <c r="B1040" s="26"/>
      <c r="C1040" s="23"/>
      <c r="E1040" s="29"/>
      <c r="F1040" s="29"/>
      <c r="G1040" s="29"/>
      <c r="H1040" s="29"/>
      <c r="I1040" s="29"/>
      <c r="J1040" s="49"/>
      <c r="K1040" s="49"/>
      <c r="L1040" s="49"/>
      <c r="M1040" s="49"/>
      <c r="N1040" s="49"/>
      <c r="O1040" s="49"/>
      <c r="P1040" s="49"/>
      <c r="Q1040" s="49"/>
      <c r="R1040" s="49"/>
      <c r="S1040" s="49"/>
      <c r="T1040" s="49"/>
      <c r="U1040" s="49"/>
      <c r="V1040" s="49"/>
      <c r="W1040" s="49"/>
      <c r="X1040" s="49"/>
    </row>
    <row r="1041" spans="1:24" s="27" customFormat="1" x14ac:dyDescent="0.25">
      <c r="A1041" s="26"/>
      <c r="B1041" s="26"/>
      <c r="C1041" s="23"/>
      <c r="E1041" s="50"/>
      <c r="F1041" s="29"/>
      <c r="G1041" s="29"/>
      <c r="H1041" s="29"/>
      <c r="I1041" s="29"/>
      <c r="J1041" s="49"/>
      <c r="K1041" s="49"/>
      <c r="L1041" s="49"/>
      <c r="M1041" s="49"/>
      <c r="N1041" s="49"/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</row>
    <row r="1042" spans="1:24" s="27" customFormat="1" x14ac:dyDescent="0.25">
      <c r="A1042" s="26"/>
      <c r="B1042" s="26"/>
      <c r="C1042" s="23"/>
      <c r="E1042" s="29"/>
      <c r="F1042" s="50"/>
      <c r="G1042" s="29"/>
      <c r="H1042" s="29"/>
      <c r="I1042" s="29"/>
      <c r="J1042" s="49"/>
      <c r="K1042" s="49"/>
      <c r="L1042" s="49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</row>
    <row r="1043" spans="1:24" s="27" customFormat="1" x14ac:dyDescent="0.25">
      <c r="A1043" s="26"/>
      <c r="B1043" s="26"/>
      <c r="C1043" s="23"/>
      <c r="E1043" s="50"/>
      <c r="F1043" s="29"/>
      <c r="G1043" s="29"/>
      <c r="H1043" s="29"/>
      <c r="I1043" s="29"/>
      <c r="J1043" s="49"/>
      <c r="K1043" s="49"/>
      <c r="L1043" s="49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</row>
    <row r="1044" spans="1:24" s="27" customFormat="1" x14ac:dyDescent="0.25">
      <c r="A1044" s="26"/>
      <c r="B1044" s="26"/>
      <c r="C1044" s="23"/>
      <c r="E1044" s="50"/>
      <c r="F1044" s="29"/>
      <c r="G1044" s="29"/>
      <c r="H1044" s="29"/>
      <c r="I1044" s="29"/>
      <c r="J1044" s="49"/>
      <c r="K1044" s="49"/>
      <c r="L1044" s="49"/>
      <c r="M1044" s="49"/>
      <c r="N1044" s="49"/>
      <c r="O1044" s="49"/>
      <c r="P1044" s="49"/>
      <c r="Q1044" s="49"/>
      <c r="R1044" s="49"/>
      <c r="S1044" s="49"/>
      <c r="T1044" s="49"/>
      <c r="U1044" s="49"/>
      <c r="V1044" s="49"/>
      <c r="W1044" s="49"/>
      <c r="X1044" s="49"/>
    </row>
    <row r="1045" spans="1:24" s="27" customFormat="1" x14ac:dyDescent="0.25">
      <c r="A1045" s="26"/>
      <c r="B1045" s="26"/>
      <c r="C1045" s="23"/>
      <c r="E1045" s="29"/>
      <c r="F1045" s="29"/>
      <c r="G1045" s="29"/>
      <c r="H1045" s="29"/>
      <c r="I1045" s="29"/>
      <c r="J1045" s="49"/>
      <c r="K1045" s="49"/>
      <c r="L1045" s="49"/>
      <c r="M1045" s="49"/>
      <c r="N1045" s="49"/>
      <c r="O1045" s="49"/>
      <c r="P1045" s="49"/>
      <c r="Q1045" s="49"/>
      <c r="R1045" s="49"/>
      <c r="S1045" s="49"/>
      <c r="T1045" s="49"/>
      <c r="U1045" s="49"/>
      <c r="V1045" s="49"/>
      <c r="W1045" s="49"/>
      <c r="X1045" s="49"/>
    </row>
    <row r="1046" spans="1:24" s="27" customFormat="1" x14ac:dyDescent="0.25">
      <c r="A1046" s="26"/>
      <c r="B1046" s="26"/>
      <c r="C1046" s="23"/>
      <c r="E1046" s="29"/>
      <c r="F1046" s="29"/>
      <c r="G1046" s="29"/>
      <c r="H1046" s="29"/>
      <c r="I1046" s="29"/>
      <c r="J1046" s="49"/>
      <c r="K1046" s="49"/>
      <c r="L1046" s="49"/>
      <c r="M1046" s="49"/>
      <c r="N1046" s="49"/>
      <c r="O1046" s="49"/>
      <c r="P1046" s="49"/>
      <c r="Q1046" s="49"/>
      <c r="R1046" s="49"/>
      <c r="S1046" s="49"/>
      <c r="T1046" s="49"/>
      <c r="U1046" s="49"/>
      <c r="V1046" s="49"/>
      <c r="W1046" s="49"/>
      <c r="X1046" s="49"/>
    </row>
    <row r="1047" spans="1:24" s="27" customFormat="1" x14ac:dyDescent="0.25">
      <c r="A1047" s="26"/>
      <c r="B1047" s="26"/>
      <c r="C1047" s="23"/>
      <c r="E1047" s="29"/>
      <c r="F1047" s="29"/>
      <c r="G1047" s="29"/>
      <c r="H1047" s="29"/>
      <c r="I1047" s="29"/>
      <c r="J1047" s="49"/>
      <c r="K1047" s="49"/>
      <c r="L1047" s="49"/>
      <c r="M1047" s="49"/>
      <c r="N1047" s="49"/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</row>
    <row r="1048" spans="1:24" s="27" customFormat="1" x14ac:dyDescent="0.25">
      <c r="A1048" s="26"/>
      <c r="B1048" s="26"/>
      <c r="C1048" s="23"/>
      <c r="E1048" s="29"/>
      <c r="F1048" s="29"/>
      <c r="G1048" s="29"/>
      <c r="H1048" s="29"/>
      <c r="I1048" s="29"/>
      <c r="J1048" s="49"/>
      <c r="K1048" s="49"/>
      <c r="L1048" s="49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</row>
    <row r="1049" spans="1:24" s="27" customFormat="1" x14ac:dyDescent="0.25">
      <c r="A1049" s="26"/>
      <c r="B1049" s="26"/>
      <c r="C1049" s="23"/>
      <c r="E1049" s="29"/>
      <c r="F1049" s="29"/>
      <c r="G1049" s="29"/>
      <c r="H1049" s="29"/>
      <c r="I1049" s="2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</row>
    <row r="1050" spans="1:24" s="27" customFormat="1" x14ac:dyDescent="0.25">
      <c r="A1050" s="26"/>
      <c r="B1050" s="26"/>
      <c r="C1050" s="23"/>
      <c r="E1050" s="29"/>
      <c r="F1050" s="29"/>
      <c r="G1050" s="29"/>
      <c r="H1050" s="29"/>
      <c r="I1050" s="2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  <c r="U1050" s="49"/>
      <c r="V1050" s="49"/>
      <c r="W1050" s="49"/>
      <c r="X1050" s="49"/>
    </row>
    <row r="1051" spans="1:24" s="27" customFormat="1" x14ac:dyDescent="0.25">
      <c r="A1051" s="26"/>
      <c r="B1051" s="26"/>
      <c r="C1051" s="23"/>
      <c r="E1051" s="29"/>
      <c r="F1051" s="29"/>
      <c r="G1051" s="29"/>
      <c r="H1051" s="29"/>
      <c r="I1051" s="2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9"/>
      <c r="T1051" s="49"/>
      <c r="U1051" s="49"/>
      <c r="V1051" s="49"/>
      <c r="W1051" s="49"/>
      <c r="X1051" s="49"/>
    </row>
    <row r="1052" spans="1:24" s="27" customFormat="1" x14ac:dyDescent="0.25">
      <c r="A1052" s="26"/>
      <c r="B1052" s="26"/>
      <c r="C1052" s="23"/>
      <c r="E1052" s="50"/>
      <c r="F1052" s="29"/>
      <c r="G1052" s="29"/>
      <c r="H1052" s="29"/>
      <c r="I1052" s="29"/>
      <c r="J1052" s="49"/>
      <c r="K1052" s="49"/>
      <c r="L1052" s="49"/>
      <c r="M1052" s="49"/>
      <c r="N1052" s="49"/>
      <c r="O1052" s="49"/>
      <c r="P1052" s="49"/>
      <c r="Q1052" s="49"/>
      <c r="R1052" s="49"/>
      <c r="S1052" s="49"/>
      <c r="T1052" s="49"/>
      <c r="U1052" s="49"/>
      <c r="V1052" s="49"/>
      <c r="W1052" s="49"/>
      <c r="X1052" s="49"/>
    </row>
    <row r="1053" spans="1:24" s="27" customFormat="1" x14ac:dyDescent="0.25">
      <c r="A1053" s="26"/>
      <c r="B1053" s="26"/>
      <c r="C1053" s="23"/>
      <c r="E1053" s="50"/>
      <c r="F1053" s="50"/>
      <c r="G1053" s="29"/>
      <c r="H1053" s="29"/>
      <c r="I1053" s="29"/>
      <c r="J1053" s="49"/>
      <c r="K1053" s="49"/>
      <c r="L1053" s="49"/>
      <c r="M1053" s="49"/>
      <c r="N1053" s="49"/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</row>
    <row r="1054" spans="1:24" s="27" customFormat="1" x14ac:dyDescent="0.25">
      <c r="A1054" s="26"/>
      <c r="B1054" s="26"/>
      <c r="C1054" s="23"/>
      <c r="E1054" s="29"/>
      <c r="F1054" s="29"/>
      <c r="G1054" s="29"/>
      <c r="H1054" s="29"/>
      <c r="I1054" s="29"/>
      <c r="J1054" s="49"/>
      <c r="K1054" s="49"/>
      <c r="L1054" s="49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</row>
    <row r="1055" spans="1:24" s="27" customFormat="1" x14ac:dyDescent="0.25">
      <c r="A1055" s="26"/>
      <c r="B1055" s="26"/>
      <c r="C1055" s="23"/>
      <c r="E1055" s="29"/>
      <c r="F1055" s="29"/>
      <c r="G1055" s="29"/>
      <c r="H1055" s="29"/>
      <c r="I1055" s="29"/>
      <c r="J1055" s="49"/>
      <c r="K1055" s="49"/>
      <c r="L1055" s="49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</row>
    <row r="1056" spans="1:24" s="27" customFormat="1" x14ac:dyDescent="0.25">
      <c r="A1056" s="26"/>
      <c r="B1056" s="26"/>
      <c r="C1056" s="23"/>
      <c r="E1056" s="29"/>
      <c r="F1056" s="29"/>
      <c r="G1056" s="29"/>
      <c r="H1056" s="29"/>
      <c r="I1056" s="29"/>
      <c r="J1056" s="49"/>
      <c r="K1056" s="49"/>
      <c r="L1056" s="49"/>
      <c r="M1056" s="49"/>
      <c r="N1056" s="49"/>
      <c r="O1056" s="49"/>
      <c r="P1056" s="49"/>
      <c r="Q1056" s="49"/>
      <c r="R1056" s="49"/>
      <c r="S1056" s="49"/>
      <c r="T1056" s="49"/>
      <c r="U1056" s="49"/>
      <c r="V1056" s="49"/>
      <c r="W1056" s="49"/>
      <c r="X1056" s="49"/>
    </row>
    <row r="1057" spans="1:24" s="27" customFormat="1" x14ac:dyDescent="0.25">
      <c r="A1057" s="26"/>
      <c r="B1057" s="26"/>
      <c r="C1057" s="23"/>
      <c r="E1057" s="29"/>
      <c r="F1057" s="29"/>
      <c r="G1057" s="29"/>
      <c r="H1057" s="29"/>
      <c r="I1057" s="29"/>
      <c r="J1057" s="49"/>
      <c r="K1057" s="49"/>
      <c r="L1057" s="49"/>
      <c r="M1057" s="49"/>
      <c r="N1057" s="49"/>
      <c r="O1057" s="49"/>
      <c r="P1057" s="49"/>
      <c r="Q1057" s="49"/>
      <c r="R1057" s="49"/>
      <c r="S1057" s="49"/>
      <c r="T1057" s="49"/>
      <c r="U1057" s="49"/>
      <c r="V1057" s="49"/>
      <c r="W1057" s="49"/>
      <c r="X1057" s="49"/>
    </row>
    <row r="1058" spans="1:24" s="27" customFormat="1" x14ac:dyDescent="0.25">
      <c r="A1058" s="26"/>
      <c r="B1058" s="26"/>
      <c r="C1058" s="23"/>
      <c r="E1058" s="29"/>
      <c r="F1058" s="50"/>
      <c r="G1058" s="29"/>
      <c r="H1058" s="29"/>
      <c r="I1058" s="29"/>
      <c r="J1058" s="49"/>
      <c r="K1058" s="49"/>
      <c r="L1058" s="49"/>
      <c r="M1058" s="49"/>
      <c r="N1058" s="49"/>
      <c r="O1058" s="49"/>
      <c r="P1058" s="49"/>
      <c r="Q1058" s="49"/>
      <c r="R1058" s="49"/>
      <c r="S1058" s="49"/>
      <c r="T1058" s="49"/>
      <c r="U1058" s="49"/>
      <c r="V1058" s="49"/>
      <c r="W1058" s="49"/>
      <c r="X1058" s="49"/>
    </row>
    <row r="1059" spans="1:24" s="27" customFormat="1" x14ac:dyDescent="0.25">
      <c r="A1059" s="26"/>
      <c r="B1059" s="26"/>
      <c r="C1059" s="23"/>
      <c r="E1059" s="29"/>
      <c r="F1059" s="29"/>
      <c r="G1059" s="29"/>
      <c r="H1059" s="29"/>
      <c r="I1059" s="29"/>
      <c r="J1059" s="49"/>
      <c r="K1059" s="49"/>
      <c r="L1059" s="49"/>
      <c r="M1059" s="49"/>
      <c r="N1059" s="49"/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</row>
    <row r="1060" spans="1:24" s="27" customFormat="1" x14ac:dyDescent="0.25">
      <c r="A1060" s="26"/>
      <c r="B1060" s="26"/>
      <c r="C1060" s="23"/>
      <c r="E1060" s="50"/>
      <c r="F1060" s="29"/>
      <c r="G1060" s="29"/>
      <c r="H1060" s="29"/>
      <c r="I1060" s="29"/>
      <c r="J1060" s="49"/>
      <c r="K1060" s="49"/>
      <c r="L1060" s="49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</row>
    <row r="1061" spans="1:24" s="27" customFormat="1" x14ac:dyDescent="0.25">
      <c r="A1061" s="26"/>
      <c r="B1061" s="26"/>
      <c r="C1061" s="23"/>
      <c r="E1061" s="29"/>
      <c r="F1061" s="29"/>
      <c r="G1061" s="29"/>
      <c r="H1061" s="29"/>
      <c r="I1061" s="29"/>
      <c r="J1061" s="49"/>
      <c r="K1061" s="49"/>
      <c r="L1061" s="49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</row>
    <row r="1062" spans="1:24" s="27" customFormat="1" x14ac:dyDescent="0.25">
      <c r="A1062" s="26"/>
      <c r="B1062" s="26"/>
      <c r="C1062" s="23"/>
      <c r="E1062" s="29"/>
      <c r="F1062" s="29"/>
      <c r="G1062" s="29"/>
      <c r="H1062" s="29"/>
      <c r="I1062" s="29"/>
      <c r="J1062" s="49"/>
      <c r="K1062" s="49"/>
      <c r="L1062" s="49"/>
      <c r="M1062" s="49"/>
      <c r="N1062" s="49"/>
      <c r="O1062" s="49"/>
      <c r="P1062" s="49"/>
      <c r="Q1062" s="49"/>
      <c r="R1062" s="49"/>
      <c r="S1062" s="49"/>
      <c r="T1062" s="49"/>
      <c r="U1062" s="49"/>
      <c r="V1062" s="49"/>
      <c r="W1062" s="49"/>
      <c r="X1062" s="49"/>
    </row>
    <row r="1063" spans="1:24" s="27" customFormat="1" x14ac:dyDescent="0.25">
      <c r="A1063" s="26"/>
      <c r="B1063" s="26"/>
      <c r="C1063" s="23"/>
      <c r="E1063" s="29"/>
      <c r="F1063" s="29"/>
      <c r="G1063" s="29"/>
      <c r="H1063" s="29"/>
      <c r="I1063" s="29"/>
      <c r="J1063" s="49"/>
      <c r="K1063" s="49"/>
      <c r="L1063" s="49"/>
      <c r="M1063" s="49"/>
      <c r="N1063" s="49"/>
      <c r="O1063" s="49"/>
      <c r="P1063" s="49"/>
      <c r="Q1063" s="49"/>
      <c r="R1063" s="49"/>
      <c r="S1063" s="49"/>
      <c r="T1063" s="49"/>
      <c r="U1063" s="49"/>
      <c r="V1063" s="49"/>
      <c r="W1063" s="49"/>
      <c r="X1063" s="49"/>
    </row>
    <row r="1064" spans="1:24" s="27" customFormat="1" x14ac:dyDescent="0.25">
      <c r="A1064" s="26"/>
      <c r="B1064" s="26"/>
      <c r="C1064" s="23"/>
      <c r="E1064" s="29"/>
      <c r="F1064" s="29"/>
      <c r="G1064" s="29"/>
      <c r="H1064" s="29"/>
      <c r="I1064" s="29"/>
      <c r="J1064" s="49"/>
      <c r="K1064" s="49"/>
      <c r="L1064" s="49"/>
      <c r="M1064" s="49"/>
      <c r="N1064" s="49"/>
      <c r="O1064" s="49"/>
      <c r="P1064" s="49"/>
      <c r="Q1064" s="49"/>
      <c r="R1064" s="49"/>
      <c r="S1064" s="49"/>
      <c r="T1064" s="49"/>
      <c r="U1064" s="49"/>
      <c r="V1064" s="49"/>
      <c r="W1064" s="49"/>
      <c r="X1064" s="49"/>
    </row>
    <row r="1065" spans="1:24" s="27" customFormat="1" x14ac:dyDescent="0.25">
      <c r="A1065" s="26"/>
      <c r="B1065" s="26"/>
      <c r="C1065" s="23"/>
      <c r="E1065" s="29"/>
      <c r="F1065" s="29"/>
      <c r="G1065" s="29"/>
      <c r="H1065" s="29"/>
      <c r="I1065" s="29"/>
      <c r="J1065" s="49"/>
      <c r="K1065" s="49"/>
      <c r="L1065" s="49"/>
      <c r="M1065" s="49"/>
      <c r="N1065" s="49"/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</row>
    <row r="1066" spans="1:24" s="27" customFormat="1" x14ac:dyDescent="0.25">
      <c r="A1066" s="26"/>
      <c r="B1066" s="26"/>
      <c r="C1066" s="23"/>
      <c r="E1066" s="29"/>
      <c r="F1066" s="29"/>
      <c r="G1066" s="29"/>
      <c r="H1066" s="29"/>
      <c r="I1066" s="29"/>
      <c r="J1066" s="49"/>
      <c r="K1066" s="49"/>
      <c r="L1066" s="49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</row>
    <row r="1067" spans="1:24" s="27" customFormat="1" x14ac:dyDescent="0.25">
      <c r="A1067" s="26"/>
      <c r="B1067" s="26"/>
      <c r="C1067" s="23"/>
      <c r="E1067" s="29"/>
      <c r="F1067" s="29"/>
      <c r="G1067" s="29"/>
      <c r="H1067" s="29"/>
      <c r="I1067" s="29"/>
      <c r="J1067" s="49"/>
      <c r="K1067" s="49"/>
      <c r="L1067" s="49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</row>
    <row r="1068" spans="1:24" s="27" customFormat="1" x14ac:dyDescent="0.25">
      <c r="A1068" s="26"/>
      <c r="B1068" s="26"/>
      <c r="C1068" s="23"/>
      <c r="E1068" s="29"/>
      <c r="F1068" s="29"/>
      <c r="G1068" s="29"/>
      <c r="H1068" s="29"/>
      <c r="I1068" s="29"/>
      <c r="J1068" s="49"/>
      <c r="K1068" s="49"/>
      <c r="L1068" s="49"/>
      <c r="M1068" s="49"/>
      <c r="N1068" s="49"/>
      <c r="O1068" s="49"/>
      <c r="P1068" s="49"/>
      <c r="Q1068" s="49"/>
      <c r="R1068" s="49"/>
      <c r="S1068" s="49"/>
      <c r="T1068" s="49"/>
      <c r="U1068" s="49"/>
      <c r="V1068" s="49"/>
      <c r="W1068" s="49"/>
      <c r="X1068" s="49"/>
    </row>
    <row r="1069" spans="1:24" s="27" customFormat="1" x14ac:dyDescent="0.25">
      <c r="A1069" s="26"/>
      <c r="B1069" s="26"/>
      <c r="C1069" s="23"/>
      <c r="E1069" s="29"/>
      <c r="F1069" s="29"/>
      <c r="G1069" s="29"/>
      <c r="H1069" s="29"/>
      <c r="I1069" s="29"/>
      <c r="J1069" s="49"/>
      <c r="K1069" s="49"/>
      <c r="L1069" s="49"/>
      <c r="M1069" s="49"/>
      <c r="N1069" s="49"/>
      <c r="O1069" s="49"/>
      <c r="P1069" s="49"/>
      <c r="Q1069" s="49"/>
      <c r="R1069" s="49"/>
      <c r="S1069" s="49"/>
      <c r="T1069" s="49"/>
      <c r="U1069" s="49"/>
      <c r="V1069" s="49"/>
      <c r="W1069" s="49"/>
      <c r="X1069" s="49"/>
    </row>
    <row r="1070" spans="1:24" s="27" customFormat="1" x14ac:dyDescent="0.25">
      <c r="A1070" s="26"/>
      <c r="B1070" s="26"/>
      <c r="C1070" s="23"/>
      <c r="E1070" s="29"/>
      <c r="F1070" s="29"/>
      <c r="G1070" s="29"/>
      <c r="H1070" s="29"/>
      <c r="I1070" s="29"/>
      <c r="J1070" s="49"/>
      <c r="K1070" s="49"/>
      <c r="L1070" s="49"/>
      <c r="M1070" s="49"/>
      <c r="N1070" s="49"/>
      <c r="O1070" s="49"/>
      <c r="P1070" s="49"/>
      <c r="Q1070" s="49"/>
      <c r="R1070" s="49"/>
      <c r="S1070" s="49"/>
      <c r="T1070" s="49"/>
      <c r="U1070" s="49"/>
      <c r="V1070" s="49"/>
      <c r="W1070" s="49"/>
      <c r="X1070" s="49"/>
    </row>
    <row r="1071" spans="1:24" s="27" customFormat="1" x14ac:dyDescent="0.25">
      <c r="A1071" s="26"/>
      <c r="B1071" s="26"/>
      <c r="C1071" s="23"/>
      <c r="E1071" s="29"/>
      <c r="F1071" s="29"/>
      <c r="G1071" s="29"/>
      <c r="H1071" s="29"/>
      <c r="I1071" s="29"/>
      <c r="J1071" s="49"/>
      <c r="K1071" s="49"/>
      <c r="L1071" s="49"/>
      <c r="M1071" s="49"/>
      <c r="N1071" s="49"/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</row>
    <row r="1072" spans="1:24" s="27" customFormat="1" x14ac:dyDescent="0.25">
      <c r="A1072" s="26"/>
      <c r="B1072" s="26"/>
      <c r="C1072" s="23"/>
      <c r="E1072" s="29"/>
      <c r="F1072" s="29"/>
      <c r="G1072" s="29"/>
      <c r="H1072" s="29"/>
      <c r="I1072" s="29"/>
      <c r="J1072" s="49"/>
      <c r="K1072" s="49"/>
      <c r="L1072" s="49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</row>
    <row r="1073" spans="1:24" s="27" customFormat="1" x14ac:dyDescent="0.25">
      <c r="A1073" s="26"/>
      <c r="B1073" s="26"/>
      <c r="C1073" s="23"/>
      <c r="E1073" s="29"/>
      <c r="F1073" s="29"/>
      <c r="G1073" s="29"/>
      <c r="H1073" s="29"/>
      <c r="I1073" s="29"/>
      <c r="J1073" s="49"/>
      <c r="K1073" s="49"/>
      <c r="L1073" s="49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</row>
    <row r="1074" spans="1:24" s="27" customFormat="1" x14ac:dyDescent="0.25">
      <c r="A1074" s="26"/>
      <c r="B1074" s="26"/>
      <c r="C1074" s="23"/>
      <c r="E1074" s="50"/>
      <c r="F1074" s="29"/>
      <c r="G1074" s="29"/>
      <c r="H1074" s="29"/>
      <c r="I1074" s="29"/>
      <c r="J1074" s="49"/>
      <c r="K1074" s="49"/>
      <c r="L1074" s="49"/>
      <c r="M1074" s="49"/>
      <c r="N1074" s="49"/>
      <c r="O1074" s="49"/>
      <c r="P1074" s="49"/>
      <c r="Q1074" s="49"/>
      <c r="R1074" s="49"/>
      <c r="S1074" s="49"/>
      <c r="T1074" s="49"/>
      <c r="U1074" s="49"/>
      <c r="V1074" s="49"/>
      <c r="W1074" s="49"/>
      <c r="X1074" s="49"/>
    </row>
    <row r="1075" spans="1:24" s="27" customFormat="1" x14ac:dyDescent="0.25">
      <c r="A1075" s="26"/>
      <c r="B1075" s="26"/>
      <c r="C1075" s="23"/>
      <c r="E1075" s="29"/>
      <c r="F1075" s="29"/>
      <c r="G1075" s="29"/>
      <c r="H1075" s="29"/>
      <c r="I1075" s="29"/>
      <c r="J1075" s="49"/>
      <c r="K1075" s="49"/>
      <c r="L1075" s="49"/>
      <c r="M1075" s="49"/>
      <c r="N1075" s="49"/>
      <c r="O1075" s="49"/>
      <c r="P1075" s="49"/>
      <c r="Q1075" s="49"/>
      <c r="R1075" s="49"/>
      <c r="S1075" s="49"/>
      <c r="T1075" s="49"/>
      <c r="U1075" s="49"/>
      <c r="V1075" s="49"/>
      <c r="W1075" s="49"/>
      <c r="X1075" s="49"/>
    </row>
    <row r="1076" spans="1:24" s="27" customFormat="1" x14ac:dyDescent="0.25">
      <c r="A1076" s="26"/>
      <c r="B1076" s="26"/>
      <c r="C1076" s="23"/>
      <c r="E1076" s="29"/>
      <c r="F1076" s="29"/>
      <c r="G1076" s="29"/>
      <c r="H1076" s="29"/>
      <c r="I1076" s="29"/>
      <c r="J1076" s="49"/>
      <c r="K1076" s="49"/>
      <c r="L1076" s="49"/>
      <c r="M1076" s="49"/>
      <c r="N1076" s="49"/>
      <c r="O1076" s="49"/>
      <c r="P1076" s="49"/>
      <c r="Q1076" s="49"/>
      <c r="R1076" s="49"/>
      <c r="S1076" s="49"/>
      <c r="T1076" s="49"/>
      <c r="U1076" s="49"/>
      <c r="V1076" s="49"/>
      <c r="W1076" s="49"/>
      <c r="X1076" s="49"/>
    </row>
    <row r="1077" spans="1:24" s="27" customFormat="1" x14ac:dyDescent="0.25">
      <c r="A1077" s="26"/>
      <c r="B1077" s="26"/>
      <c r="C1077" s="23"/>
      <c r="E1077" s="50"/>
      <c r="F1077" s="29"/>
      <c r="G1077" s="29"/>
      <c r="H1077" s="29"/>
      <c r="I1077" s="29"/>
      <c r="J1077" s="49"/>
      <c r="K1077" s="49"/>
      <c r="L1077" s="49"/>
      <c r="M1077" s="49"/>
      <c r="N1077" s="49"/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</row>
    <row r="1078" spans="1:24" s="27" customFormat="1" x14ac:dyDescent="0.25">
      <c r="A1078" s="26"/>
      <c r="B1078" s="26"/>
      <c r="C1078" s="23"/>
      <c r="E1078" s="29"/>
      <c r="F1078" s="29"/>
      <c r="G1078" s="29"/>
      <c r="H1078" s="29"/>
      <c r="I1078" s="29"/>
      <c r="J1078" s="49"/>
      <c r="K1078" s="49"/>
      <c r="L1078" s="49"/>
      <c r="M1078" s="49"/>
      <c r="N1078" s="49"/>
      <c r="O1078" s="49"/>
      <c r="P1078" s="49"/>
      <c r="Q1078" s="49"/>
      <c r="R1078" s="49"/>
      <c r="S1078" s="49"/>
      <c r="T1078" s="49"/>
      <c r="U1078" s="49"/>
      <c r="V1078" s="49"/>
      <c r="W1078" s="49"/>
      <c r="X1078" s="49"/>
    </row>
    <row r="1079" spans="1:24" s="27" customFormat="1" x14ac:dyDescent="0.25">
      <c r="A1079" s="26"/>
      <c r="B1079" s="26"/>
      <c r="C1079" s="23"/>
      <c r="E1079" s="50"/>
      <c r="F1079" s="29"/>
      <c r="G1079" s="29"/>
      <c r="H1079" s="29"/>
      <c r="I1079" s="29"/>
      <c r="J1079" s="49"/>
      <c r="K1079" s="49"/>
      <c r="L1079" s="49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</row>
    <row r="1080" spans="1:24" s="27" customFormat="1" x14ac:dyDescent="0.25">
      <c r="A1080" s="26"/>
      <c r="B1080" s="26"/>
      <c r="C1080" s="23"/>
      <c r="E1080" s="29"/>
      <c r="F1080" s="29"/>
      <c r="G1080" s="29"/>
      <c r="H1080" s="29"/>
      <c r="I1080" s="29"/>
      <c r="J1080" s="49"/>
      <c r="K1080" s="49"/>
      <c r="L1080" s="49"/>
      <c r="M1080" s="49"/>
      <c r="N1080" s="49"/>
      <c r="O1080" s="49"/>
      <c r="P1080" s="49"/>
      <c r="Q1080" s="49"/>
      <c r="R1080" s="49"/>
      <c r="S1080" s="49"/>
      <c r="T1080" s="49"/>
      <c r="U1080" s="49"/>
      <c r="V1080" s="49"/>
      <c r="W1080" s="49"/>
      <c r="X1080" s="49"/>
    </row>
    <row r="1081" spans="1:24" s="27" customFormat="1" x14ac:dyDescent="0.25">
      <c r="A1081" s="26"/>
      <c r="B1081" s="26"/>
      <c r="C1081" s="23"/>
      <c r="E1081" s="29"/>
      <c r="F1081" s="29"/>
      <c r="G1081" s="29"/>
      <c r="H1081" s="29"/>
      <c r="I1081" s="29"/>
      <c r="J1081" s="49"/>
      <c r="K1081" s="49"/>
      <c r="L1081" s="49"/>
      <c r="M1081" s="49"/>
      <c r="N1081" s="49"/>
      <c r="O1081" s="49"/>
      <c r="P1081" s="49"/>
      <c r="Q1081" s="49"/>
      <c r="R1081" s="49"/>
      <c r="S1081" s="49"/>
      <c r="T1081" s="49"/>
      <c r="U1081" s="49"/>
      <c r="V1081" s="49"/>
      <c r="W1081" s="49"/>
      <c r="X1081" s="49"/>
    </row>
    <row r="1082" spans="1:24" s="27" customFormat="1" x14ac:dyDescent="0.25">
      <c r="A1082" s="26"/>
      <c r="B1082" s="26"/>
      <c r="C1082" s="23"/>
      <c r="E1082" s="50"/>
      <c r="F1082" s="29"/>
      <c r="G1082" s="29"/>
      <c r="H1082" s="29"/>
      <c r="I1082" s="29"/>
      <c r="J1082" s="49"/>
      <c r="K1082" s="49"/>
      <c r="L1082" s="49"/>
      <c r="M1082" s="49"/>
      <c r="N1082" s="49"/>
      <c r="O1082" s="49"/>
      <c r="P1082" s="49"/>
      <c r="Q1082" s="49"/>
      <c r="R1082" s="49"/>
      <c r="S1082" s="49"/>
      <c r="T1082" s="49"/>
      <c r="U1082" s="49"/>
      <c r="V1082" s="49"/>
      <c r="W1082" s="49"/>
      <c r="X1082" s="49"/>
    </row>
    <row r="1083" spans="1:24" s="27" customFormat="1" x14ac:dyDescent="0.25">
      <c r="A1083" s="26"/>
      <c r="B1083" s="26"/>
      <c r="C1083" s="23"/>
      <c r="E1083" s="29"/>
      <c r="F1083" s="29"/>
      <c r="G1083" s="29"/>
      <c r="H1083" s="29"/>
      <c r="I1083" s="29"/>
      <c r="J1083" s="49"/>
      <c r="K1083" s="49"/>
      <c r="L1083" s="49"/>
      <c r="M1083" s="49"/>
      <c r="N1083" s="49"/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</row>
    <row r="1084" spans="1:24" s="27" customFormat="1" x14ac:dyDescent="0.25">
      <c r="A1084" s="26"/>
      <c r="B1084" s="26"/>
      <c r="C1084" s="23"/>
      <c r="E1084" s="29"/>
      <c r="F1084" s="29"/>
      <c r="G1084" s="29"/>
      <c r="H1084" s="29"/>
      <c r="I1084" s="29"/>
      <c r="J1084" s="49"/>
      <c r="K1084" s="49"/>
      <c r="L1084" s="49"/>
      <c r="M1084" s="49"/>
      <c r="N1084" s="49"/>
      <c r="O1084" s="49"/>
      <c r="P1084" s="49"/>
      <c r="Q1084" s="49"/>
      <c r="R1084" s="49"/>
      <c r="S1084" s="49"/>
      <c r="T1084" s="49"/>
      <c r="U1084" s="49"/>
      <c r="V1084" s="49"/>
      <c r="W1084" s="49"/>
      <c r="X1084" s="49"/>
    </row>
    <row r="1085" spans="1:24" s="27" customFormat="1" x14ac:dyDescent="0.25">
      <c r="A1085" s="26"/>
      <c r="B1085" s="26"/>
      <c r="C1085" s="23"/>
      <c r="E1085" s="29"/>
      <c r="F1085" s="29"/>
      <c r="G1085" s="29"/>
      <c r="H1085" s="29"/>
      <c r="I1085" s="29"/>
      <c r="J1085" s="49"/>
      <c r="K1085" s="49"/>
      <c r="L1085" s="49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</row>
    <row r="1086" spans="1:24" s="27" customFormat="1" x14ac:dyDescent="0.25">
      <c r="A1086" s="26"/>
      <c r="B1086" s="26"/>
      <c r="C1086" s="23"/>
      <c r="E1086" s="29"/>
      <c r="F1086" s="29"/>
      <c r="G1086" s="29"/>
      <c r="H1086" s="29"/>
      <c r="I1086" s="29"/>
      <c r="J1086" s="49"/>
      <c r="K1086" s="49"/>
      <c r="L1086" s="49"/>
      <c r="M1086" s="49"/>
      <c r="N1086" s="49"/>
      <c r="O1086" s="49"/>
      <c r="P1086" s="49"/>
      <c r="Q1086" s="49"/>
      <c r="R1086" s="49"/>
      <c r="S1086" s="49"/>
      <c r="T1086" s="49"/>
      <c r="U1086" s="49"/>
      <c r="V1086" s="49"/>
      <c r="W1086" s="49"/>
      <c r="X1086" s="49"/>
    </row>
    <row r="1087" spans="1:24" s="27" customFormat="1" x14ac:dyDescent="0.25">
      <c r="A1087" s="26"/>
      <c r="B1087" s="26"/>
      <c r="C1087" s="23"/>
      <c r="E1087" s="29"/>
      <c r="F1087" s="29"/>
      <c r="G1087" s="29"/>
      <c r="H1087" s="29"/>
      <c r="I1087" s="29"/>
      <c r="J1087" s="49"/>
      <c r="K1087" s="49"/>
      <c r="L1087" s="49"/>
      <c r="M1087" s="49"/>
      <c r="N1087" s="49"/>
      <c r="O1087" s="49"/>
      <c r="P1087" s="49"/>
      <c r="Q1087" s="49"/>
      <c r="R1087" s="49"/>
      <c r="S1087" s="49"/>
      <c r="T1087" s="49"/>
      <c r="U1087" s="49"/>
      <c r="V1087" s="49"/>
      <c r="W1087" s="49"/>
      <c r="X1087" s="49"/>
    </row>
    <row r="1088" spans="1:24" s="27" customFormat="1" x14ac:dyDescent="0.25">
      <c r="A1088" s="26"/>
      <c r="B1088" s="26"/>
      <c r="C1088" s="23"/>
      <c r="E1088" s="29"/>
      <c r="F1088" s="29"/>
      <c r="G1088" s="29"/>
      <c r="H1088" s="29"/>
      <c r="I1088" s="29"/>
      <c r="J1088" s="49"/>
      <c r="K1088" s="49"/>
      <c r="L1088" s="49"/>
      <c r="M1088" s="49"/>
      <c r="N1088" s="49"/>
      <c r="O1088" s="49"/>
      <c r="P1088" s="49"/>
      <c r="Q1088" s="49"/>
      <c r="R1088" s="49"/>
      <c r="S1088" s="49"/>
      <c r="T1088" s="49"/>
      <c r="U1088" s="49"/>
      <c r="V1088" s="49"/>
      <c r="W1088" s="49"/>
      <c r="X1088" s="49"/>
    </row>
    <row r="1089" spans="1:24" s="27" customFormat="1" x14ac:dyDescent="0.25">
      <c r="A1089" s="26"/>
      <c r="B1089" s="26"/>
      <c r="C1089" s="23"/>
      <c r="E1089" s="29"/>
      <c r="F1089" s="29"/>
      <c r="G1089" s="29"/>
      <c r="H1089" s="29"/>
      <c r="I1089" s="29"/>
      <c r="J1089" s="49"/>
      <c r="K1089" s="49"/>
      <c r="L1089" s="49"/>
      <c r="M1089" s="49"/>
      <c r="N1089" s="49"/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</row>
    <row r="1090" spans="1:24" s="27" customFormat="1" x14ac:dyDescent="0.25">
      <c r="A1090" s="26"/>
      <c r="B1090" s="26"/>
      <c r="C1090" s="23"/>
      <c r="E1090" s="29"/>
      <c r="F1090" s="50"/>
      <c r="G1090" s="29"/>
      <c r="H1090" s="29"/>
      <c r="I1090" s="29"/>
      <c r="J1090" s="49"/>
      <c r="K1090" s="49"/>
      <c r="L1090" s="49"/>
      <c r="M1090" s="49"/>
      <c r="N1090" s="49"/>
      <c r="O1090" s="49"/>
      <c r="P1090" s="49"/>
      <c r="Q1090" s="49"/>
      <c r="R1090" s="49"/>
      <c r="S1090" s="49"/>
      <c r="T1090" s="49"/>
      <c r="U1090" s="49"/>
      <c r="V1090" s="49"/>
      <c r="W1090" s="49"/>
      <c r="X1090" s="49"/>
    </row>
    <row r="1091" spans="1:24" s="27" customFormat="1" x14ac:dyDescent="0.25">
      <c r="A1091" s="26"/>
      <c r="B1091" s="26"/>
      <c r="C1091" s="23"/>
      <c r="E1091" s="29"/>
      <c r="F1091" s="29"/>
      <c r="G1091" s="29"/>
      <c r="H1091" s="29"/>
      <c r="I1091" s="29"/>
      <c r="J1091" s="49"/>
      <c r="K1091" s="49"/>
      <c r="L1091" s="49"/>
      <c r="M1091" s="49"/>
      <c r="N1091" s="49"/>
      <c r="O1091" s="49"/>
      <c r="P1091" s="49"/>
      <c r="Q1091" s="49"/>
      <c r="R1091" s="49"/>
      <c r="S1091" s="49"/>
      <c r="T1091" s="49"/>
      <c r="U1091" s="49"/>
      <c r="V1091" s="49"/>
      <c r="W1091" s="49"/>
      <c r="X1091" s="49"/>
    </row>
    <row r="1092" spans="1:24" s="27" customFormat="1" x14ac:dyDescent="0.25">
      <c r="A1092" s="26"/>
      <c r="B1092" s="26"/>
      <c r="C1092" s="23"/>
      <c r="E1092" s="29"/>
      <c r="F1092" s="50"/>
      <c r="G1092" s="29"/>
      <c r="H1092" s="29"/>
      <c r="I1092" s="29"/>
      <c r="J1092" s="49"/>
      <c r="K1092" s="49"/>
      <c r="L1092" s="49"/>
      <c r="M1092" s="49"/>
      <c r="N1092" s="49"/>
      <c r="O1092" s="49"/>
      <c r="P1092" s="49"/>
      <c r="Q1092" s="49"/>
      <c r="R1092" s="49"/>
      <c r="S1092" s="49"/>
      <c r="T1092" s="49"/>
      <c r="U1092" s="49"/>
      <c r="V1092" s="49"/>
      <c r="W1092" s="49"/>
      <c r="X1092" s="49"/>
    </row>
    <row r="1093" spans="1:24" s="27" customFormat="1" x14ac:dyDescent="0.25">
      <c r="A1093" s="26"/>
      <c r="B1093" s="26"/>
      <c r="C1093" s="23"/>
      <c r="E1093" s="50"/>
      <c r="F1093" s="29"/>
      <c r="G1093" s="29"/>
      <c r="H1093" s="29"/>
      <c r="I1093" s="29"/>
      <c r="J1093" s="49"/>
      <c r="K1093" s="49"/>
      <c r="L1093" s="49"/>
      <c r="M1093" s="49"/>
      <c r="N1093" s="49"/>
      <c r="O1093" s="49"/>
      <c r="P1093" s="49"/>
      <c r="Q1093" s="49"/>
      <c r="R1093" s="49"/>
      <c r="S1093" s="49"/>
      <c r="T1093" s="49"/>
      <c r="U1093" s="49"/>
      <c r="V1093" s="49"/>
      <c r="W1093" s="49"/>
      <c r="X1093" s="49"/>
    </row>
    <row r="1094" spans="1:24" s="27" customFormat="1" x14ac:dyDescent="0.25">
      <c r="A1094" s="26"/>
      <c r="B1094" s="26"/>
      <c r="C1094" s="23"/>
      <c r="E1094" s="50"/>
      <c r="F1094" s="29"/>
      <c r="G1094" s="29"/>
      <c r="H1094" s="29"/>
      <c r="I1094" s="29"/>
      <c r="J1094" s="49"/>
      <c r="K1094" s="49"/>
      <c r="L1094" s="49"/>
      <c r="M1094" s="49"/>
      <c r="N1094" s="49"/>
      <c r="O1094" s="49"/>
      <c r="P1094" s="49"/>
      <c r="Q1094" s="49"/>
      <c r="R1094" s="49"/>
      <c r="S1094" s="49"/>
      <c r="T1094" s="49"/>
      <c r="U1094" s="49"/>
      <c r="V1094" s="49"/>
      <c r="W1094" s="49"/>
      <c r="X1094" s="49"/>
    </row>
    <row r="1095" spans="1:24" s="27" customFormat="1" x14ac:dyDescent="0.25">
      <c r="A1095" s="26"/>
      <c r="B1095" s="26"/>
      <c r="C1095" s="23"/>
      <c r="E1095" s="29"/>
      <c r="F1095" s="50"/>
      <c r="G1095" s="29"/>
      <c r="H1095" s="29"/>
      <c r="I1095" s="29"/>
      <c r="J1095" s="49"/>
      <c r="K1095" s="49"/>
      <c r="L1095" s="49"/>
      <c r="M1095" s="49"/>
      <c r="N1095" s="49"/>
      <c r="O1095" s="49"/>
      <c r="P1095" s="49"/>
      <c r="Q1095" s="49"/>
      <c r="R1095" s="49"/>
      <c r="S1095" s="49"/>
      <c r="T1095" s="49"/>
      <c r="U1095" s="49"/>
      <c r="V1095" s="49"/>
      <c r="W1095" s="49"/>
      <c r="X1095" s="49"/>
    </row>
    <row r="1096" spans="1:24" s="27" customFormat="1" x14ac:dyDescent="0.25">
      <c r="A1096" s="26"/>
      <c r="B1096" s="26"/>
      <c r="C1096" s="23"/>
      <c r="E1096" s="29"/>
      <c r="F1096" s="29"/>
      <c r="G1096" s="29"/>
      <c r="H1096" s="29"/>
      <c r="I1096" s="29"/>
      <c r="J1096" s="49"/>
      <c r="K1096" s="49"/>
      <c r="L1096" s="49"/>
      <c r="M1096" s="49"/>
      <c r="N1096" s="49"/>
      <c r="O1096" s="49"/>
      <c r="P1096" s="49"/>
      <c r="Q1096" s="49"/>
      <c r="R1096" s="49"/>
      <c r="S1096" s="49"/>
      <c r="T1096" s="49"/>
      <c r="U1096" s="49"/>
      <c r="V1096" s="49"/>
      <c r="W1096" s="49"/>
      <c r="X1096" s="49"/>
    </row>
    <row r="1097" spans="1:24" s="27" customFormat="1" x14ac:dyDescent="0.25">
      <c r="A1097" s="26"/>
      <c r="B1097" s="26"/>
      <c r="C1097" s="23"/>
      <c r="E1097" s="50"/>
      <c r="F1097" s="29"/>
      <c r="G1097" s="29"/>
      <c r="H1097" s="29"/>
      <c r="I1097" s="29"/>
      <c r="J1097" s="49"/>
      <c r="K1097" s="49"/>
      <c r="L1097" s="49"/>
      <c r="M1097" s="49"/>
      <c r="N1097" s="49"/>
      <c r="O1097" s="49"/>
      <c r="P1097" s="49"/>
      <c r="Q1097" s="49"/>
      <c r="R1097" s="49"/>
      <c r="S1097" s="49"/>
      <c r="T1097" s="49"/>
      <c r="U1097" s="49"/>
      <c r="V1097" s="49"/>
      <c r="W1097" s="49"/>
      <c r="X1097" s="49"/>
    </row>
    <row r="1098" spans="1:24" s="27" customFormat="1" x14ac:dyDescent="0.25">
      <c r="A1098" s="26"/>
      <c r="B1098" s="26"/>
      <c r="C1098" s="23"/>
      <c r="E1098" s="29"/>
      <c r="F1098" s="50"/>
      <c r="G1098" s="29"/>
      <c r="H1098" s="29"/>
      <c r="I1098" s="29"/>
      <c r="J1098" s="49"/>
      <c r="K1098" s="49"/>
      <c r="L1098" s="49"/>
      <c r="M1098" s="49"/>
      <c r="N1098" s="49"/>
      <c r="O1098" s="49"/>
      <c r="P1098" s="49"/>
      <c r="Q1098" s="49"/>
      <c r="R1098" s="49"/>
      <c r="S1098" s="49"/>
      <c r="T1098" s="49"/>
      <c r="U1098" s="49"/>
      <c r="V1098" s="49"/>
      <c r="W1098" s="49"/>
      <c r="X1098" s="49"/>
    </row>
    <row r="1099" spans="1:24" s="27" customFormat="1" x14ac:dyDescent="0.25">
      <c r="A1099" s="26"/>
      <c r="B1099" s="26"/>
      <c r="C1099" s="23"/>
      <c r="E1099" s="29"/>
      <c r="F1099" s="29"/>
      <c r="G1099" s="29"/>
      <c r="H1099" s="29"/>
      <c r="I1099" s="29"/>
      <c r="J1099" s="49"/>
      <c r="K1099" s="49"/>
      <c r="L1099" s="49"/>
      <c r="M1099" s="49"/>
      <c r="N1099" s="49"/>
      <c r="O1099" s="49"/>
      <c r="P1099" s="49"/>
      <c r="Q1099" s="49"/>
      <c r="R1099" s="49"/>
      <c r="S1099" s="49"/>
      <c r="T1099" s="49"/>
      <c r="U1099" s="49"/>
      <c r="V1099" s="49"/>
      <c r="W1099" s="49"/>
      <c r="X1099" s="49"/>
    </row>
    <row r="1100" spans="1:24" s="27" customFormat="1" x14ac:dyDescent="0.25">
      <c r="A1100" s="26"/>
      <c r="B1100" s="26"/>
      <c r="C1100" s="23"/>
      <c r="E1100" s="29"/>
      <c r="F1100" s="29"/>
      <c r="G1100" s="29"/>
      <c r="H1100" s="29"/>
      <c r="I1100" s="29"/>
      <c r="J1100" s="49"/>
      <c r="K1100" s="49"/>
      <c r="L1100" s="49"/>
      <c r="M1100" s="49"/>
      <c r="N1100" s="49"/>
      <c r="O1100" s="49"/>
      <c r="P1100" s="49"/>
      <c r="Q1100" s="49"/>
      <c r="R1100" s="49"/>
      <c r="S1100" s="49"/>
      <c r="T1100" s="49"/>
      <c r="U1100" s="49"/>
      <c r="V1100" s="49"/>
      <c r="W1100" s="49"/>
      <c r="X1100" s="49"/>
    </row>
    <row r="1101" spans="1:24" s="27" customFormat="1" x14ac:dyDescent="0.25">
      <c r="A1101" s="26"/>
      <c r="B1101" s="26"/>
      <c r="C1101" s="23"/>
      <c r="E1101" s="29"/>
      <c r="F1101" s="29"/>
      <c r="G1101" s="29"/>
      <c r="H1101" s="29"/>
      <c r="I1101" s="29"/>
      <c r="J1101" s="49"/>
      <c r="K1101" s="49"/>
      <c r="L1101" s="49"/>
      <c r="M1101" s="49"/>
      <c r="N1101" s="49"/>
      <c r="O1101" s="49"/>
      <c r="P1101" s="49"/>
      <c r="Q1101" s="49"/>
      <c r="R1101" s="49"/>
      <c r="S1101" s="49"/>
      <c r="T1101" s="49"/>
      <c r="U1101" s="49"/>
      <c r="V1101" s="49"/>
      <c r="W1101" s="49"/>
      <c r="X1101" s="49"/>
    </row>
    <row r="1102" spans="1:24" s="27" customFormat="1" x14ac:dyDescent="0.25">
      <c r="A1102" s="26"/>
      <c r="B1102" s="26"/>
      <c r="C1102" s="23"/>
      <c r="E1102" s="29"/>
      <c r="F1102" s="29"/>
      <c r="G1102" s="29"/>
      <c r="H1102" s="29"/>
      <c r="I1102" s="29"/>
      <c r="J1102" s="49"/>
      <c r="K1102" s="49"/>
      <c r="L1102" s="49"/>
      <c r="M1102" s="49"/>
      <c r="N1102" s="49"/>
      <c r="O1102" s="49"/>
      <c r="P1102" s="49"/>
      <c r="Q1102" s="49"/>
      <c r="R1102" s="49"/>
      <c r="S1102" s="49"/>
      <c r="T1102" s="49"/>
      <c r="U1102" s="49"/>
      <c r="V1102" s="49"/>
      <c r="W1102" s="49"/>
      <c r="X1102" s="49"/>
    </row>
    <row r="1103" spans="1:24" s="27" customFormat="1" x14ac:dyDescent="0.25">
      <c r="A1103" s="26"/>
      <c r="B1103" s="26"/>
      <c r="C1103" s="23"/>
      <c r="E1103" s="29"/>
      <c r="F1103" s="29"/>
      <c r="G1103" s="29"/>
      <c r="H1103" s="29"/>
      <c r="I1103" s="29"/>
      <c r="J1103" s="49"/>
      <c r="K1103" s="49"/>
      <c r="L1103" s="49"/>
      <c r="M1103" s="49"/>
      <c r="N1103" s="49"/>
      <c r="O1103" s="49"/>
      <c r="P1103" s="49"/>
      <c r="Q1103" s="49"/>
      <c r="R1103" s="49"/>
      <c r="S1103" s="49"/>
      <c r="T1103" s="49"/>
      <c r="U1103" s="49"/>
      <c r="V1103" s="49"/>
      <c r="W1103" s="49"/>
      <c r="X1103" s="49"/>
    </row>
    <row r="1104" spans="1:24" s="27" customFormat="1" x14ac:dyDescent="0.25">
      <c r="A1104" s="26"/>
      <c r="B1104" s="26"/>
      <c r="C1104" s="23"/>
      <c r="E1104" s="29"/>
      <c r="F1104" s="29"/>
      <c r="G1104" s="29"/>
      <c r="H1104" s="29"/>
      <c r="I1104" s="29"/>
      <c r="J1104" s="49"/>
      <c r="K1104" s="49"/>
      <c r="L1104" s="49"/>
      <c r="M1104" s="49"/>
      <c r="N1104" s="49"/>
      <c r="O1104" s="49"/>
      <c r="P1104" s="49"/>
      <c r="Q1104" s="49"/>
      <c r="R1104" s="49"/>
      <c r="S1104" s="49"/>
      <c r="T1104" s="49"/>
      <c r="U1104" s="49"/>
      <c r="V1104" s="49"/>
      <c r="W1104" s="49"/>
      <c r="X1104" s="49"/>
    </row>
    <row r="1105" spans="1:24" s="27" customFormat="1" x14ac:dyDescent="0.25">
      <c r="A1105" s="26"/>
      <c r="B1105" s="26"/>
      <c r="C1105" s="23"/>
      <c r="E1105" s="29"/>
      <c r="F1105" s="29"/>
      <c r="G1105" s="29"/>
      <c r="H1105" s="29"/>
      <c r="I1105" s="29"/>
      <c r="J1105" s="49"/>
      <c r="K1105" s="49"/>
      <c r="L1105" s="49"/>
      <c r="M1105" s="49"/>
      <c r="N1105" s="49"/>
      <c r="O1105" s="49"/>
      <c r="P1105" s="49"/>
      <c r="Q1105" s="49"/>
      <c r="R1105" s="49"/>
      <c r="S1105" s="49"/>
      <c r="T1105" s="49"/>
      <c r="U1105" s="49"/>
      <c r="V1105" s="49"/>
      <c r="W1105" s="49"/>
      <c r="X1105" s="49"/>
    </row>
    <row r="1106" spans="1:24" s="27" customFormat="1" x14ac:dyDescent="0.25">
      <c r="A1106" s="26"/>
      <c r="B1106" s="26"/>
      <c r="C1106" s="23"/>
      <c r="E1106" s="29"/>
      <c r="F1106" s="29"/>
      <c r="G1106" s="29"/>
      <c r="H1106" s="29"/>
      <c r="I1106" s="29"/>
      <c r="J1106" s="49"/>
      <c r="K1106" s="49"/>
      <c r="L1106" s="49"/>
      <c r="M1106" s="49"/>
      <c r="N1106" s="49"/>
      <c r="O1106" s="49"/>
      <c r="P1106" s="49"/>
      <c r="Q1106" s="49"/>
      <c r="R1106" s="49"/>
      <c r="S1106" s="49"/>
      <c r="T1106" s="49"/>
      <c r="U1106" s="49"/>
      <c r="V1106" s="49"/>
      <c r="W1106" s="49"/>
      <c r="X1106" s="49"/>
    </row>
    <row r="1107" spans="1:24" s="27" customFormat="1" x14ac:dyDescent="0.25">
      <c r="A1107" s="26"/>
      <c r="B1107" s="26"/>
      <c r="C1107" s="23"/>
      <c r="E1107" s="29"/>
      <c r="F1107" s="29"/>
      <c r="G1107" s="29"/>
      <c r="H1107" s="29"/>
      <c r="I1107" s="29"/>
      <c r="J1107" s="49"/>
      <c r="K1107" s="49"/>
      <c r="L1107" s="49"/>
      <c r="M1107" s="49"/>
      <c r="N1107" s="49"/>
      <c r="O1107" s="49"/>
      <c r="P1107" s="49"/>
      <c r="Q1107" s="49"/>
      <c r="R1107" s="49"/>
      <c r="S1107" s="49"/>
      <c r="T1107" s="49"/>
      <c r="U1107" s="49"/>
      <c r="V1107" s="49"/>
      <c r="W1107" s="49"/>
      <c r="X1107" s="49"/>
    </row>
    <row r="1108" spans="1:24" s="27" customFormat="1" x14ac:dyDescent="0.25">
      <c r="A1108" s="26"/>
      <c r="B1108" s="26"/>
      <c r="C1108" s="23"/>
      <c r="E1108" s="29"/>
      <c r="F1108" s="50"/>
      <c r="G1108" s="29"/>
      <c r="H1108" s="29"/>
      <c r="I1108" s="29"/>
      <c r="J1108" s="49"/>
      <c r="K1108" s="49"/>
      <c r="L1108" s="49"/>
      <c r="M1108" s="49"/>
      <c r="N1108" s="49"/>
      <c r="O1108" s="49"/>
      <c r="P1108" s="49"/>
      <c r="Q1108" s="49"/>
      <c r="R1108" s="49"/>
      <c r="S1108" s="49"/>
      <c r="T1108" s="49"/>
      <c r="U1108" s="49"/>
      <c r="V1108" s="49"/>
      <c r="W1108" s="49"/>
      <c r="X1108" s="49"/>
    </row>
    <row r="1109" spans="1:24" s="27" customFormat="1" x14ac:dyDescent="0.25">
      <c r="A1109" s="26"/>
      <c r="B1109" s="26"/>
      <c r="C1109" s="23"/>
      <c r="E1109" s="29"/>
      <c r="F1109" s="29"/>
      <c r="G1109" s="29"/>
      <c r="H1109" s="29"/>
      <c r="I1109" s="29"/>
      <c r="J1109" s="49"/>
      <c r="K1109" s="49"/>
      <c r="L1109" s="49"/>
      <c r="M1109" s="49"/>
      <c r="N1109" s="49"/>
      <c r="O1109" s="49"/>
      <c r="P1109" s="49"/>
      <c r="Q1109" s="49"/>
      <c r="R1109" s="49"/>
      <c r="S1109" s="49"/>
      <c r="T1109" s="49"/>
      <c r="U1109" s="49"/>
      <c r="V1109" s="49"/>
      <c r="W1109" s="49"/>
      <c r="X1109" s="49"/>
    </row>
    <row r="1110" spans="1:24" s="27" customFormat="1" x14ac:dyDescent="0.25">
      <c r="A1110" s="26"/>
      <c r="B1110" s="26"/>
      <c r="C1110" s="23"/>
      <c r="E1110" s="29"/>
      <c r="F1110" s="29"/>
      <c r="G1110" s="29"/>
      <c r="H1110" s="29"/>
      <c r="I1110" s="29"/>
      <c r="J1110" s="49"/>
      <c r="K1110" s="49"/>
      <c r="L1110" s="49"/>
      <c r="M1110" s="49"/>
      <c r="N1110" s="49"/>
      <c r="O1110" s="49"/>
      <c r="P1110" s="49"/>
      <c r="Q1110" s="49"/>
      <c r="R1110" s="49"/>
      <c r="S1110" s="49"/>
      <c r="T1110" s="49"/>
      <c r="U1110" s="49"/>
      <c r="V1110" s="49"/>
      <c r="W1110" s="49"/>
      <c r="X1110" s="49"/>
    </row>
    <row r="1111" spans="1:24" s="27" customFormat="1" x14ac:dyDescent="0.25">
      <c r="A1111" s="26"/>
      <c r="B1111" s="26"/>
      <c r="C1111" s="23"/>
      <c r="E1111" s="29"/>
      <c r="F1111" s="29"/>
      <c r="G1111" s="29"/>
      <c r="H1111" s="29"/>
      <c r="I1111" s="29"/>
      <c r="J1111" s="49"/>
      <c r="K1111" s="49"/>
      <c r="L1111" s="49"/>
      <c r="M1111" s="49"/>
      <c r="N1111" s="49"/>
      <c r="O1111" s="49"/>
      <c r="P1111" s="49"/>
      <c r="Q1111" s="49"/>
      <c r="R1111" s="49"/>
      <c r="S1111" s="49"/>
      <c r="T1111" s="49"/>
      <c r="U1111" s="49"/>
      <c r="V1111" s="49"/>
      <c r="W1111" s="49"/>
      <c r="X1111" s="49"/>
    </row>
    <row r="1112" spans="1:24" s="27" customFormat="1" x14ac:dyDescent="0.25">
      <c r="A1112" s="26"/>
      <c r="B1112" s="26"/>
      <c r="C1112" s="23"/>
      <c r="E1112" s="29"/>
      <c r="F1112" s="29"/>
      <c r="G1112" s="29"/>
      <c r="H1112" s="29"/>
      <c r="I1112" s="29"/>
      <c r="J1112" s="49"/>
      <c r="K1112" s="49"/>
      <c r="L1112" s="49"/>
      <c r="M1112" s="49"/>
      <c r="N1112" s="49"/>
      <c r="O1112" s="49"/>
      <c r="P1112" s="49"/>
      <c r="Q1112" s="49"/>
      <c r="R1112" s="49"/>
      <c r="S1112" s="49"/>
      <c r="T1112" s="49"/>
      <c r="U1112" s="49"/>
      <c r="V1112" s="49"/>
      <c r="W1112" s="49"/>
      <c r="X1112" s="49"/>
    </row>
    <row r="1113" spans="1:24" s="27" customFormat="1" x14ac:dyDescent="0.25">
      <c r="A1113" s="26"/>
      <c r="B1113" s="26"/>
      <c r="C1113" s="23"/>
      <c r="E1113" s="29"/>
      <c r="F1113" s="29"/>
      <c r="G1113" s="29"/>
      <c r="H1113" s="29"/>
      <c r="I1113" s="29"/>
      <c r="J1113" s="49"/>
      <c r="K1113" s="49"/>
      <c r="L1113" s="49"/>
      <c r="M1113" s="49"/>
      <c r="N1113" s="49"/>
      <c r="O1113" s="49"/>
      <c r="P1113" s="49"/>
      <c r="Q1113" s="49"/>
      <c r="R1113" s="49"/>
      <c r="S1113" s="49"/>
      <c r="T1113" s="49"/>
      <c r="U1113" s="49"/>
      <c r="V1113" s="49"/>
      <c r="W1113" s="49"/>
      <c r="X1113" s="49"/>
    </row>
    <row r="1114" spans="1:24" s="27" customFormat="1" x14ac:dyDescent="0.25">
      <c r="A1114" s="26"/>
      <c r="B1114" s="26"/>
      <c r="C1114" s="23"/>
      <c r="E1114" s="29"/>
      <c r="F1114" s="29"/>
      <c r="G1114" s="29"/>
      <c r="H1114" s="29"/>
      <c r="I1114" s="29"/>
      <c r="J1114" s="49"/>
      <c r="K1114" s="49"/>
      <c r="L1114" s="49"/>
      <c r="M1114" s="49"/>
      <c r="N1114" s="49"/>
      <c r="O1114" s="49"/>
      <c r="P1114" s="49"/>
      <c r="Q1114" s="49"/>
      <c r="R1114" s="49"/>
      <c r="S1114" s="49"/>
      <c r="T1114" s="49"/>
      <c r="U1114" s="49"/>
      <c r="V1114" s="49"/>
      <c r="W1114" s="49"/>
      <c r="X1114" s="49"/>
    </row>
    <row r="1115" spans="1:24" s="27" customFormat="1" x14ac:dyDescent="0.25">
      <c r="A1115" s="26"/>
      <c r="B1115" s="26"/>
      <c r="C1115" s="23"/>
      <c r="E1115" s="29"/>
      <c r="F1115" s="29"/>
      <c r="G1115" s="29"/>
      <c r="H1115" s="29"/>
      <c r="I1115" s="29"/>
      <c r="J1115" s="49"/>
      <c r="K1115" s="49"/>
      <c r="L1115" s="49"/>
      <c r="M1115" s="49"/>
      <c r="N1115" s="49"/>
      <c r="O1115" s="49"/>
      <c r="P1115" s="49"/>
      <c r="Q1115" s="49"/>
      <c r="R1115" s="49"/>
      <c r="S1115" s="49"/>
      <c r="T1115" s="49"/>
      <c r="U1115" s="49"/>
      <c r="V1115" s="49"/>
      <c r="W1115" s="49"/>
      <c r="X1115" s="49"/>
    </row>
    <row r="1116" spans="1:24" s="27" customFormat="1" x14ac:dyDescent="0.25">
      <c r="A1116" s="26"/>
      <c r="B1116" s="26"/>
      <c r="C1116" s="23"/>
      <c r="E1116" s="29"/>
      <c r="F1116" s="29"/>
      <c r="G1116" s="29"/>
      <c r="H1116" s="29"/>
      <c r="I1116" s="29"/>
      <c r="J1116" s="49"/>
      <c r="K1116" s="49"/>
      <c r="L1116" s="49"/>
      <c r="M1116" s="49"/>
      <c r="N1116" s="49"/>
      <c r="O1116" s="49"/>
      <c r="P1116" s="49"/>
      <c r="Q1116" s="49"/>
      <c r="R1116" s="49"/>
      <c r="S1116" s="49"/>
      <c r="T1116" s="49"/>
      <c r="U1116" s="49"/>
      <c r="V1116" s="49"/>
      <c r="W1116" s="49"/>
      <c r="X1116" s="49"/>
    </row>
    <row r="1117" spans="1:24" s="27" customFormat="1" x14ac:dyDescent="0.25">
      <c r="A1117" s="26"/>
      <c r="B1117" s="26"/>
      <c r="C1117" s="23"/>
      <c r="E1117" s="29"/>
      <c r="F1117" s="29"/>
      <c r="G1117" s="29"/>
      <c r="H1117" s="29"/>
      <c r="I1117" s="29"/>
      <c r="J1117" s="49"/>
      <c r="K1117" s="49"/>
      <c r="L1117" s="49"/>
      <c r="M1117" s="49"/>
      <c r="N1117" s="49"/>
      <c r="O1117" s="49"/>
      <c r="P1117" s="49"/>
      <c r="Q1117" s="49"/>
      <c r="R1117" s="49"/>
      <c r="S1117" s="49"/>
      <c r="T1117" s="49"/>
      <c r="U1117" s="49"/>
      <c r="V1117" s="49"/>
      <c r="W1117" s="49"/>
      <c r="X1117" s="49"/>
    </row>
    <row r="1118" spans="1:24" s="27" customFormat="1" x14ac:dyDescent="0.25">
      <c r="A1118" s="26"/>
      <c r="B1118" s="26"/>
      <c r="C1118" s="23"/>
      <c r="E1118" s="29"/>
      <c r="F1118" s="29"/>
      <c r="G1118" s="29"/>
      <c r="H1118" s="29"/>
      <c r="I1118" s="29"/>
      <c r="J1118" s="49"/>
      <c r="K1118" s="49"/>
      <c r="L1118" s="49"/>
      <c r="M1118" s="49"/>
      <c r="N1118" s="49"/>
      <c r="O1118" s="49"/>
      <c r="P1118" s="49"/>
      <c r="Q1118" s="49"/>
      <c r="R1118" s="49"/>
      <c r="S1118" s="49"/>
      <c r="T1118" s="49"/>
      <c r="U1118" s="49"/>
      <c r="V1118" s="49"/>
      <c r="W1118" s="49"/>
      <c r="X1118" s="49"/>
    </row>
    <row r="1119" spans="1:24" s="27" customFormat="1" x14ac:dyDescent="0.25">
      <c r="A1119" s="26"/>
      <c r="B1119" s="26"/>
      <c r="C1119" s="23"/>
      <c r="E1119" s="29"/>
      <c r="F1119" s="29"/>
      <c r="G1119" s="29"/>
      <c r="H1119" s="29"/>
      <c r="I1119" s="29"/>
      <c r="J1119" s="49"/>
      <c r="K1119" s="49"/>
      <c r="L1119" s="49"/>
      <c r="M1119" s="49"/>
      <c r="N1119" s="49"/>
      <c r="O1119" s="49"/>
      <c r="P1119" s="49"/>
      <c r="Q1119" s="49"/>
      <c r="R1119" s="49"/>
      <c r="S1119" s="49"/>
      <c r="T1119" s="49"/>
      <c r="U1119" s="49"/>
      <c r="V1119" s="49"/>
      <c r="W1119" s="49"/>
      <c r="X1119" s="49"/>
    </row>
    <row r="1120" spans="1:24" s="27" customFormat="1" x14ac:dyDescent="0.25">
      <c r="A1120" s="26"/>
      <c r="B1120" s="26"/>
      <c r="C1120" s="23"/>
      <c r="E1120" s="29"/>
      <c r="F1120" s="29"/>
      <c r="G1120" s="29"/>
      <c r="H1120" s="29"/>
      <c r="I1120" s="29"/>
      <c r="J1120" s="49"/>
      <c r="K1120" s="49"/>
      <c r="L1120" s="49"/>
      <c r="M1120" s="49"/>
      <c r="N1120" s="49"/>
      <c r="O1120" s="49"/>
      <c r="P1120" s="49"/>
      <c r="Q1120" s="49"/>
      <c r="R1120" s="49"/>
      <c r="S1120" s="49"/>
      <c r="T1120" s="49"/>
      <c r="U1120" s="49"/>
      <c r="V1120" s="49"/>
      <c r="W1120" s="49"/>
      <c r="X1120" s="49"/>
    </row>
    <row r="1121" spans="1:24" s="27" customFormat="1" x14ac:dyDescent="0.25">
      <c r="A1121" s="26"/>
      <c r="B1121" s="26"/>
      <c r="C1121" s="23"/>
      <c r="E1121" s="29"/>
      <c r="F1121" s="29"/>
      <c r="G1121" s="29"/>
      <c r="H1121" s="29"/>
      <c r="I1121" s="29"/>
      <c r="J1121" s="49"/>
      <c r="K1121" s="49"/>
      <c r="L1121" s="49"/>
      <c r="M1121" s="49"/>
      <c r="N1121" s="49"/>
      <c r="O1121" s="49"/>
      <c r="P1121" s="49"/>
      <c r="Q1121" s="49"/>
      <c r="R1121" s="49"/>
      <c r="S1121" s="49"/>
      <c r="T1121" s="49"/>
      <c r="U1121" s="49"/>
      <c r="V1121" s="49"/>
      <c r="W1121" s="49"/>
      <c r="X1121" s="49"/>
    </row>
    <row r="1122" spans="1:24" s="27" customFormat="1" x14ac:dyDescent="0.25">
      <c r="A1122" s="26"/>
      <c r="B1122" s="26"/>
      <c r="C1122" s="23"/>
      <c r="E1122" s="29"/>
      <c r="F1122" s="29"/>
      <c r="G1122" s="29"/>
      <c r="H1122" s="29"/>
      <c r="I1122" s="29"/>
      <c r="J1122" s="49"/>
      <c r="K1122" s="49"/>
      <c r="L1122" s="49"/>
      <c r="M1122" s="49"/>
      <c r="N1122" s="49"/>
      <c r="O1122" s="49"/>
      <c r="P1122" s="49"/>
      <c r="Q1122" s="49"/>
      <c r="R1122" s="49"/>
      <c r="S1122" s="49"/>
      <c r="T1122" s="49"/>
      <c r="U1122" s="49"/>
      <c r="V1122" s="49"/>
      <c r="W1122" s="49"/>
      <c r="X1122" s="49"/>
    </row>
    <row r="1123" spans="1:24" s="27" customFormat="1" x14ac:dyDescent="0.25">
      <c r="A1123" s="26"/>
      <c r="B1123" s="26"/>
      <c r="C1123" s="23"/>
      <c r="E1123" s="29"/>
      <c r="F1123" s="29"/>
      <c r="G1123" s="29"/>
      <c r="H1123" s="29"/>
      <c r="I1123" s="29"/>
      <c r="J1123" s="49"/>
      <c r="K1123" s="49"/>
      <c r="L1123" s="49"/>
      <c r="M1123" s="49"/>
      <c r="N1123" s="49"/>
      <c r="O1123" s="49"/>
      <c r="P1123" s="49"/>
      <c r="Q1123" s="49"/>
      <c r="R1123" s="49"/>
      <c r="S1123" s="49"/>
      <c r="T1123" s="49"/>
      <c r="U1123" s="49"/>
      <c r="V1123" s="49"/>
      <c r="W1123" s="49"/>
      <c r="X1123" s="49"/>
    </row>
    <row r="1124" spans="1:24" s="27" customFormat="1" x14ac:dyDescent="0.25">
      <c r="A1124" s="26"/>
      <c r="B1124" s="26"/>
      <c r="C1124" s="23"/>
      <c r="E1124" s="29"/>
      <c r="F1124" s="29"/>
      <c r="G1124" s="29"/>
      <c r="H1124" s="29"/>
      <c r="I1124" s="29"/>
      <c r="J1124" s="49"/>
      <c r="K1124" s="49"/>
      <c r="L1124" s="49"/>
      <c r="M1124" s="49"/>
      <c r="N1124" s="49"/>
      <c r="O1124" s="49"/>
      <c r="P1124" s="49"/>
      <c r="Q1124" s="49"/>
      <c r="R1124" s="49"/>
      <c r="S1124" s="49"/>
      <c r="T1124" s="49"/>
      <c r="U1124" s="49"/>
      <c r="V1124" s="49"/>
      <c r="W1124" s="49"/>
      <c r="X1124" s="49"/>
    </row>
    <row r="1125" spans="1:24" s="27" customFormat="1" x14ac:dyDescent="0.25">
      <c r="A1125" s="26"/>
      <c r="B1125" s="26"/>
      <c r="C1125" s="23"/>
      <c r="E1125" s="29"/>
      <c r="F1125" s="29"/>
      <c r="G1125" s="29"/>
      <c r="H1125" s="29"/>
      <c r="I1125" s="29"/>
      <c r="J1125" s="49"/>
      <c r="K1125" s="49"/>
      <c r="L1125" s="49"/>
      <c r="M1125" s="49"/>
      <c r="N1125" s="49"/>
      <c r="O1125" s="49"/>
      <c r="P1125" s="49"/>
      <c r="Q1125" s="49"/>
      <c r="R1125" s="49"/>
      <c r="S1125" s="49"/>
      <c r="T1125" s="49"/>
      <c r="U1125" s="49"/>
      <c r="V1125" s="49"/>
      <c r="W1125" s="49"/>
      <c r="X1125" s="49"/>
    </row>
    <row r="1126" spans="1:24" s="27" customFormat="1" x14ac:dyDescent="0.25">
      <c r="A1126" s="26"/>
      <c r="B1126" s="26"/>
      <c r="C1126" s="23"/>
      <c r="E1126" s="29"/>
      <c r="F1126" s="50"/>
      <c r="G1126" s="29"/>
      <c r="H1126" s="29"/>
      <c r="I1126" s="29"/>
      <c r="J1126" s="49"/>
      <c r="K1126" s="49"/>
      <c r="L1126" s="49"/>
      <c r="M1126" s="49"/>
      <c r="N1126" s="49"/>
      <c r="O1126" s="49"/>
      <c r="P1126" s="49"/>
      <c r="Q1126" s="49"/>
      <c r="R1126" s="49"/>
      <c r="S1126" s="49"/>
      <c r="T1126" s="49"/>
      <c r="U1126" s="49"/>
      <c r="V1126" s="49"/>
      <c r="W1126" s="49"/>
      <c r="X1126" s="49"/>
    </row>
    <row r="1127" spans="1:24" s="27" customFormat="1" x14ac:dyDescent="0.25">
      <c r="A1127" s="26"/>
      <c r="B1127" s="26"/>
      <c r="C1127" s="23"/>
      <c r="E1127" s="29"/>
      <c r="F1127" s="29"/>
      <c r="G1127" s="29"/>
      <c r="H1127" s="29"/>
      <c r="I1127" s="29"/>
      <c r="J1127" s="49"/>
      <c r="K1127" s="49"/>
      <c r="L1127" s="49"/>
      <c r="M1127" s="49"/>
      <c r="N1127" s="49"/>
      <c r="O1127" s="49"/>
      <c r="P1127" s="49"/>
      <c r="Q1127" s="49"/>
      <c r="R1127" s="49"/>
      <c r="S1127" s="49"/>
      <c r="T1127" s="49"/>
      <c r="U1127" s="49"/>
      <c r="V1127" s="49"/>
      <c r="W1127" s="49"/>
      <c r="X1127" s="49"/>
    </row>
    <row r="1128" spans="1:24" s="27" customFormat="1" x14ac:dyDescent="0.25">
      <c r="A1128" s="26"/>
      <c r="B1128" s="26"/>
      <c r="C1128" s="23"/>
      <c r="E1128" s="29"/>
      <c r="F1128" s="29"/>
      <c r="G1128" s="29"/>
      <c r="H1128" s="29"/>
      <c r="I1128" s="29"/>
      <c r="J1128" s="49"/>
      <c r="K1128" s="49"/>
      <c r="L1128" s="49"/>
      <c r="M1128" s="49"/>
      <c r="N1128" s="49"/>
      <c r="O1128" s="49"/>
      <c r="P1128" s="49"/>
      <c r="Q1128" s="49"/>
      <c r="R1128" s="49"/>
      <c r="S1128" s="49"/>
      <c r="T1128" s="49"/>
      <c r="U1128" s="49"/>
      <c r="V1128" s="49"/>
      <c r="W1128" s="49"/>
      <c r="X1128" s="49"/>
    </row>
    <row r="1129" spans="1:24" s="27" customFormat="1" x14ac:dyDescent="0.25">
      <c r="A1129" s="26"/>
      <c r="B1129" s="26"/>
      <c r="C1129" s="23"/>
      <c r="E1129" s="29"/>
      <c r="F1129" s="29"/>
      <c r="G1129" s="29"/>
      <c r="H1129" s="29"/>
      <c r="I1129" s="29"/>
      <c r="J1129" s="49"/>
      <c r="K1129" s="49"/>
      <c r="L1129" s="49"/>
      <c r="M1129" s="49"/>
      <c r="N1129" s="49"/>
      <c r="O1129" s="49"/>
      <c r="P1129" s="49"/>
      <c r="Q1129" s="49"/>
      <c r="R1129" s="49"/>
      <c r="S1129" s="49"/>
      <c r="T1129" s="49"/>
      <c r="U1129" s="49"/>
      <c r="V1129" s="49"/>
      <c r="W1129" s="49"/>
      <c r="X1129" s="49"/>
    </row>
    <row r="1130" spans="1:24" s="27" customFormat="1" x14ac:dyDescent="0.25">
      <c r="A1130" s="26"/>
      <c r="B1130" s="26"/>
      <c r="C1130" s="23"/>
      <c r="E1130" s="50"/>
      <c r="F1130" s="29"/>
      <c r="G1130" s="29"/>
      <c r="H1130" s="29"/>
      <c r="I1130" s="29"/>
      <c r="J1130" s="49"/>
      <c r="K1130" s="49"/>
      <c r="L1130" s="49"/>
      <c r="M1130" s="49"/>
      <c r="N1130" s="49"/>
      <c r="O1130" s="49"/>
      <c r="P1130" s="49"/>
      <c r="Q1130" s="49"/>
      <c r="R1130" s="49"/>
      <c r="S1130" s="49"/>
      <c r="T1130" s="49"/>
      <c r="U1130" s="49"/>
      <c r="V1130" s="49"/>
      <c r="W1130" s="49"/>
      <c r="X1130" s="49"/>
    </row>
    <row r="1131" spans="1:24" s="27" customFormat="1" x14ac:dyDescent="0.25">
      <c r="A1131" s="26"/>
      <c r="B1131" s="26"/>
      <c r="C1131" s="23"/>
      <c r="E1131" s="50"/>
      <c r="F1131" s="29"/>
      <c r="G1131" s="29"/>
      <c r="H1131" s="29"/>
      <c r="I1131" s="29"/>
      <c r="J1131" s="49"/>
      <c r="K1131" s="49"/>
      <c r="L1131" s="49"/>
      <c r="M1131" s="49"/>
      <c r="N1131" s="49"/>
      <c r="O1131" s="49"/>
      <c r="P1131" s="49"/>
      <c r="Q1131" s="49"/>
      <c r="R1131" s="49"/>
      <c r="S1131" s="49"/>
      <c r="T1131" s="49"/>
      <c r="U1131" s="49"/>
      <c r="V1131" s="49"/>
      <c r="W1131" s="49"/>
      <c r="X1131" s="49"/>
    </row>
    <row r="1132" spans="1:24" s="27" customFormat="1" x14ac:dyDescent="0.25">
      <c r="A1132" s="26"/>
      <c r="B1132" s="26"/>
      <c r="C1132" s="23"/>
      <c r="E1132" s="29"/>
      <c r="F1132" s="29"/>
      <c r="G1132" s="29"/>
      <c r="H1132" s="29"/>
      <c r="I1132" s="29"/>
      <c r="J1132" s="49"/>
      <c r="K1132" s="49"/>
      <c r="L1132" s="49"/>
      <c r="M1132" s="49"/>
      <c r="N1132" s="49"/>
      <c r="O1132" s="49"/>
      <c r="P1132" s="49"/>
      <c r="Q1132" s="49"/>
      <c r="R1132" s="49"/>
      <c r="S1132" s="49"/>
      <c r="T1132" s="49"/>
      <c r="U1132" s="49"/>
      <c r="V1132" s="49"/>
      <c r="W1132" s="49"/>
      <c r="X1132" s="49"/>
    </row>
    <row r="1133" spans="1:24" s="27" customFormat="1" x14ac:dyDescent="0.25">
      <c r="A1133" s="26"/>
      <c r="B1133" s="26"/>
      <c r="C1133" s="23"/>
      <c r="E1133" s="29"/>
      <c r="F1133" s="29"/>
      <c r="G1133" s="29"/>
      <c r="H1133" s="29"/>
      <c r="I1133" s="29"/>
      <c r="J1133" s="49"/>
      <c r="K1133" s="49"/>
      <c r="L1133" s="49"/>
      <c r="M1133" s="49"/>
      <c r="N1133" s="49"/>
      <c r="O1133" s="49"/>
      <c r="P1133" s="49"/>
      <c r="Q1133" s="49"/>
      <c r="R1133" s="49"/>
      <c r="S1133" s="49"/>
      <c r="T1133" s="49"/>
      <c r="U1133" s="49"/>
      <c r="V1133" s="49"/>
      <c r="W1133" s="49"/>
      <c r="X1133" s="49"/>
    </row>
    <row r="1134" spans="1:24" s="27" customFormat="1" x14ac:dyDescent="0.25">
      <c r="A1134" s="26"/>
      <c r="B1134" s="26"/>
      <c r="C1134" s="23"/>
      <c r="E1134" s="29"/>
      <c r="F1134" s="29"/>
      <c r="G1134" s="29"/>
      <c r="H1134" s="29"/>
      <c r="I1134" s="29"/>
      <c r="J1134" s="49"/>
      <c r="K1134" s="49"/>
      <c r="L1134" s="49"/>
      <c r="M1134" s="49"/>
      <c r="N1134" s="49"/>
      <c r="O1134" s="49"/>
      <c r="P1134" s="49"/>
      <c r="Q1134" s="49"/>
      <c r="R1134" s="49"/>
      <c r="S1134" s="49"/>
      <c r="T1134" s="49"/>
      <c r="U1134" s="49"/>
      <c r="V1134" s="49"/>
      <c r="W1134" s="49"/>
      <c r="X1134" s="49"/>
    </row>
    <row r="1135" spans="1:24" s="27" customFormat="1" x14ac:dyDescent="0.25">
      <c r="A1135" s="26"/>
      <c r="B1135" s="26"/>
      <c r="C1135" s="23"/>
      <c r="E1135" s="29"/>
      <c r="F1135" s="29"/>
      <c r="G1135" s="29"/>
      <c r="H1135" s="29"/>
      <c r="I1135" s="29"/>
      <c r="J1135" s="49"/>
      <c r="K1135" s="49"/>
      <c r="L1135" s="49"/>
      <c r="M1135" s="49"/>
      <c r="N1135" s="49"/>
      <c r="O1135" s="49"/>
      <c r="P1135" s="49"/>
      <c r="Q1135" s="49"/>
      <c r="R1135" s="49"/>
      <c r="S1135" s="49"/>
      <c r="T1135" s="49"/>
      <c r="U1135" s="49"/>
      <c r="V1135" s="49"/>
      <c r="W1135" s="49"/>
      <c r="X1135" s="49"/>
    </row>
    <row r="1136" spans="1:24" s="27" customFormat="1" x14ac:dyDescent="0.25">
      <c r="A1136" s="26"/>
      <c r="B1136" s="26"/>
      <c r="C1136" s="23"/>
      <c r="E1136" s="29"/>
      <c r="F1136" s="29"/>
      <c r="G1136" s="29"/>
      <c r="H1136" s="29"/>
      <c r="I1136" s="29"/>
      <c r="J1136" s="49"/>
      <c r="K1136" s="49"/>
      <c r="L1136" s="49"/>
      <c r="M1136" s="49"/>
      <c r="N1136" s="49"/>
      <c r="O1136" s="49"/>
      <c r="P1136" s="49"/>
      <c r="Q1136" s="49"/>
      <c r="R1136" s="49"/>
      <c r="S1136" s="49"/>
      <c r="T1136" s="49"/>
      <c r="U1136" s="49"/>
      <c r="V1136" s="49"/>
      <c r="W1136" s="49"/>
      <c r="X1136" s="49"/>
    </row>
    <row r="1137" spans="1:24" s="27" customFormat="1" x14ac:dyDescent="0.25">
      <c r="A1137" s="26"/>
      <c r="B1137" s="26"/>
      <c r="C1137" s="23"/>
      <c r="E1137" s="29"/>
      <c r="F1137" s="29"/>
      <c r="G1137" s="29"/>
      <c r="H1137" s="29"/>
      <c r="I1137" s="29"/>
      <c r="J1137" s="49"/>
      <c r="K1137" s="49"/>
      <c r="L1137" s="49"/>
      <c r="M1137" s="49"/>
      <c r="N1137" s="49"/>
      <c r="O1137" s="49"/>
      <c r="P1137" s="49"/>
      <c r="Q1137" s="49"/>
      <c r="R1137" s="49"/>
      <c r="S1137" s="49"/>
      <c r="T1137" s="49"/>
      <c r="U1137" s="49"/>
      <c r="V1137" s="49"/>
      <c r="W1137" s="49"/>
      <c r="X1137" s="49"/>
    </row>
    <row r="1138" spans="1:24" s="27" customFormat="1" x14ac:dyDescent="0.25">
      <c r="A1138" s="26"/>
      <c r="B1138" s="26"/>
      <c r="C1138" s="23"/>
      <c r="E1138" s="29"/>
      <c r="F1138" s="29"/>
      <c r="G1138" s="29"/>
      <c r="H1138" s="29"/>
      <c r="I1138" s="29"/>
      <c r="J1138" s="49"/>
      <c r="K1138" s="49"/>
      <c r="L1138" s="49"/>
      <c r="M1138" s="49"/>
      <c r="N1138" s="49"/>
      <c r="O1138" s="49"/>
      <c r="P1138" s="49"/>
      <c r="Q1138" s="49"/>
      <c r="R1138" s="49"/>
      <c r="S1138" s="49"/>
      <c r="T1138" s="49"/>
      <c r="U1138" s="49"/>
      <c r="V1138" s="49"/>
      <c r="W1138" s="49"/>
      <c r="X1138" s="49"/>
    </row>
    <row r="1139" spans="1:24" s="27" customFormat="1" x14ac:dyDescent="0.25">
      <c r="A1139" s="26"/>
      <c r="B1139" s="26"/>
      <c r="C1139" s="23"/>
      <c r="E1139" s="29"/>
      <c r="F1139" s="29"/>
      <c r="G1139" s="29"/>
      <c r="H1139" s="29"/>
      <c r="I1139" s="29"/>
      <c r="J1139" s="49"/>
      <c r="K1139" s="49"/>
      <c r="L1139" s="49"/>
      <c r="M1139" s="49"/>
      <c r="N1139" s="49"/>
      <c r="O1139" s="49"/>
      <c r="P1139" s="49"/>
      <c r="Q1139" s="49"/>
      <c r="R1139" s="49"/>
      <c r="S1139" s="49"/>
      <c r="T1139" s="49"/>
      <c r="U1139" s="49"/>
      <c r="V1139" s="49"/>
      <c r="W1139" s="49"/>
      <c r="X1139" s="49"/>
    </row>
    <row r="1140" spans="1:24" s="27" customFormat="1" x14ac:dyDescent="0.25">
      <c r="A1140" s="26"/>
      <c r="B1140" s="26"/>
      <c r="C1140" s="23"/>
      <c r="E1140" s="29"/>
      <c r="F1140" s="29"/>
      <c r="G1140" s="29"/>
      <c r="H1140" s="29"/>
      <c r="I1140" s="29"/>
      <c r="J1140" s="49"/>
      <c r="K1140" s="49"/>
      <c r="L1140" s="49"/>
      <c r="M1140" s="49"/>
      <c r="N1140" s="49"/>
      <c r="O1140" s="49"/>
      <c r="P1140" s="49"/>
      <c r="Q1140" s="49"/>
      <c r="R1140" s="49"/>
      <c r="S1140" s="49"/>
      <c r="T1140" s="49"/>
      <c r="U1140" s="49"/>
      <c r="V1140" s="49"/>
      <c r="W1140" s="49"/>
      <c r="X1140" s="49"/>
    </row>
    <row r="1141" spans="1:24" s="27" customFormat="1" x14ac:dyDescent="0.25">
      <c r="A1141" s="26"/>
      <c r="B1141" s="26"/>
      <c r="C1141" s="23"/>
      <c r="E1141" s="29"/>
      <c r="F1141" s="29"/>
      <c r="G1141" s="29"/>
      <c r="H1141" s="29"/>
      <c r="I1141" s="29"/>
      <c r="J1141" s="49"/>
      <c r="K1141" s="49"/>
      <c r="L1141" s="49"/>
      <c r="M1141" s="49"/>
      <c r="N1141" s="49"/>
      <c r="O1141" s="49"/>
      <c r="P1141" s="49"/>
      <c r="Q1141" s="49"/>
      <c r="R1141" s="49"/>
      <c r="S1141" s="49"/>
      <c r="T1141" s="49"/>
      <c r="U1141" s="49"/>
      <c r="V1141" s="49"/>
      <c r="W1141" s="49"/>
      <c r="X1141" s="49"/>
    </row>
    <row r="1142" spans="1:24" s="27" customFormat="1" x14ac:dyDescent="0.25">
      <c r="A1142" s="26"/>
      <c r="B1142" s="26"/>
      <c r="C1142" s="23"/>
      <c r="E1142" s="50"/>
      <c r="F1142" s="29"/>
      <c r="G1142" s="29"/>
      <c r="H1142" s="29"/>
      <c r="I1142" s="29"/>
      <c r="J1142" s="49"/>
      <c r="K1142" s="49"/>
      <c r="L1142" s="49"/>
      <c r="M1142" s="49"/>
      <c r="N1142" s="49"/>
      <c r="O1142" s="49"/>
      <c r="P1142" s="49"/>
      <c r="Q1142" s="49"/>
      <c r="R1142" s="49"/>
      <c r="S1142" s="49"/>
      <c r="T1142" s="49"/>
      <c r="U1142" s="49"/>
      <c r="V1142" s="49"/>
      <c r="W1142" s="49"/>
      <c r="X1142" s="49"/>
    </row>
    <row r="1143" spans="1:24" s="27" customFormat="1" x14ac:dyDescent="0.25">
      <c r="A1143" s="26"/>
      <c r="B1143" s="26"/>
      <c r="C1143" s="23"/>
      <c r="E1143" s="29"/>
      <c r="F1143" s="29"/>
      <c r="G1143" s="29"/>
      <c r="H1143" s="29"/>
      <c r="I1143" s="29"/>
      <c r="J1143" s="49"/>
      <c r="K1143" s="49"/>
      <c r="L1143" s="49"/>
      <c r="M1143" s="49"/>
      <c r="N1143" s="49"/>
      <c r="O1143" s="49"/>
      <c r="P1143" s="49"/>
      <c r="Q1143" s="49"/>
      <c r="R1143" s="49"/>
      <c r="S1143" s="49"/>
      <c r="T1143" s="49"/>
      <c r="U1143" s="49"/>
      <c r="V1143" s="49"/>
      <c r="W1143" s="49"/>
      <c r="X1143" s="49"/>
    </row>
    <row r="1144" spans="1:24" s="27" customFormat="1" x14ac:dyDescent="0.25">
      <c r="A1144" s="26"/>
      <c r="B1144" s="26"/>
      <c r="C1144" s="23"/>
      <c r="E1144" s="29"/>
      <c r="F1144" s="29"/>
      <c r="G1144" s="29"/>
      <c r="H1144" s="29"/>
      <c r="I1144" s="29"/>
      <c r="J1144" s="49"/>
      <c r="K1144" s="49"/>
      <c r="L1144" s="49"/>
      <c r="M1144" s="49"/>
      <c r="N1144" s="49"/>
      <c r="O1144" s="49"/>
      <c r="P1144" s="49"/>
      <c r="Q1144" s="49"/>
      <c r="R1144" s="49"/>
      <c r="S1144" s="49"/>
      <c r="T1144" s="49"/>
      <c r="U1144" s="49"/>
      <c r="V1144" s="49"/>
      <c r="W1144" s="49"/>
      <c r="X1144" s="49"/>
    </row>
    <row r="1145" spans="1:24" s="27" customFormat="1" x14ac:dyDescent="0.25">
      <c r="A1145" s="26"/>
      <c r="B1145" s="26"/>
      <c r="C1145" s="23"/>
      <c r="E1145" s="29"/>
      <c r="F1145" s="29"/>
      <c r="G1145" s="29"/>
      <c r="H1145" s="29"/>
      <c r="I1145" s="29"/>
      <c r="J1145" s="49"/>
      <c r="K1145" s="49"/>
      <c r="L1145" s="49"/>
      <c r="M1145" s="49"/>
      <c r="N1145" s="49"/>
      <c r="O1145" s="49"/>
      <c r="P1145" s="49"/>
      <c r="Q1145" s="49"/>
      <c r="R1145" s="49"/>
      <c r="S1145" s="49"/>
      <c r="T1145" s="49"/>
      <c r="U1145" s="49"/>
      <c r="V1145" s="49"/>
      <c r="W1145" s="49"/>
      <c r="X1145" s="49"/>
    </row>
    <row r="1146" spans="1:24" s="27" customFormat="1" x14ac:dyDescent="0.25">
      <c r="A1146" s="26"/>
      <c r="B1146" s="26"/>
      <c r="C1146" s="23"/>
      <c r="E1146" s="29"/>
      <c r="F1146" s="29"/>
      <c r="G1146" s="29"/>
      <c r="H1146" s="29"/>
      <c r="I1146" s="29"/>
      <c r="J1146" s="49"/>
      <c r="K1146" s="49"/>
      <c r="L1146" s="49"/>
      <c r="M1146" s="49"/>
      <c r="N1146" s="49"/>
      <c r="O1146" s="49"/>
      <c r="P1146" s="49"/>
      <c r="Q1146" s="49"/>
      <c r="R1146" s="49"/>
      <c r="S1146" s="49"/>
      <c r="T1146" s="49"/>
      <c r="U1146" s="49"/>
      <c r="V1146" s="49"/>
      <c r="W1146" s="49"/>
      <c r="X1146" s="49"/>
    </row>
    <row r="1147" spans="1:24" s="27" customFormat="1" x14ac:dyDescent="0.25">
      <c r="A1147" s="26"/>
      <c r="B1147" s="26"/>
      <c r="C1147" s="23"/>
      <c r="E1147" s="29"/>
      <c r="F1147" s="29"/>
      <c r="G1147" s="29"/>
      <c r="H1147" s="29"/>
      <c r="I1147" s="29"/>
      <c r="J1147" s="49"/>
      <c r="K1147" s="49"/>
      <c r="L1147" s="49"/>
      <c r="M1147" s="49"/>
      <c r="N1147" s="49"/>
      <c r="O1147" s="49"/>
      <c r="P1147" s="49"/>
      <c r="Q1147" s="49"/>
      <c r="R1147" s="49"/>
      <c r="S1147" s="49"/>
      <c r="T1147" s="49"/>
      <c r="U1147" s="49"/>
      <c r="V1147" s="49"/>
      <c r="W1147" s="49"/>
      <c r="X1147" s="49"/>
    </row>
    <row r="1148" spans="1:24" s="27" customFormat="1" x14ac:dyDescent="0.25">
      <c r="A1148" s="26"/>
      <c r="B1148" s="26"/>
      <c r="C1148" s="23"/>
      <c r="E1148" s="29"/>
      <c r="F1148" s="29"/>
      <c r="G1148" s="29"/>
      <c r="H1148" s="29"/>
      <c r="I1148" s="29"/>
      <c r="J1148" s="49"/>
      <c r="K1148" s="49"/>
      <c r="L1148" s="49"/>
      <c r="M1148" s="49"/>
      <c r="N1148" s="49"/>
      <c r="O1148" s="49"/>
      <c r="P1148" s="49"/>
      <c r="Q1148" s="49"/>
      <c r="R1148" s="49"/>
      <c r="S1148" s="49"/>
      <c r="T1148" s="49"/>
      <c r="U1148" s="49"/>
      <c r="V1148" s="49"/>
      <c r="W1148" s="49"/>
      <c r="X1148" s="49"/>
    </row>
    <row r="1149" spans="1:24" s="27" customFormat="1" x14ac:dyDescent="0.25">
      <c r="A1149" s="26"/>
      <c r="B1149" s="26"/>
      <c r="C1149" s="23"/>
      <c r="E1149" s="29"/>
      <c r="F1149" s="29"/>
      <c r="G1149" s="29"/>
      <c r="H1149" s="29"/>
      <c r="I1149" s="29"/>
      <c r="J1149" s="49"/>
      <c r="K1149" s="49"/>
      <c r="L1149" s="49"/>
      <c r="M1149" s="49"/>
      <c r="N1149" s="49"/>
      <c r="O1149" s="49"/>
      <c r="P1149" s="49"/>
      <c r="Q1149" s="49"/>
      <c r="R1149" s="49"/>
      <c r="S1149" s="49"/>
      <c r="T1149" s="49"/>
      <c r="U1149" s="49"/>
      <c r="V1149" s="49"/>
      <c r="W1149" s="49"/>
      <c r="X1149" s="49"/>
    </row>
    <row r="1150" spans="1:24" s="27" customFormat="1" x14ac:dyDescent="0.25">
      <c r="A1150" s="26"/>
      <c r="B1150" s="26"/>
      <c r="C1150" s="23"/>
      <c r="E1150" s="29"/>
      <c r="F1150" s="29"/>
      <c r="G1150" s="29"/>
      <c r="H1150" s="29"/>
      <c r="I1150" s="29"/>
      <c r="J1150" s="49"/>
      <c r="K1150" s="49"/>
      <c r="L1150" s="49"/>
      <c r="M1150" s="49"/>
      <c r="N1150" s="49"/>
      <c r="O1150" s="49"/>
      <c r="P1150" s="49"/>
      <c r="Q1150" s="49"/>
      <c r="R1150" s="49"/>
      <c r="S1150" s="49"/>
      <c r="T1150" s="49"/>
      <c r="U1150" s="49"/>
      <c r="V1150" s="49"/>
      <c r="W1150" s="49"/>
      <c r="X1150" s="49"/>
    </row>
    <row r="1151" spans="1:24" s="27" customFormat="1" x14ac:dyDescent="0.25">
      <c r="A1151" s="26"/>
      <c r="B1151" s="26"/>
      <c r="C1151" s="23"/>
      <c r="E1151" s="29"/>
      <c r="F1151" s="29"/>
      <c r="G1151" s="29"/>
      <c r="H1151" s="29"/>
      <c r="I1151" s="29"/>
      <c r="J1151" s="49"/>
      <c r="K1151" s="49"/>
      <c r="L1151" s="49"/>
      <c r="M1151" s="49"/>
      <c r="N1151" s="49"/>
      <c r="O1151" s="49"/>
      <c r="P1151" s="49"/>
      <c r="Q1151" s="49"/>
      <c r="R1151" s="49"/>
      <c r="S1151" s="49"/>
      <c r="T1151" s="49"/>
      <c r="U1151" s="49"/>
      <c r="V1151" s="49"/>
      <c r="W1151" s="49"/>
      <c r="X1151" s="49"/>
    </row>
    <row r="1152" spans="1:24" s="27" customFormat="1" x14ac:dyDescent="0.25">
      <c r="A1152" s="26"/>
      <c r="B1152" s="26"/>
      <c r="C1152" s="23"/>
      <c r="E1152" s="29"/>
      <c r="F1152" s="50"/>
      <c r="G1152" s="29"/>
      <c r="H1152" s="29"/>
      <c r="I1152" s="29"/>
      <c r="J1152" s="49"/>
      <c r="K1152" s="49"/>
      <c r="L1152" s="49"/>
      <c r="M1152" s="49"/>
      <c r="N1152" s="49"/>
      <c r="O1152" s="49"/>
      <c r="P1152" s="49"/>
      <c r="Q1152" s="49"/>
      <c r="R1152" s="49"/>
      <c r="S1152" s="49"/>
      <c r="T1152" s="49"/>
      <c r="U1152" s="49"/>
      <c r="V1152" s="49"/>
      <c r="W1152" s="49"/>
      <c r="X1152" s="49"/>
    </row>
    <row r="1153" spans="1:24" s="27" customFormat="1" x14ac:dyDescent="0.25">
      <c r="A1153" s="26"/>
      <c r="B1153" s="26"/>
      <c r="C1153" s="23"/>
      <c r="E1153" s="29"/>
      <c r="F1153" s="29"/>
      <c r="G1153" s="29"/>
      <c r="H1153" s="29"/>
      <c r="I1153" s="29"/>
      <c r="J1153" s="49"/>
      <c r="K1153" s="49"/>
      <c r="L1153" s="49"/>
      <c r="M1153" s="49"/>
      <c r="N1153" s="49"/>
      <c r="O1153" s="49"/>
      <c r="P1153" s="49"/>
      <c r="Q1153" s="49"/>
      <c r="R1153" s="49"/>
      <c r="S1153" s="49"/>
      <c r="T1153" s="49"/>
      <c r="U1153" s="49"/>
      <c r="V1153" s="49"/>
      <c r="W1153" s="49"/>
      <c r="X1153" s="49"/>
    </row>
    <row r="1154" spans="1:24" s="27" customFormat="1" x14ac:dyDescent="0.25">
      <c r="A1154" s="26"/>
      <c r="B1154" s="26"/>
      <c r="C1154" s="23"/>
      <c r="E1154" s="29"/>
      <c r="F1154" s="29"/>
      <c r="G1154" s="29"/>
      <c r="H1154" s="29"/>
      <c r="I1154" s="29"/>
      <c r="J1154" s="49"/>
      <c r="K1154" s="49"/>
      <c r="L1154" s="49"/>
      <c r="M1154" s="49"/>
      <c r="N1154" s="49"/>
      <c r="O1154" s="49"/>
      <c r="P1154" s="49"/>
      <c r="Q1154" s="49"/>
      <c r="R1154" s="49"/>
      <c r="S1154" s="49"/>
      <c r="T1154" s="49"/>
      <c r="U1154" s="49"/>
      <c r="V1154" s="49"/>
      <c r="W1154" s="49"/>
      <c r="X1154" s="49"/>
    </row>
    <row r="1155" spans="1:24" s="27" customFormat="1" x14ac:dyDescent="0.25">
      <c r="A1155" s="26"/>
      <c r="B1155" s="26"/>
      <c r="C1155" s="23"/>
      <c r="E1155" s="29"/>
      <c r="F1155" s="29"/>
      <c r="G1155" s="29"/>
      <c r="H1155" s="29"/>
      <c r="I1155" s="29"/>
      <c r="J1155" s="49"/>
      <c r="K1155" s="49"/>
      <c r="L1155" s="49"/>
      <c r="M1155" s="49"/>
      <c r="N1155" s="49"/>
      <c r="O1155" s="49"/>
      <c r="P1155" s="49"/>
      <c r="Q1155" s="49"/>
      <c r="R1155" s="49"/>
      <c r="S1155" s="49"/>
      <c r="T1155" s="49"/>
      <c r="U1155" s="49"/>
      <c r="V1155" s="49"/>
      <c r="W1155" s="49"/>
      <c r="X1155" s="49"/>
    </row>
    <row r="1156" spans="1:24" s="27" customFormat="1" x14ac:dyDescent="0.25">
      <c r="A1156" s="26"/>
      <c r="B1156" s="26"/>
      <c r="C1156" s="23"/>
      <c r="E1156" s="29"/>
      <c r="F1156" s="29"/>
      <c r="G1156" s="29"/>
      <c r="H1156" s="29"/>
      <c r="I1156" s="29"/>
      <c r="J1156" s="49"/>
      <c r="K1156" s="49"/>
      <c r="L1156" s="49"/>
      <c r="M1156" s="49"/>
      <c r="N1156" s="49"/>
      <c r="O1156" s="49"/>
      <c r="P1156" s="49"/>
      <c r="Q1156" s="49"/>
      <c r="R1156" s="49"/>
      <c r="S1156" s="49"/>
      <c r="T1156" s="49"/>
      <c r="U1156" s="49"/>
      <c r="V1156" s="49"/>
      <c r="W1156" s="49"/>
      <c r="X1156" s="49"/>
    </row>
    <row r="1157" spans="1:24" s="27" customFormat="1" x14ac:dyDescent="0.25">
      <c r="A1157" s="26"/>
      <c r="B1157" s="26"/>
      <c r="C1157" s="23"/>
      <c r="E1157" s="29"/>
      <c r="F1157" s="29"/>
      <c r="G1157" s="29"/>
      <c r="H1157" s="29"/>
      <c r="I1157" s="29"/>
      <c r="J1157" s="49"/>
      <c r="K1157" s="49"/>
      <c r="L1157" s="49"/>
      <c r="M1157" s="49"/>
      <c r="N1157" s="49"/>
      <c r="O1157" s="49"/>
      <c r="P1157" s="49"/>
      <c r="Q1157" s="49"/>
      <c r="R1157" s="49"/>
      <c r="S1157" s="49"/>
      <c r="T1157" s="49"/>
      <c r="U1157" s="49"/>
      <c r="V1157" s="49"/>
      <c r="W1157" s="49"/>
      <c r="X1157" s="49"/>
    </row>
    <row r="1158" spans="1:24" s="27" customFormat="1" x14ac:dyDescent="0.25">
      <c r="A1158" s="26"/>
      <c r="B1158" s="26"/>
      <c r="C1158" s="23"/>
      <c r="E1158" s="29"/>
      <c r="F1158" s="29"/>
      <c r="G1158" s="29"/>
      <c r="H1158" s="29"/>
      <c r="I1158" s="29"/>
      <c r="J1158" s="49"/>
      <c r="K1158" s="49"/>
      <c r="L1158" s="49"/>
      <c r="M1158" s="49"/>
      <c r="N1158" s="49"/>
      <c r="O1158" s="49"/>
      <c r="P1158" s="49"/>
      <c r="Q1158" s="49"/>
      <c r="R1158" s="49"/>
      <c r="S1158" s="49"/>
      <c r="T1158" s="49"/>
      <c r="U1158" s="49"/>
      <c r="V1158" s="49"/>
      <c r="W1158" s="49"/>
      <c r="X1158" s="49"/>
    </row>
    <row r="1159" spans="1:24" s="27" customFormat="1" x14ac:dyDescent="0.25">
      <c r="A1159" s="26"/>
      <c r="B1159" s="26"/>
      <c r="C1159" s="23"/>
      <c r="E1159" s="29"/>
      <c r="F1159" s="29"/>
      <c r="G1159" s="29"/>
      <c r="H1159" s="29"/>
      <c r="I1159" s="29"/>
      <c r="J1159" s="49"/>
      <c r="K1159" s="49"/>
      <c r="L1159" s="49"/>
      <c r="M1159" s="49"/>
      <c r="N1159" s="49"/>
      <c r="O1159" s="49"/>
      <c r="P1159" s="49"/>
      <c r="Q1159" s="49"/>
      <c r="R1159" s="49"/>
      <c r="S1159" s="49"/>
      <c r="T1159" s="49"/>
      <c r="U1159" s="49"/>
      <c r="V1159" s="49"/>
      <c r="W1159" s="49"/>
      <c r="X1159" s="49"/>
    </row>
    <row r="1160" spans="1:24" s="27" customFormat="1" x14ac:dyDescent="0.25">
      <c r="A1160" s="26"/>
      <c r="B1160" s="26"/>
      <c r="C1160" s="23"/>
      <c r="E1160" s="29"/>
      <c r="F1160" s="29"/>
      <c r="G1160" s="29"/>
      <c r="H1160" s="29"/>
      <c r="I1160" s="29"/>
      <c r="J1160" s="49"/>
      <c r="K1160" s="49"/>
      <c r="L1160" s="49"/>
      <c r="M1160" s="49"/>
      <c r="N1160" s="49"/>
      <c r="O1160" s="49"/>
      <c r="P1160" s="49"/>
      <c r="Q1160" s="49"/>
      <c r="R1160" s="49"/>
      <c r="S1160" s="49"/>
      <c r="T1160" s="49"/>
      <c r="U1160" s="49"/>
      <c r="V1160" s="49"/>
      <c r="W1160" s="49"/>
      <c r="X1160" s="49"/>
    </row>
    <row r="1161" spans="1:24" s="27" customFormat="1" x14ac:dyDescent="0.25">
      <c r="A1161" s="26"/>
      <c r="B1161" s="26"/>
      <c r="C1161" s="23"/>
      <c r="E1161" s="29"/>
      <c r="F1161" s="29"/>
      <c r="G1161" s="29"/>
      <c r="H1161" s="29"/>
      <c r="I1161" s="29"/>
      <c r="J1161" s="49"/>
      <c r="K1161" s="49"/>
      <c r="L1161" s="49"/>
      <c r="M1161" s="49"/>
      <c r="N1161" s="49"/>
      <c r="O1161" s="49"/>
      <c r="P1161" s="49"/>
      <c r="Q1161" s="49"/>
      <c r="R1161" s="49"/>
      <c r="S1161" s="49"/>
      <c r="T1161" s="49"/>
      <c r="U1161" s="49"/>
      <c r="V1161" s="49"/>
      <c r="W1161" s="49"/>
      <c r="X1161" s="49"/>
    </row>
    <row r="1162" spans="1:24" s="27" customFormat="1" x14ac:dyDescent="0.25">
      <c r="A1162" s="26"/>
      <c r="B1162" s="26"/>
      <c r="C1162" s="23"/>
      <c r="E1162" s="29"/>
      <c r="F1162" s="29"/>
      <c r="G1162" s="29"/>
      <c r="H1162" s="29"/>
      <c r="I1162" s="29"/>
      <c r="J1162" s="49"/>
      <c r="K1162" s="49"/>
      <c r="L1162" s="49"/>
      <c r="M1162" s="49"/>
      <c r="N1162" s="49"/>
      <c r="O1162" s="49"/>
      <c r="P1162" s="49"/>
      <c r="Q1162" s="49"/>
      <c r="R1162" s="49"/>
      <c r="S1162" s="49"/>
      <c r="T1162" s="49"/>
      <c r="U1162" s="49"/>
      <c r="V1162" s="49"/>
      <c r="W1162" s="49"/>
      <c r="X1162" s="49"/>
    </row>
    <row r="1163" spans="1:24" s="27" customFormat="1" x14ac:dyDescent="0.25">
      <c r="A1163" s="26"/>
      <c r="B1163" s="26"/>
      <c r="C1163" s="23"/>
      <c r="E1163" s="29"/>
      <c r="F1163" s="29"/>
      <c r="G1163" s="29"/>
      <c r="H1163" s="29"/>
      <c r="I1163" s="29"/>
      <c r="J1163" s="49"/>
      <c r="K1163" s="49"/>
      <c r="L1163" s="49"/>
      <c r="M1163" s="49"/>
      <c r="N1163" s="49"/>
      <c r="O1163" s="49"/>
      <c r="P1163" s="49"/>
      <c r="Q1163" s="49"/>
      <c r="R1163" s="49"/>
      <c r="S1163" s="49"/>
      <c r="T1163" s="49"/>
      <c r="U1163" s="49"/>
      <c r="V1163" s="49"/>
      <c r="W1163" s="49"/>
      <c r="X1163" s="49"/>
    </row>
    <row r="1164" spans="1:24" s="27" customFormat="1" x14ac:dyDescent="0.25">
      <c r="A1164" s="26"/>
      <c r="B1164" s="26"/>
      <c r="C1164" s="23"/>
      <c r="E1164" s="29"/>
      <c r="F1164" s="29"/>
      <c r="G1164" s="29"/>
      <c r="H1164" s="29"/>
      <c r="I1164" s="29"/>
      <c r="J1164" s="49"/>
      <c r="K1164" s="49"/>
      <c r="L1164" s="49"/>
      <c r="M1164" s="49"/>
      <c r="N1164" s="49"/>
      <c r="O1164" s="49"/>
      <c r="P1164" s="49"/>
      <c r="Q1164" s="49"/>
      <c r="R1164" s="49"/>
      <c r="S1164" s="49"/>
      <c r="T1164" s="49"/>
      <c r="U1164" s="49"/>
      <c r="V1164" s="49"/>
      <c r="W1164" s="49"/>
      <c r="X1164" s="49"/>
    </row>
    <row r="1165" spans="1:24" s="27" customFormat="1" x14ac:dyDescent="0.25">
      <c r="A1165" s="26"/>
      <c r="B1165" s="26"/>
      <c r="C1165" s="23"/>
      <c r="E1165" s="29"/>
      <c r="F1165" s="29"/>
      <c r="G1165" s="29"/>
      <c r="H1165" s="29"/>
      <c r="I1165" s="29"/>
      <c r="J1165" s="49"/>
      <c r="K1165" s="49"/>
      <c r="L1165" s="49"/>
      <c r="M1165" s="49"/>
      <c r="N1165" s="49"/>
      <c r="O1165" s="49"/>
      <c r="P1165" s="49"/>
      <c r="Q1165" s="49"/>
      <c r="R1165" s="49"/>
      <c r="S1165" s="49"/>
      <c r="T1165" s="49"/>
      <c r="U1165" s="49"/>
      <c r="V1165" s="49"/>
      <c r="W1165" s="49"/>
      <c r="X1165" s="49"/>
    </row>
    <row r="1166" spans="1:24" s="27" customFormat="1" x14ac:dyDescent="0.25">
      <c r="A1166" s="26"/>
      <c r="B1166" s="26"/>
      <c r="C1166" s="23"/>
      <c r="E1166" s="29"/>
      <c r="F1166" s="29"/>
      <c r="G1166" s="29"/>
      <c r="H1166" s="29"/>
      <c r="I1166" s="29"/>
      <c r="J1166" s="49"/>
      <c r="K1166" s="49"/>
      <c r="L1166" s="49"/>
      <c r="M1166" s="49"/>
      <c r="N1166" s="49"/>
      <c r="O1166" s="49"/>
      <c r="P1166" s="49"/>
      <c r="Q1166" s="49"/>
      <c r="R1166" s="49"/>
      <c r="S1166" s="49"/>
      <c r="T1166" s="49"/>
      <c r="U1166" s="49"/>
      <c r="V1166" s="49"/>
      <c r="W1166" s="49"/>
      <c r="X1166" s="49"/>
    </row>
    <row r="1167" spans="1:24" s="27" customFormat="1" x14ac:dyDescent="0.25">
      <c r="A1167" s="26"/>
      <c r="B1167" s="26"/>
      <c r="C1167" s="23"/>
      <c r="E1167" s="29"/>
      <c r="F1167" s="29"/>
      <c r="G1167" s="29"/>
      <c r="H1167" s="29"/>
      <c r="I1167" s="29"/>
      <c r="J1167" s="49"/>
      <c r="K1167" s="49"/>
      <c r="L1167" s="49"/>
      <c r="M1167" s="49"/>
      <c r="N1167" s="49"/>
      <c r="O1167" s="49"/>
      <c r="P1167" s="49"/>
      <c r="Q1167" s="49"/>
      <c r="R1167" s="49"/>
      <c r="S1167" s="49"/>
      <c r="T1167" s="49"/>
      <c r="U1167" s="49"/>
      <c r="V1167" s="49"/>
      <c r="W1167" s="49"/>
      <c r="X1167" s="49"/>
    </row>
    <row r="1168" spans="1:24" s="27" customFormat="1" x14ac:dyDescent="0.25">
      <c r="A1168" s="26"/>
      <c r="B1168" s="26"/>
      <c r="C1168" s="23"/>
      <c r="E1168" s="29"/>
      <c r="F1168" s="29"/>
      <c r="G1168" s="29"/>
      <c r="H1168" s="29"/>
      <c r="I1168" s="29"/>
      <c r="J1168" s="49"/>
      <c r="K1168" s="49"/>
      <c r="L1168" s="49"/>
      <c r="M1168" s="49"/>
      <c r="N1168" s="49"/>
      <c r="O1168" s="49"/>
      <c r="P1168" s="49"/>
      <c r="Q1168" s="49"/>
      <c r="R1168" s="49"/>
      <c r="S1168" s="49"/>
      <c r="T1168" s="49"/>
      <c r="U1168" s="49"/>
      <c r="V1168" s="49"/>
      <c r="W1168" s="49"/>
      <c r="X1168" s="49"/>
    </row>
    <row r="1169" spans="1:24" s="27" customFormat="1" x14ac:dyDescent="0.25">
      <c r="A1169" s="26"/>
      <c r="B1169" s="26"/>
      <c r="C1169" s="23"/>
      <c r="E1169" s="29"/>
      <c r="F1169" s="29"/>
      <c r="G1169" s="29"/>
      <c r="H1169" s="29"/>
      <c r="I1169" s="29"/>
      <c r="J1169" s="49"/>
      <c r="K1169" s="49"/>
      <c r="L1169" s="49"/>
      <c r="M1169" s="49"/>
      <c r="N1169" s="49"/>
      <c r="O1169" s="49"/>
      <c r="P1169" s="49"/>
      <c r="Q1169" s="49"/>
      <c r="R1169" s="49"/>
      <c r="S1169" s="49"/>
      <c r="T1169" s="49"/>
      <c r="U1169" s="49"/>
      <c r="V1169" s="49"/>
      <c r="W1169" s="49"/>
      <c r="X1169" s="49"/>
    </row>
    <row r="1170" spans="1:24" s="27" customFormat="1" x14ac:dyDescent="0.25">
      <c r="A1170" s="26"/>
      <c r="B1170" s="26"/>
      <c r="C1170" s="23"/>
      <c r="E1170" s="29"/>
      <c r="F1170" s="29"/>
      <c r="G1170" s="29"/>
      <c r="H1170" s="29"/>
      <c r="I1170" s="29"/>
      <c r="J1170" s="49"/>
      <c r="K1170" s="49"/>
      <c r="L1170" s="49"/>
      <c r="M1170" s="49"/>
      <c r="N1170" s="49"/>
      <c r="O1170" s="49"/>
      <c r="P1170" s="49"/>
      <c r="Q1170" s="49"/>
      <c r="R1170" s="49"/>
      <c r="S1170" s="49"/>
      <c r="T1170" s="49"/>
      <c r="U1170" s="49"/>
      <c r="V1170" s="49"/>
      <c r="W1170" s="49"/>
      <c r="X1170" s="49"/>
    </row>
    <row r="1171" spans="1:24" s="27" customFormat="1" x14ac:dyDescent="0.25">
      <c r="A1171" s="26"/>
      <c r="B1171" s="26"/>
      <c r="C1171" s="23"/>
      <c r="E1171" s="29"/>
      <c r="F1171" s="29"/>
      <c r="G1171" s="29"/>
      <c r="H1171" s="29"/>
      <c r="I1171" s="29"/>
      <c r="J1171" s="49"/>
      <c r="K1171" s="49"/>
      <c r="L1171" s="49"/>
      <c r="M1171" s="49"/>
      <c r="N1171" s="49"/>
      <c r="O1171" s="49"/>
      <c r="P1171" s="49"/>
      <c r="Q1171" s="49"/>
      <c r="R1171" s="49"/>
      <c r="S1171" s="49"/>
      <c r="T1171" s="49"/>
      <c r="U1171" s="49"/>
      <c r="V1171" s="49"/>
      <c r="W1171" s="49"/>
      <c r="X1171" s="49"/>
    </row>
    <row r="1172" spans="1:24" s="27" customFormat="1" x14ac:dyDescent="0.25">
      <c r="A1172" s="26"/>
      <c r="B1172" s="26"/>
      <c r="C1172" s="23"/>
      <c r="E1172" s="29"/>
      <c r="F1172" s="29"/>
      <c r="G1172" s="29"/>
      <c r="H1172" s="29"/>
      <c r="I1172" s="29"/>
      <c r="J1172" s="49"/>
      <c r="K1172" s="49"/>
      <c r="L1172" s="49"/>
      <c r="M1172" s="49"/>
      <c r="N1172" s="49"/>
      <c r="O1172" s="49"/>
      <c r="P1172" s="49"/>
      <c r="Q1172" s="49"/>
      <c r="R1172" s="49"/>
      <c r="S1172" s="49"/>
      <c r="T1172" s="49"/>
      <c r="U1172" s="49"/>
      <c r="V1172" s="49"/>
      <c r="W1172" s="49"/>
      <c r="X1172" s="49"/>
    </row>
    <row r="1173" spans="1:24" s="27" customFormat="1" x14ac:dyDescent="0.25">
      <c r="A1173" s="26"/>
      <c r="B1173" s="26"/>
      <c r="C1173" s="23"/>
      <c r="E1173" s="29"/>
      <c r="F1173" s="29"/>
      <c r="G1173" s="29"/>
      <c r="H1173" s="29"/>
      <c r="I1173" s="29"/>
      <c r="J1173" s="49"/>
      <c r="K1173" s="49"/>
      <c r="L1173" s="49"/>
      <c r="M1173" s="49"/>
      <c r="N1173" s="49"/>
      <c r="O1173" s="49"/>
      <c r="P1173" s="49"/>
      <c r="Q1173" s="49"/>
      <c r="R1173" s="49"/>
      <c r="S1173" s="49"/>
      <c r="T1173" s="49"/>
      <c r="U1173" s="49"/>
      <c r="V1173" s="49"/>
      <c r="W1173" s="49"/>
      <c r="X1173" s="49"/>
    </row>
    <row r="1174" spans="1:24" s="27" customFormat="1" x14ac:dyDescent="0.25">
      <c r="A1174" s="26"/>
      <c r="B1174" s="26"/>
      <c r="C1174" s="23"/>
      <c r="E1174" s="29"/>
      <c r="F1174" s="29"/>
      <c r="G1174" s="29"/>
      <c r="H1174" s="29"/>
      <c r="I1174" s="29"/>
      <c r="J1174" s="49"/>
      <c r="K1174" s="49"/>
      <c r="L1174" s="49"/>
      <c r="M1174" s="49"/>
      <c r="N1174" s="49"/>
      <c r="O1174" s="49"/>
      <c r="P1174" s="49"/>
      <c r="Q1174" s="49"/>
      <c r="R1174" s="49"/>
      <c r="S1174" s="49"/>
      <c r="T1174" s="49"/>
      <c r="U1174" s="49"/>
      <c r="V1174" s="49"/>
      <c r="W1174" s="49"/>
      <c r="X1174" s="49"/>
    </row>
    <row r="1175" spans="1:24" s="27" customFormat="1" x14ac:dyDescent="0.25">
      <c r="A1175" s="26"/>
      <c r="B1175" s="26"/>
      <c r="C1175" s="23"/>
      <c r="E1175" s="29"/>
      <c r="F1175" s="29"/>
      <c r="G1175" s="29"/>
      <c r="H1175" s="29"/>
      <c r="I1175" s="29"/>
      <c r="J1175" s="49"/>
      <c r="K1175" s="49"/>
      <c r="L1175" s="49"/>
      <c r="M1175" s="49"/>
      <c r="N1175" s="49"/>
      <c r="O1175" s="49"/>
      <c r="P1175" s="49"/>
      <c r="Q1175" s="49"/>
      <c r="R1175" s="49"/>
      <c r="S1175" s="49"/>
      <c r="T1175" s="49"/>
      <c r="U1175" s="49"/>
      <c r="V1175" s="49"/>
      <c r="W1175" s="49"/>
      <c r="X1175" s="49"/>
    </row>
    <row r="1176" spans="1:24" s="27" customFormat="1" x14ac:dyDescent="0.25">
      <c r="A1176" s="26"/>
      <c r="B1176" s="26"/>
      <c r="C1176" s="23"/>
      <c r="E1176" s="29"/>
      <c r="F1176" s="29"/>
      <c r="G1176" s="29"/>
      <c r="H1176" s="29"/>
      <c r="I1176" s="29"/>
      <c r="J1176" s="49"/>
      <c r="K1176" s="49"/>
      <c r="L1176" s="49"/>
      <c r="M1176" s="49"/>
      <c r="N1176" s="49"/>
      <c r="O1176" s="49"/>
      <c r="P1176" s="49"/>
      <c r="Q1176" s="49"/>
      <c r="R1176" s="49"/>
      <c r="S1176" s="49"/>
      <c r="T1176" s="49"/>
      <c r="U1176" s="49"/>
      <c r="V1176" s="49"/>
      <c r="W1176" s="49"/>
      <c r="X1176" s="49"/>
    </row>
    <row r="1177" spans="1:24" s="27" customFormat="1" x14ac:dyDescent="0.25">
      <c r="A1177" s="26"/>
      <c r="B1177" s="26"/>
      <c r="C1177" s="23"/>
      <c r="E1177" s="29"/>
      <c r="F1177" s="29"/>
      <c r="G1177" s="29"/>
      <c r="H1177" s="29"/>
      <c r="I1177" s="29"/>
      <c r="J1177" s="49"/>
      <c r="K1177" s="49"/>
      <c r="L1177" s="49"/>
      <c r="M1177" s="49"/>
      <c r="N1177" s="49"/>
      <c r="O1177" s="49"/>
      <c r="P1177" s="49"/>
      <c r="Q1177" s="49"/>
      <c r="R1177" s="49"/>
      <c r="S1177" s="49"/>
      <c r="T1177" s="49"/>
      <c r="U1177" s="49"/>
      <c r="V1177" s="49"/>
      <c r="W1177" s="49"/>
      <c r="X1177" s="49"/>
    </row>
    <row r="1178" spans="1:24" s="27" customFormat="1" x14ac:dyDescent="0.25">
      <c r="A1178" s="26"/>
      <c r="B1178" s="26"/>
      <c r="C1178" s="23"/>
      <c r="E1178" s="29"/>
      <c r="F1178" s="29"/>
      <c r="G1178" s="29"/>
      <c r="H1178" s="29"/>
      <c r="I1178" s="29"/>
      <c r="J1178" s="49"/>
      <c r="K1178" s="49"/>
      <c r="L1178" s="49"/>
      <c r="M1178" s="49"/>
      <c r="N1178" s="49"/>
      <c r="O1178" s="49"/>
      <c r="P1178" s="49"/>
      <c r="Q1178" s="49"/>
      <c r="R1178" s="49"/>
      <c r="S1178" s="49"/>
      <c r="T1178" s="49"/>
      <c r="U1178" s="49"/>
      <c r="V1178" s="49"/>
      <c r="W1178" s="49"/>
      <c r="X1178" s="49"/>
    </row>
    <row r="1179" spans="1:24" s="27" customFormat="1" x14ac:dyDescent="0.25">
      <c r="A1179" s="26"/>
      <c r="B1179" s="26"/>
      <c r="C1179" s="23"/>
      <c r="E1179" s="29"/>
      <c r="F1179" s="29"/>
      <c r="G1179" s="29"/>
      <c r="H1179" s="29"/>
      <c r="I1179" s="29"/>
      <c r="J1179" s="49"/>
      <c r="K1179" s="49"/>
      <c r="L1179" s="49"/>
      <c r="M1179" s="49"/>
      <c r="N1179" s="49"/>
      <c r="O1179" s="49"/>
      <c r="P1179" s="49"/>
      <c r="Q1179" s="49"/>
      <c r="R1179" s="49"/>
      <c r="S1179" s="49"/>
      <c r="T1179" s="49"/>
      <c r="U1179" s="49"/>
      <c r="V1179" s="49"/>
      <c r="W1179" s="49"/>
      <c r="X1179" s="49"/>
    </row>
    <row r="1180" spans="1:24" s="27" customFormat="1" x14ac:dyDescent="0.25">
      <c r="A1180" s="26"/>
      <c r="B1180" s="26"/>
      <c r="C1180" s="23"/>
      <c r="E1180" s="29"/>
      <c r="F1180" s="29"/>
      <c r="G1180" s="29"/>
      <c r="H1180" s="29"/>
      <c r="I1180" s="29"/>
      <c r="J1180" s="49"/>
      <c r="K1180" s="49"/>
      <c r="L1180" s="49"/>
      <c r="M1180" s="49"/>
      <c r="N1180" s="49"/>
      <c r="O1180" s="49"/>
      <c r="P1180" s="49"/>
      <c r="Q1180" s="49"/>
      <c r="R1180" s="49"/>
      <c r="S1180" s="49"/>
      <c r="T1180" s="49"/>
      <c r="U1180" s="49"/>
      <c r="V1180" s="49"/>
      <c r="W1180" s="49"/>
      <c r="X1180" s="49"/>
    </row>
    <row r="1181" spans="1:24" s="27" customFormat="1" x14ac:dyDescent="0.25">
      <c r="A1181" s="26"/>
      <c r="B1181" s="26"/>
      <c r="C1181" s="23"/>
      <c r="E1181" s="29"/>
      <c r="F1181" s="29"/>
      <c r="G1181" s="29"/>
      <c r="H1181" s="29"/>
      <c r="I1181" s="29"/>
      <c r="J1181" s="49"/>
      <c r="K1181" s="49"/>
      <c r="L1181" s="49"/>
      <c r="M1181" s="49"/>
      <c r="N1181" s="49"/>
      <c r="O1181" s="49"/>
      <c r="P1181" s="49"/>
      <c r="Q1181" s="49"/>
      <c r="R1181" s="49"/>
      <c r="S1181" s="49"/>
      <c r="T1181" s="49"/>
      <c r="U1181" s="49"/>
      <c r="V1181" s="49"/>
      <c r="W1181" s="49"/>
      <c r="X1181" s="49"/>
    </row>
    <row r="1182" spans="1:24" s="27" customFormat="1" x14ac:dyDescent="0.25">
      <c r="A1182" s="26"/>
      <c r="B1182" s="26"/>
      <c r="C1182" s="23"/>
      <c r="E1182" s="29"/>
      <c r="F1182" s="29"/>
      <c r="G1182" s="29"/>
      <c r="H1182" s="29"/>
      <c r="I1182" s="29"/>
      <c r="J1182" s="49"/>
      <c r="K1182" s="49"/>
      <c r="L1182" s="49"/>
      <c r="M1182" s="49"/>
      <c r="N1182" s="49"/>
      <c r="O1182" s="49"/>
      <c r="P1182" s="49"/>
      <c r="Q1182" s="49"/>
      <c r="R1182" s="49"/>
      <c r="S1182" s="49"/>
      <c r="T1182" s="49"/>
      <c r="U1182" s="49"/>
      <c r="V1182" s="49"/>
      <c r="W1182" s="49"/>
      <c r="X1182" s="49"/>
    </row>
    <row r="1183" spans="1:24" s="27" customFormat="1" x14ac:dyDescent="0.25">
      <c r="A1183" s="26"/>
      <c r="B1183" s="26"/>
      <c r="C1183" s="23"/>
      <c r="E1183" s="29"/>
      <c r="F1183" s="29"/>
      <c r="G1183" s="29"/>
      <c r="H1183" s="29"/>
      <c r="I1183" s="29"/>
      <c r="J1183" s="49"/>
      <c r="K1183" s="49"/>
      <c r="L1183" s="49"/>
      <c r="M1183" s="49"/>
      <c r="N1183" s="49"/>
      <c r="O1183" s="49"/>
      <c r="P1183" s="49"/>
      <c r="Q1183" s="49"/>
      <c r="R1183" s="49"/>
      <c r="S1183" s="49"/>
      <c r="T1183" s="49"/>
      <c r="U1183" s="49"/>
      <c r="V1183" s="49"/>
      <c r="W1183" s="49"/>
      <c r="X1183" s="49"/>
    </row>
    <row r="1184" spans="1:24" s="27" customFormat="1" x14ac:dyDescent="0.25">
      <c r="A1184" s="26"/>
      <c r="B1184" s="26"/>
      <c r="C1184" s="23"/>
      <c r="E1184" s="29"/>
      <c r="F1184" s="29"/>
      <c r="G1184" s="29"/>
      <c r="H1184" s="29"/>
      <c r="I1184" s="29"/>
      <c r="J1184" s="49"/>
      <c r="K1184" s="49"/>
      <c r="L1184" s="49"/>
      <c r="M1184" s="49"/>
      <c r="N1184" s="49"/>
      <c r="O1184" s="49"/>
      <c r="P1184" s="49"/>
      <c r="Q1184" s="49"/>
      <c r="R1184" s="49"/>
      <c r="S1184" s="49"/>
      <c r="T1184" s="49"/>
      <c r="U1184" s="49"/>
      <c r="V1184" s="49"/>
      <c r="W1184" s="49"/>
      <c r="X1184" s="49"/>
    </row>
    <row r="1185" spans="1:24" s="27" customFormat="1" x14ac:dyDescent="0.25">
      <c r="A1185" s="26"/>
      <c r="B1185" s="26"/>
      <c r="C1185" s="23"/>
      <c r="E1185" s="29"/>
      <c r="F1185" s="29"/>
      <c r="G1185" s="29"/>
      <c r="H1185" s="29"/>
      <c r="I1185" s="29"/>
      <c r="J1185" s="49"/>
      <c r="K1185" s="49"/>
      <c r="L1185" s="49"/>
      <c r="M1185" s="49"/>
      <c r="N1185" s="49"/>
      <c r="O1185" s="49"/>
      <c r="P1185" s="49"/>
      <c r="Q1185" s="49"/>
      <c r="R1185" s="49"/>
      <c r="S1185" s="49"/>
      <c r="T1185" s="49"/>
      <c r="U1185" s="49"/>
      <c r="V1185" s="49"/>
      <c r="W1185" s="49"/>
      <c r="X1185" s="49"/>
    </row>
    <row r="1186" spans="1:24" s="27" customFormat="1" x14ac:dyDescent="0.25">
      <c r="A1186" s="26"/>
      <c r="B1186" s="26"/>
      <c r="C1186" s="23"/>
      <c r="E1186" s="29"/>
      <c r="F1186" s="50"/>
      <c r="G1186" s="29"/>
      <c r="H1186" s="29"/>
      <c r="I1186" s="29"/>
      <c r="J1186" s="49"/>
      <c r="K1186" s="49"/>
      <c r="L1186" s="49"/>
      <c r="M1186" s="49"/>
      <c r="N1186" s="49"/>
      <c r="O1186" s="49"/>
      <c r="P1186" s="49"/>
      <c r="Q1186" s="49"/>
      <c r="R1186" s="49"/>
      <c r="S1186" s="49"/>
      <c r="T1186" s="49"/>
      <c r="U1186" s="49"/>
      <c r="V1186" s="49"/>
      <c r="W1186" s="49"/>
      <c r="X1186" s="49"/>
    </row>
    <row r="1187" spans="1:24" s="27" customFormat="1" x14ac:dyDescent="0.25">
      <c r="A1187" s="26"/>
      <c r="B1187" s="26"/>
      <c r="C1187" s="23"/>
      <c r="E1187" s="29"/>
      <c r="F1187" s="29"/>
      <c r="G1187" s="29"/>
      <c r="H1187" s="29"/>
      <c r="I1187" s="29"/>
      <c r="J1187" s="49"/>
      <c r="K1187" s="49"/>
      <c r="L1187" s="49"/>
      <c r="M1187" s="49"/>
      <c r="N1187" s="49"/>
      <c r="O1187" s="49"/>
      <c r="P1187" s="49"/>
      <c r="Q1187" s="49"/>
      <c r="R1187" s="49"/>
      <c r="S1187" s="49"/>
      <c r="T1187" s="49"/>
      <c r="U1187" s="49"/>
      <c r="V1187" s="49"/>
      <c r="W1187" s="49"/>
      <c r="X1187" s="49"/>
    </row>
    <row r="1188" spans="1:24" s="27" customFormat="1" x14ac:dyDescent="0.25">
      <c r="A1188" s="26"/>
      <c r="B1188" s="26"/>
      <c r="C1188" s="23"/>
      <c r="E1188" s="29"/>
      <c r="F1188" s="29"/>
      <c r="G1188" s="29"/>
      <c r="H1188" s="29"/>
      <c r="I1188" s="29"/>
      <c r="J1188" s="49"/>
      <c r="K1188" s="49"/>
      <c r="L1188" s="49"/>
      <c r="M1188" s="49"/>
      <c r="N1188" s="49"/>
      <c r="O1188" s="49"/>
      <c r="P1188" s="49"/>
      <c r="Q1188" s="49"/>
      <c r="R1188" s="49"/>
      <c r="S1188" s="49"/>
      <c r="T1188" s="49"/>
      <c r="U1188" s="49"/>
      <c r="V1188" s="49"/>
      <c r="W1188" s="49"/>
      <c r="X1188" s="49"/>
    </row>
    <row r="1189" spans="1:24" s="27" customFormat="1" x14ac:dyDescent="0.25">
      <c r="A1189" s="26"/>
      <c r="B1189" s="26"/>
      <c r="C1189" s="23"/>
      <c r="E1189" s="29"/>
      <c r="F1189" s="29"/>
      <c r="G1189" s="29"/>
      <c r="H1189" s="29"/>
      <c r="I1189" s="29"/>
      <c r="J1189" s="49"/>
      <c r="K1189" s="49"/>
      <c r="L1189" s="49"/>
      <c r="M1189" s="49"/>
      <c r="N1189" s="49"/>
      <c r="O1189" s="49"/>
      <c r="P1189" s="49"/>
      <c r="Q1189" s="49"/>
      <c r="R1189" s="49"/>
      <c r="S1189" s="49"/>
      <c r="T1189" s="49"/>
      <c r="U1189" s="49"/>
      <c r="V1189" s="49"/>
      <c r="W1189" s="49"/>
      <c r="X1189" s="49"/>
    </row>
    <row r="1190" spans="1:24" s="27" customFormat="1" x14ac:dyDescent="0.25">
      <c r="A1190" s="26"/>
      <c r="B1190" s="26"/>
      <c r="C1190" s="23"/>
      <c r="E1190" s="29"/>
      <c r="F1190" s="29"/>
      <c r="G1190" s="29"/>
      <c r="H1190" s="29"/>
      <c r="I1190" s="29"/>
      <c r="J1190" s="49"/>
      <c r="K1190" s="49"/>
      <c r="L1190" s="49"/>
      <c r="M1190" s="49"/>
      <c r="N1190" s="49"/>
      <c r="O1190" s="49"/>
      <c r="P1190" s="49"/>
      <c r="Q1190" s="49"/>
      <c r="R1190" s="49"/>
      <c r="S1190" s="49"/>
      <c r="T1190" s="49"/>
      <c r="U1190" s="49"/>
      <c r="V1190" s="49"/>
      <c r="W1190" s="49"/>
      <c r="X1190" s="49"/>
    </row>
    <row r="1191" spans="1:24" s="27" customFormat="1" x14ac:dyDescent="0.25">
      <c r="A1191" s="26"/>
      <c r="B1191" s="26"/>
      <c r="C1191" s="23"/>
      <c r="E1191" s="29"/>
      <c r="F1191" s="29"/>
      <c r="G1191" s="29"/>
      <c r="H1191" s="29"/>
      <c r="I1191" s="29"/>
      <c r="J1191" s="49"/>
      <c r="K1191" s="49"/>
      <c r="L1191" s="49"/>
      <c r="M1191" s="49"/>
      <c r="N1191" s="49"/>
      <c r="O1191" s="49"/>
      <c r="P1191" s="49"/>
      <c r="Q1191" s="49"/>
      <c r="R1191" s="49"/>
      <c r="S1191" s="49"/>
      <c r="T1191" s="49"/>
      <c r="U1191" s="49"/>
      <c r="V1191" s="49"/>
      <c r="W1191" s="49"/>
      <c r="X1191" s="49"/>
    </row>
    <row r="1192" spans="1:24" s="27" customFormat="1" x14ac:dyDescent="0.25">
      <c r="A1192" s="26"/>
      <c r="B1192" s="26"/>
      <c r="C1192" s="23"/>
      <c r="E1192" s="29"/>
      <c r="F1192" s="29"/>
      <c r="G1192" s="29"/>
      <c r="H1192" s="29"/>
      <c r="I1192" s="29"/>
      <c r="J1192" s="49"/>
      <c r="K1192" s="49"/>
      <c r="L1192" s="49"/>
      <c r="M1192" s="49"/>
      <c r="N1192" s="49"/>
      <c r="O1192" s="49"/>
      <c r="P1192" s="49"/>
      <c r="Q1192" s="49"/>
      <c r="R1192" s="49"/>
      <c r="S1192" s="49"/>
      <c r="T1192" s="49"/>
      <c r="U1192" s="49"/>
      <c r="V1192" s="49"/>
      <c r="W1192" s="49"/>
      <c r="X1192" s="49"/>
    </row>
    <row r="1193" spans="1:24" s="27" customFormat="1" x14ac:dyDescent="0.25">
      <c r="A1193" s="26"/>
      <c r="B1193" s="26"/>
      <c r="C1193" s="23"/>
      <c r="E1193" s="29"/>
      <c r="F1193" s="29"/>
      <c r="G1193" s="29"/>
      <c r="H1193" s="29"/>
      <c r="I1193" s="29"/>
      <c r="J1193" s="49"/>
      <c r="K1193" s="49"/>
      <c r="L1193" s="49"/>
      <c r="M1193" s="49"/>
      <c r="N1193" s="49"/>
      <c r="O1193" s="49"/>
      <c r="P1193" s="49"/>
      <c r="Q1193" s="49"/>
      <c r="R1193" s="49"/>
      <c r="S1193" s="49"/>
      <c r="T1193" s="49"/>
      <c r="U1193" s="49"/>
      <c r="V1193" s="49"/>
      <c r="W1193" s="49"/>
      <c r="X1193" s="49"/>
    </row>
    <row r="1194" spans="1:24" s="27" customFormat="1" x14ac:dyDescent="0.25">
      <c r="A1194" s="26"/>
      <c r="B1194" s="26"/>
      <c r="C1194" s="23"/>
      <c r="E1194" s="29"/>
      <c r="F1194" s="29"/>
      <c r="G1194" s="29"/>
      <c r="H1194" s="29"/>
      <c r="I1194" s="29"/>
      <c r="J1194" s="49"/>
      <c r="K1194" s="49"/>
      <c r="L1194" s="49"/>
      <c r="M1194" s="49"/>
      <c r="N1194" s="49"/>
      <c r="O1194" s="49"/>
      <c r="P1194" s="49"/>
      <c r="Q1194" s="49"/>
      <c r="R1194" s="49"/>
      <c r="S1194" s="49"/>
      <c r="T1194" s="49"/>
      <c r="U1194" s="49"/>
      <c r="V1194" s="49"/>
      <c r="W1194" s="49"/>
      <c r="X1194" s="49"/>
    </row>
    <row r="1195" spans="1:24" s="27" customFormat="1" x14ac:dyDescent="0.25">
      <c r="A1195" s="26"/>
      <c r="B1195" s="26"/>
      <c r="C1195" s="23"/>
      <c r="E1195" s="29"/>
      <c r="F1195" s="50"/>
      <c r="G1195" s="29"/>
      <c r="H1195" s="29"/>
      <c r="I1195" s="29"/>
      <c r="J1195" s="49"/>
      <c r="K1195" s="49"/>
      <c r="L1195" s="49"/>
      <c r="M1195" s="49"/>
      <c r="N1195" s="49"/>
      <c r="O1195" s="49"/>
      <c r="P1195" s="49"/>
      <c r="Q1195" s="49"/>
      <c r="R1195" s="49"/>
      <c r="S1195" s="49"/>
      <c r="T1195" s="49"/>
      <c r="U1195" s="49"/>
      <c r="V1195" s="49"/>
      <c r="W1195" s="49"/>
      <c r="X1195" s="49"/>
    </row>
    <row r="1196" spans="1:24" s="27" customFormat="1" x14ac:dyDescent="0.25">
      <c r="A1196" s="26"/>
      <c r="B1196" s="26"/>
      <c r="C1196" s="23"/>
      <c r="E1196" s="29"/>
      <c r="F1196" s="50"/>
      <c r="G1196" s="29"/>
      <c r="H1196" s="29"/>
      <c r="I1196" s="29"/>
      <c r="J1196" s="49"/>
      <c r="K1196" s="49"/>
      <c r="L1196" s="49"/>
      <c r="M1196" s="49"/>
      <c r="N1196" s="49"/>
      <c r="O1196" s="49"/>
      <c r="P1196" s="49"/>
      <c r="Q1196" s="49"/>
      <c r="R1196" s="49"/>
      <c r="S1196" s="49"/>
      <c r="T1196" s="49"/>
      <c r="U1196" s="49"/>
      <c r="V1196" s="49"/>
      <c r="W1196" s="49"/>
      <c r="X1196" s="49"/>
    </row>
    <row r="1197" spans="1:24" s="27" customFormat="1" x14ac:dyDescent="0.25">
      <c r="A1197" s="26"/>
      <c r="B1197" s="26"/>
      <c r="C1197" s="23"/>
      <c r="E1197" s="29"/>
      <c r="F1197" s="29"/>
      <c r="G1197" s="29"/>
      <c r="H1197" s="29"/>
      <c r="I1197" s="29"/>
      <c r="J1197" s="49"/>
      <c r="K1197" s="49"/>
      <c r="L1197" s="49"/>
      <c r="M1197" s="49"/>
      <c r="N1197" s="49"/>
      <c r="O1197" s="49"/>
      <c r="P1197" s="49"/>
      <c r="Q1197" s="49"/>
      <c r="R1197" s="49"/>
      <c r="S1197" s="49"/>
      <c r="T1197" s="49"/>
      <c r="U1197" s="49"/>
      <c r="V1197" s="49"/>
      <c r="W1197" s="49"/>
      <c r="X1197" s="49"/>
    </row>
    <row r="1198" spans="1:24" s="27" customFormat="1" x14ac:dyDescent="0.25">
      <c r="A1198" s="26"/>
      <c r="B1198" s="26"/>
      <c r="C1198" s="23"/>
      <c r="E1198" s="29"/>
      <c r="F1198" s="29"/>
      <c r="G1198" s="29"/>
      <c r="H1198" s="29"/>
      <c r="I1198" s="29"/>
      <c r="J1198" s="49"/>
      <c r="K1198" s="49"/>
      <c r="L1198" s="49"/>
      <c r="M1198" s="49"/>
      <c r="N1198" s="49"/>
      <c r="O1198" s="49"/>
      <c r="P1198" s="49"/>
      <c r="Q1198" s="49"/>
      <c r="R1198" s="49"/>
      <c r="S1198" s="49"/>
      <c r="T1198" s="49"/>
      <c r="U1198" s="49"/>
      <c r="V1198" s="49"/>
      <c r="W1198" s="49"/>
      <c r="X1198" s="49"/>
    </row>
    <row r="1199" spans="1:24" s="27" customFormat="1" x14ac:dyDescent="0.25">
      <c r="A1199" s="26"/>
      <c r="B1199" s="26"/>
      <c r="C1199" s="23"/>
      <c r="E1199" s="29"/>
      <c r="F1199" s="29"/>
      <c r="G1199" s="29"/>
      <c r="H1199" s="29"/>
      <c r="I1199" s="29"/>
      <c r="J1199" s="49"/>
      <c r="K1199" s="49"/>
      <c r="L1199" s="49"/>
      <c r="M1199" s="49"/>
      <c r="N1199" s="49"/>
      <c r="O1199" s="49"/>
      <c r="P1199" s="49"/>
      <c r="Q1199" s="49"/>
      <c r="R1199" s="49"/>
      <c r="S1199" s="49"/>
      <c r="T1199" s="49"/>
      <c r="U1199" s="49"/>
      <c r="V1199" s="49"/>
      <c r="W1199" s="49"/>
      <c r="X1199" s="49"/>
    </row>
    <row r="1200" spans="1:24" s="27" customFormat="1" x14ac:dyDescent="0.25">
      <c r="A1200" s="26"/>
      <c r="B1200" s="26"/>
      <c r="C1200" s="23"/>
      <c r="E1200" s="29"/>
      <c r="F1200" s="29"/>
      <c r="G1200" s="29"/>
      <c r="H1200" s="29"/>
      <c r="I1200" s="29"/>
      <c r="J1200" s="49"/>
      <c r="K1200" s="49"/>
      <c r="L1200" s="49"/>
      <c r="M1200" s="49"/>
      <c r="N1200" s="49"/>
      <c r="O1200" s="49"/>
      <c r="P1200" s="49"/>
      <c r="Q1200" s="49"/>
      <c r="R1200" s="49"/>
      <c r="S1200" s="49"/>
      <c r="T1200" s="49"/>
      <c r="U1200" s="49"/>
      <c r="V1200" s="49"/>
      <c r="W1200" s="49"/>
      <c r="X1200" s="49"/>
    </row>
    <row r="1201" spans="1:24" s="27" customFormat="1" x14ac:dyDescent="0.25">
      <c r="A1201" s="26"/>
      <c r="B1201" s="26"/>
      <c r="C1201" s="23"/>
      <c r="E1201" s="29"/>
      <c r="F1201" s="29"/>
      <c r="G1201" s="29"/>
      <c r="H1201" s="29"/>
      <c r="I1201" s="29"/>
      <c r="J1201" s="49"/>
      <c r="K1201" s="49"/>
      <c r="L1201" s="49"/>
      <c r="M1201" s="49"/>
      <c r="N1201" s="49"/>
      <c r="O1201" s="49"/>
      <c r="P1201" s="49"/>
      <c r="Q1201" s="49"/>
      <c r="R1201" s="49"/>
      <c r="S1201" s="49"/>
      <c r="T1201" s="49"/>
      <c r="U1201" s="49"/>
      <c r="V1201" s="49"/>
      <c r="W1201" s="49"/>
      <c r="X1201" s="49"/>
    </row>
    <row r="1202" spans="1:24" s="27" customFormat="1" x14ac:dyDescent="0.25">
      <c r="A1202" s="26"/>
      <c r="B1202" s="26"/>
      <c r="C1202" s="23"/>
      <c r="E1202" s="29"/>
      <c r="F1202" s="50"/>
      <c r="G1202" s="29"/>
      <c r="H1202" s="29"/>
      <c r="I1202" s="29"/>
      <c r="J1202" s="49"/>
      <c r="K1202" s="49"/>
      <c r="L1202" s="49"/>
      <c r="M1202" s="49"/>
      <c r="N1202" s="49"/>
      <c r="O1202" s="49"/>
      <c r="P1202" s="49"/>
      <c r="Q1202" s="49"/>
      <c r="R1202" s="49"/>
      <c r="S1202" s="49"/>
      <c r="T1202" s="49"/>
      <c r="U1202" s="49"/>
      <c r="V1202" s="49"/>
      <c r="W1202" s="49"/>
      <c r="X1202" s="49"/>
    </row>
    <row r="1203" spans="1:24" s="27" customFormat="1" x14ac:dyDescent="0.25">
      <c r="A1203" s="26"/>
      <c r="B1203" s="26"/>
      <c r="C1203" s="23"/>
      <c r="E1203" s="29"/>
      <c r="F1203" s="29"/>
      <c r="G1203" s="29"/>
      <c r="H1203" s="29"/>
      <c r="I1203" s="29"/>
      <c r="J1203" s="49"/>
      <c r="K1203" s="49"/>
      <c r="L1203" s="49"/>
      <c r="M1203" s="49"/>
      <c r="N1203" s="49"/>
      <c r="O1203" s="49"/>
      <c r="P1203" s="49"/>
      <c r="Q1203" s="49"/>
      <c r="R1203" s="49"/>
      <c r="S1203" s="49"/>
      <c r="T1203" s="49"/>
      <c r="U1203" s="49"/>
      <c r="V1203" s="49"/>
      <c r="W1203" s="49"/>
      <c r="X1203" s="49"/>
    </row>
    <row r="1204" spans="1:24" s="27" customFormat="1" x14ac:dyDescent="0.25">
      <c r="A1204" s="26"/>
      <c r="B1204" s="26"/>
      <c r="C1204" s="23"/>
      <c r="E1204" s="29"/>
      <c r="F1204" s="29"/>
      <c r="G1204" s="29"/>
      <c r="H1204" s="29"/>
      <c r="I1204" s="29"/>
      <c r="J1204" s="49"/>
      <c r="K1204" s="49"/>
      <c r="L1204" s="49"/>
      <c r="M1204" s="49"/>
      <c r="N1204" s="49"/>
      <c r="O1204" s="49"/>
      <c r="P1204" s="49"/>
      <c r="Q1204" s="49"/>
      <c r="R1204" s="49"/>
      <c r="S1204" s="49"/>
      <c r="T1204" s="49"/>
      <c r="U1204" s="49"/>
      <c r="V1204" s="49"/>
      <c r="W1204" s="49"/>
      <c r="X1204" s="49"/>
    </row>
    <row r="1205" spans="1:24" s="27" customFormat="1" x14ac:dyDescent="0.25">
      <c r="A1205" s="26"/>
      <c r="B1205" s="26"/>
      <c r="C1205" s="23"/>
      <c r="E1205" s="29"/>
      <c r="F1205" s="29"/>
      <c r="G1205" s="29"/>
      <c r="H1205" s="29"/>
      <c r="I1205" s="29"/>
      <c r="J1205" s="49"/>
      <c r="K1205" s="49"/>
      <c r="L1205" s="49"/>
      <c r="M1205" s="49"/>
      <c r="N1205" s="49"/>
      <c r="O1205" s="49"/>
      <c r="P1205" s="49"/>
      <c r="Q1205" s="49"/>
      <c r="R1205" s="49"/>
      <c r="S1205" s="49"/>
      <c r="T1205" s="49"/>
      <c r="U1205" s="49"/>
      <c r="V1205" s="49"/>
      <c r="W1205" s="49"/>
      <c r="X1205" s="49"/>
    </row>
    <row r="1206" spans="1:24" s="27" customFormat="1" x14ac:dyDescent="0.25">
      <c r="A1206" s="26"/>
      <c r="B1206" s="26"/>
      <c r="C1206" s="23"/>
      <c r="E1206" s="29"/>
      <c r="F1206" s="29"/>
      <c r="G1206" s="29"/>
      <c r="H1206" s="29"/>
      <c r="I1206" s="29"/>
      <c r="J1206" s="49"/>
      <c r="K1206" s="49"/>
      <c r="L1206" s="49"/>
      <c r="M1206" s="49"/>
      <c r="N1206" s="49"/>
      <c r="O1206" s="49"/>
      <c r="P1206" s="49"/>
      <c r="Q1206" s="49"/>
      <c r="R1206" s="49"/>
      <c r="S1206" s="49"/>
      <c r="T1206" s="49"/>
      <c r="U1206" s="49"/>
      <c r="V1206" s="49"/>
      <c r="W1206" s="49"/>
      <c r="X1206" s="49"/>
    </row>
    <row r="1207" spans="1:24" s="27" customFormat="1" x14ac:dyDescent="0.25">
      <c r="A1207" s="26"/>
      <c r="B1207" s="26"/>
      <c r="C1207" s="23"/>
      <c r="E1207" s="29"/>
      <c r="F1207" s="29"/>
      <c r="G1207" s="29"/>
      <c r="H1207" s="29"/>
      <c r="I1207" s="29"/>
      <c r="J1207" s="49"/>
      <c r="K1207" s="49"/>
      <c r="L1207" s="49"/>
      <c r="M1207" s="49"/>
      <c r="N1207" s="49"/>
      <c r="O1207" s="49"/>
      <c r="P1207" s="49"/>
      <c r="Q1207" s="49"/>
      <c r="R1207" s="49"/>
      <c r="S1207" s="49"/>
      <c r="T1207" s="49"/>
      <c r="U1207" s="49"/>
      <c r="V1207" s="49"/>
      <c r="W1207" s="49"/>
      <c r="X1207" s="49"/>
    </row>
    <row r="1208" spans="1:24" s="27" customFormat="1" x14ac:dyDescent="0.25">
      <c r="A1208" s="26"/>
      <c r="B1208" s="26"/>
      <c r="C1208" s="23"/>
      <c r="E1208" s="29"/>
      <c r="F1208" s="29"/>
      <c r="G1208" s="29"/>
      <c r="H1208" s="29"/>
      <c r="I1208" s="29"/>
      <c r="J1208" s="49"/>
      <c r="K1208" s="49"/>
      <c r="L1208" s="49"/>
      <c r="M1208" s="49"/>
      <c r="N1208" s="49"/>
      <c r="O1208" s="49"/>
      <c r="P1208" s="49"/>
      <c r="Q1208" s="49"/>
      <c r="R1208" s="49"/>
      <c r="S1208" s="49"/>
      <c r="T1208" s="49"/>
      <c r="U1208" s="49"/>
      <c r="V1208" s="49"/>
      <c r="W1208" s="49"/>
      <c r="X1208" s="49"/>
    </row>
    <row r="1209" spans="1:24" s="27" customFormat="1" x14ac:dyDescent="0.25">
      <c r="A1209" s="26"/>
      <c r="B1209" s="26"/>
      <c r="C1209" s="23"/>
      <c r="E1209" s="29"/>
      <c r="F1209" s="29"/>
      <c r="G1209" s="29"/>
      <c r="H1209" s="29"/>
      <c r="I1209" s="29"/>
      <c r="J1209" s="49"/>
      <c r="K1209" s="49"/>
      <c r="L1209" s="49"/>
      <c r="M1209" s="49"/>
      <c r="N1209" s="49"/>
      <c r="O1209" s="49"/>
      <c r="P1209" s="49"/>
      <c r="Q1209" s="49"/>
      <c r="R1209" s="49"/>
      <c r="S1209" s="49"/>
      <c r="T1209" s="49"/>
      <c r="U1209" s="49"/>
      <c r="V1209" s="49"/>
      <c r="W1209" s="49"/>
      <c r="X1209" s="49"/>
    </row>
    <row r="1210" spans="1:24" s="27" customFormat="1" x14ac:dyDescent="0.25">
      <c r="A1210" s="26"/>
      <c r="B1210" s="26"/>
      <c r="C1210" s="23"/>
      <c r="E1210" s="29"/>
      <c r="F1210" s="29"/>
      <c r="G1210" s="29"/>
      <c r="H1210" s="29"/>
      <c r="I1210" s="29"/>
      <c r="J1210" s="49"/>
      <c r="K1210" s="49"/>
      <c r="L1210" s="49"/>
      <c r="M1210" s="49"/>
      <c r="N1210" s="49"/>
      <c r="O1210" s="49"/>
      <c r="P1210" s="49"/>
      <c r="Q1210" s="49"/>
      <c r="R1210" s="49"/>
      <c r="S1210" s="49"/>
      <c r="T1210" s="49"/>
      <c r="U1210" s="49"/>
      <c r="V1210" s="49"/>
      <c r="W1210" s="49"/>
      <c r="X1210" s="49"/>
    </row>
    <row r="1211" spans="1:24" s="27" customFormat="1" x14ac:dyDescent="0.25">
      <c r="A1211" s="26"/>
      <c r="B1211" s="26"/>
      <c r="C1211" s="23"/>
      <c r="E1211" s="29"/>
      <c r="F1211" s="29"/>
      <c r="G1211" s="29"/>
      <c r="H1211" s="29"/>
      <c r="I1211" s="29"/>
      <c r="J1211" s="49"/>
      <c r="K1211" s="49"/>
      <c r="L1211" s="49"/>
      <c r="M1211" s="49"/>
      <c r="N1211" s="49"/>
      <c r="O1211" s="49"/>
      <c r="P1211" s="49"/>
      <c r="Q1211" s="49"/>
      <c r="R1211" s="49"/>
      <c r="S1211" s="49"/>
      <c r="T1211" s="49"/>
      <c r="U1211" s="49"/>
      <c r="V1211" s="49"/>
      <c r="W1211" s="49"/>
      <c r="X1211" s="49"/>
    </row>
    <row r="1212" spans="1:24" s="27" customFormat="1" x14ac:dyDescent="0.25">
      <c r="A1212" s="26"/>
      <c r="B1212" s="26"/>
      <c r="C1212" s="23"/>
      <c r="E1212" s="29"/>
      <c r="F1212" s="29"/>
      <c r="G1212" s="29"/>
      <c r="H1212" s="29"/>
      <c r="I1212" s="29"/>
      <c r="J1212" s="49"/>
      <c r="K1212" s="49"/>
      <c r="L1212" s="49"/>
      <c r="M1212" s="49"/>
      <c r="N1212" s="49"/>
      <c r="O1212" s="49"/>
      <c r="P1212" s="49"/>
      <c r="Q1212" s="49"/>
      <c r="R1212" s="49"/>
      <c r="S1212" s="49"/>
      <c r="T1212" s="49"/>
      <c r="U1212" s="49"/>
      <c r="V1212" s="49"/>
      <c r="W1212" s="49"/>
      <c r="X1212" s="49"/>
    </row>
    <row r="1213" spans="1:24" s="27" customFormat="1" x14ac:dyDescent="0.25">
      <c r="A1213" s="26"/>
      <c r="B1213" s="26"/>
      <c r="C1213" s="23"/>
      <c r="E1213" s="29"/>
      <c r="F1213" s="29"/>
      <c r="G1213" s="29"/>
      <c r="H1213" s="29"/>
      <c r="I1213" s="29"/>
      <c r="J1213" s="49"/>
      <c r="K1213" s="49"/>
      <c r="L1213" s="49"/>
      <c r="M1213" s="49"/>
      <c r="N1213" s="49"/>
      <c r="O1213" s="49"/>
      <c r="P1213" s="49"/>
      <c r="Q1213" s="49"/>
      <c r="R1213" s="49"/>
      <c r="S1213" s="49"/>
      <c r="T1213" s="49"/>
      <c r="U1213" s="49"/>
      <c r="V1213" s="49"/>
      <c r="W1213" s="49"/>
      <c r="X1213" s="49"/>
    </row>
    <row r="1214" spans="1:24" s="27" customFormat="1" x14ac:dyDescent="0.25">
      <c r="A1214" s="26"/>
      <c r="B1214" s="26"/>
      <c r="C1214" s="23"/>
      <c r="E1214" s="29"/>
      <c r="F1214" s="29"/>
      <c r="G1214" s="29"/>
      <c r="H1214" s="29"/>
      <c r="I1214" s="29"/>
      <c r="J1214" s="49"/>
      <c r="K1214" s="49"/>
      <c r="L1214" s="49"/>
      <c r="M1214" s="49"/>
      <c r="N1214" s="49"/>
      <c r="O1214" s="49"/>
      <c r="P1214" s="49"/>
      <c r="Q1214" s="49"/>
      <c r="R1214" s="49"/>
      <c r="S1214" s="49"/>
      <c r="T1214" s="49"/>
      <c r="U1214" s="49"/>
      <c r="V1214" s="49"/>
      <c r="W1214" s="49"/>
      <c r="X1214" s="49"/>
    </row>
    <row r="1215" spans="1:24" s="27" customFormat="1" x14ac:dyDescent="0.25">
      <c r="A1215" s="26"/>
      <c r="B1215" s="26"/>
      <c r="C1215" s="23"/>
      <c r="E1215" s="29"/>
      <c r="F1215" s="29"/>
      <c r="G1215" s="29"/>
      <c r="H1215" s="29"/>
      <c r="I1215" s="29"/>
      <c r="J1215" s="49"/>
      <c r="K1215" s="49"/>
      <c r="L1215" s="49"/>
      <c r="M1215" s="49"/>
      <c r="N1215" s="49"/>
      <c r="O1215" s="49"/>
      <c r="P1215" s="49"/>
      <c r="Q1215" s="49"/>
      <c r="R1215" s="49"/>
      <c r="S1215" s="49"/>
      <c r="T1215" s="49"/>
      <c r="U1215" s="49"/>
      <c r="V1215" s="49"/>
      <c r="W1215" s="49"/>
      <c r="X1215" s="49"/>
    </row>
    <row r="1216" spans="1:24" s="27" customFormat="1" x14ac:dyDescent="0.25">
      <c r="A1216" s="26"/>
      <c r="B1216" s="26"/>
      <c r="C1216" s="23"/>
      <c r="E1216" s="29"/>
      <c r="F1216" s="29"/>
      <c r="G1216" s="29"/>
      <c r="H1216" s="29"/>
      <c r="I1216" s="29"/>
      <c r="J1216" s="49"/>
      <c r="K1216" s="49"/>
      <c r="L1216" s="49"/>
      <c r="M1216" s="49"/>
      <c r="N1216" s="49"/>
      <c r="O1216" s="49"/>
      <c r="P1216" s="49"/>
      <c r="Q1216" s="49"/>
      <c r="R1216" s="49"/>
      <c r="S1216" s="49"/>
      <c r="T1216" s="49"/>
      <c r="U1216" s="49"/>
      <c r="V1216" s="49"/>
      <c r="W1216" s="49"/>
      <c r="X1216" s="49"/>
    </row>
    <row r="1217" spans="1:24" s="27" customFormat="1" x14ac:dyDescent="0.25">
      <c r="A1217" s="26"/>
      <c r="B1217" s="26"/>
      <c r="C1217" s="23"/>
      <c r="E1217" s="29"/>
      <c r="F1217" s="50"/>
      <c r="G1217" s="29"/>
      <c r="H1217" s="29"/>
      <c r="I1217" s="29"/>
      <c r="J1217" s="49"/>
      <c r="K1217" s="49"/>
      <c r="L1217" s="49"/>
      <c r="M1217" s="49"/>
      <c r="N1217" s="49"/>
      <c r="O1217" s="49"/>
      <c r="P1217" s="49"/>
      <c r="Q1217" s="49"/>
      <c r="R1217" s="49"/>
      <c r="S1217" s="49"/>
      <c r="T1217" s="49"/>
      <c r="U1217" s="49"/>
      <c r="V1217" s="49"/>
      <c r="W1217" s="49"/>
      <c r="X1217" s="49"/>
    </row>
    <row r="1218" spans="1:24" s="27" customFormat="1" x14ac:dyDescent="0.25">
      <c r="A1218" s="26"/>
      <c r="B1218" s="26"/>
      <c r="C1218" s="23"/>
      <c r="E1218" s="29"/>
      <c r="F1218" s="29"/>
      <c r="G1218" s="29"/>
      <c r="H1218" s="29"/>
      <c r="I1218" s="29"/>
      <c r="J1218" s="49"/>
      <c r="K1218" s="49"/>
      <c r="L1218" s="49"/>
      <c r="M1218" s="49"/>
      <c r="N1218" s="49"/>
      <c r="O1218" s="49"/>
      <c r="P1218" s="49"/>
      <c r="Q1218" s="49"/>
      <c r="R1218" s="49"/>
      <c r="S1218" s="49"/>
      <c r="T1218" s="49"/>
      <c r="U1218" s="49"/>
      <c r="V1218" s="49"/>
      <c r="W1218" s="49"/>
      <c r="X1218" s="49"/>
    </row>
    <row r="1219" spans="1:24" s="27" customFormat="1" x14ac:dyDescent="0.25">
      <c r="A1219" s="26"/>
      <c r="B1219" s="26"/>
      <c r="C1219" s="23"/>
      <c r="E1219" s="29"/>
      <c r="F1219" s="29"/>
      <c r="G1219" s="29"/>
      <c r="H1219" s="29"/>
      <c r="I1219" s="29"/>
      <c r="J1219" s="49"/>
      <c r="K1219" s="49"/>
      <c r="L1219" s="49"/>
      <c r="M1219" s="49"/>
      <c r="N1219" s="49"/>
      <c r="O1219" s="49"/>
      <c r="P1219" s="49"/>
      <c r="Q1219" s="49"/>
      <c r="R1219" s="49"/>
      <c r="S1219" s="49"/>
      <c r="T1219" s="49"/>
      <c r="U1219" s="49"/>
      <c r="V1219" s="49"/>
      <c r="W1219" s="49"/>
      <c r="X1219" s="49"/>
    </row>
    <row r="1220" spans="1:24" s="27" customFormat="1" x14ac:dyDescent="0.25">
      <c r="A1220" s="26"/>
      <c r="B1220" s="26"/>
      <c r="C1220" s="23"/>
      <c r="E1220" s="29"/>
      <c r="F1220" s="29"/>
      <c r="G1220" s="29"/>
      <c r="H1220" s="29"/>
      <c r="I1220" s="29"/>
      <c r="J1220" s="49"/>
      <c r="K1220" s="49"/>
      <c r="L1220" s="49"/>
      <c r="M1220" s="49"/>
      <c r="N1220" s="49"/>
      <c r="O1220" s="49"/>
      <c r="P1220" s="49"/>
      <c r="Q1220" s="49"/>
      <c r="R1220" s="49"/>
      <c r="S1220" s="49"/>
      <c r="T1220" s="49"/>
      <c r="U1220" s="49"/>
      <c r="V1220" s="49"/>
      <c r="W1220" s="49"/>
      <c r="X1220" s="49"/>
    </row>
    <row r="1221" spans="1:24" s="27" customFormat="1" x14ac:dyDescent="0.25">
      <c r="A1221" s="26"/>
      <c r="B1221" s="26"/>
      <c r="C1221" s="23"/>
      <c r="E1221" s="29"/>
      <c r="F1221" s="29"/>
      <c r="G1221" s="29"/>
      <c r="H1221" s="29"/>
      <c r="I1221" s="29"/>
      <c r="J1221" s="49"/>
      <c r="K1221" s="49"/>
      <c r="L1221" s="49"/>
      <c r="M1221" s="49"/>
      <c r="N1221" s="49"/>
      <c r="O1221" s="49"/>
      <c r="P1221" s="49"/>
      <c r="Q1221" s="49"/>
      <c r="R1221" s="49"/>
      <c r="S1221" s="49"/>
      <c r="T1221" s="49"/>
      <c r="U1221" s="49"/>
      <c r="V1221" s="49"/>
      <c r="W1221" s="49"/>
      <c r="X1221" s="49"/>
    </row>
    <row r="1222" spans="1:24" s="27" customFormat="1" x14ac:dyDescent="0.25">
      <c r="A1222" s="26"/>
      <c r="B1222" s="26"/>
      <c r="C1222" s="23"/>
      <c r="E1222" s="29"/>
      <c r="F1222" s="29"/>
      <c r="G1222" s="29"/>
      <c r="H1222" s="29"/>
      <c r="I1222" s="29"/>
      <c r="J1222" s="49"/>
      <c r="K1222" s="49"/>
      <c r="L1222" s="49"/>
      <c r="M1222" s="49"/>
      <c r="N1222" s="49"/>
      <c r="O1222" s="49"/>
      <c r="P1222" s="49"/>
      <c r="Q1222" s="49"/>
      <c r="R1222" s="49"/>
      <c r="S1222" s="49"/>
      <c r="T1222" s="49"/>
      <c r="U1222" s="49"/>
      <c r="V1222" s="49"/>
      <c r="W1222" s="49"/>
      <c r="X1222" s="49"/>
    </row>
    <row r="1223" spans="1:24" s="27" customFormat="1" x14ac:dyDescent="0.25">
      <c r="A1223" s="26"/>
      <c r="B1223" s="26"/>
      <c r="C1223" s="23"/>
      <c r="E1223" s="29"/>
      <c r="F1223" s="29"/>
      <c r="G1223" s="29"/>
      <c r="H1223" s="29"/>
      <c r="I1223" s="29"/>
      <c r="J1223" s="49"/>
      <c r="K1223" s="49"/>
      <c r="L1223" s="49"/>
      <c r="M1223" s="49"/>
      <c r="N1223" s="49"/>
      <c r="O1223" s="49"/>
      <c r="P1223" s="49"/>
      <c r="Q1223" s="49"/>
      <c r="R1223" s="49"/>
      <c r="S1223" s="49"/>
      <c r="T1223" s="49"/>
      <c r="U1223" s="49"/>
      <c r="V1223" s="49"/>
      <c r="W1223" s="49"/>
      <c r="X1223" s="49"/>
    </row>
    <row r="1224" spans="1:24" s="27" customFormat="1" x14ac:dyDescent="0.25">
      <c r="A1224" s="26"/>
      <c r="B1224" s="26"/>
      <c r="C1224" s="23"/>
      <c r="E1224" s="29"/>
      <c r="F1224" s="29"/>
      <c r="G1224" s="29"/>
      <c r="H1224" s="29"/>
      <c r="I1224" s="29"/>
      <c r="J1224" s="49"/>
      <c r="K1224" s="49"/>
      <c r="L1224" s="49"/>
      <c r="M1224" s="49"/>
      <c r="N1224" s="49"/>
      <c r="O1224" s="49"/>
      <c r="P1224" s="49"/>
      <c r="Q1224" s="49"/>
      <c r="R1224" s="49"/>
      <c r="S1224" s="49"/>
      <c r="T1224" s="49"/>
      <c r="U1224" s="49"/>
      <c r="V1224" s="49"/>
      <c r="W1224" s="49"/>
      <c r="X1224" s="49"/>
    </row>
    <row r="1225" spans="1:24" s="27" customFormat="1" x14ac:dyDescent="0.25">
      <c r="A1225" s="26"/>
      <c r="B1225" s="26"/>
      <c r="C1225" s="23"/>
      <c r="E1225" s="29"/>
      <c r="F1225" s="29"/>
      <c r="G1225" s="29"/>
      <c r="H1225" s="29"/>
      <c r="I1225" s="29"/>
      <c r="J1225" s="49"/>
      <c r="K1225" s="49"/>
      <c r="L1225" s="49"/>
      <c r="M1225" s="49"/>
      <c r="N1225" s="49"/>
      <c r="O1225" s="49"/>
      <c r="P1225" s="49"/>
      <c r="Q1225" s="49"/>
      <c r="R1225" s="49"/>
      <c r="S1225" s="49"/>
      <c r="T1225" s="49"/>
      <c r="U1225" s="49"/>
      <c r="V1225" s="49"/>
      <c r="W1225" s="49"/>
      <c r="X1225" s="49"/>
    </row>
    <row r="1226" spans="1:24" s="27" customFormat="1" x14ac:dyDescent="0.25">
      <c r="A1226" s="26"/>
      <c r="B1226" s="26"/>
      <c r="C1226" s="23"/>
      <c r="E1226" s="29"/>
      <c r="F1226" s="29"/>
      <c r="G1226" s="29"/>
      <c r="H1226" s="29"/>
      <c r="I1226" s="29"/>
      <c r="J1226" s="49"/>
      <c r="K1226" s="49"/>
      <c r="L1226" s="49"/>
      <c r="M1226" s="49"/>
      <c r="N1226" s="49"/>
      <c r="O1226" s="49"/>
      <c r="P1226" s="49"/>
      <c r="Q1226" s="49"/>
      <c r="R1226" s="49"/>
      <c r="S1226" s="49"/>
      <c r="T1226" s="49"/>
      <c r="U1226" s="49"/>
      <c r="V1226" s="49"/>
      <c r="W1226" s="49"/>
      <c r="X1226" s="49"/>
    </row>
    <row r="1227" spans="1:24" s="27" customFormat="1" x14ac:dyDescent="0.25">
      <c r="A1227" s="26"/>
      <c r="B1227" s="26"/>
      <c r="C1227" s="23"/>
      <c r="E1227" s="29"/>
      <c r="F1227" s="50"/>
      <c r="G1227" s="29"/>
      <c r="H1227" s="29"/>
      <c r="I1227" s="29"/>
      <c r="J1227" s="49"/>
      <c r="K1227" s="49"/>
      <c r="L1227" s="49"/>
      <c r="M1227" s="49"/>
      <c r="N1227" s="49"/>
      <c r="O1227" s="49"/>
      <c r="P1227" s="49"/>
      <c r="Q1227" s="49"/>
      <c r="R1227" s="49"/>
      <c r="S1227" s="49"/>
      <c r="T1227" s="49"/>
      <c r="U1227" s="49"/>
      <c r="V1227" s="49"/>
      <c r="W1227" s="49"/>
      <c r="X1227" s="49"/>
    </row>
    <row r="1228" spans="1:24" s="27" customFormat="1" x14ac:dyDescent="0.25">
      <c r="A1228" s="26"/>
      <c r="B1228" s="26"/>
      <c r="C1228" s="23"/>
      <c r="E1228" s="29"/>
      <c r="F1228" s="50"/>
      <c r="G1228" s="29"/>
      <c r="H1228" s="29"/>
      <c r="I1228" s="29"/>
      <c r="J1228" s="49"/>
      <c r="K1228" s="49"/>
      <c r="L1228" s="49"/>
      <c r="M1228" s="49"/>
      <c r="N1228" s="49"/>
      <c r="O1228" s="49"/>
      <c r="P1228" s="49"/>
      <c r="Q1228" s="49"/>
      <c r="R1228" s="49"/>
      <c r="S1228" s="49"/>
      <c r="T1228" s="49"/>
      <c r="U1228" s="49"/>
      <c r="V1228" s="49"/>
      <c r="W1228" s="49"/>
      <c r="X1228" s="49"/>
    </row>
    <row r="1229" spans="1:24" s="27" customFormat="1" x14ac:dyDescent="0.25">
      <c r="A1229" s="26"/>
      <c r="B1229" s="26"/>
      <c r="C1229" s="23"/>
      <c r="E1229" s="29"/>
      <c r="F1229" s="29"/>
      <c r="G1229" s="29"/>
      <c r="H1229" s="29"/>
      <c r="I1229" s="29"/>
      <c r="J1229" s="49"/>
      <c r="K1229" s="49"/>
      <c r="L1229" s="49"/>
      <c r="M1229" s="49"/>
      <c r="N1229" s="49"/>
      <c r="O1229" s="49"/>
      <c r="P1229" s="49"/>
      <c r="Q1229" s="49"/>
      <c r="R1229" s="49"/>
      <c r="S1229" s="49"/>
      <c r="T1229" s="49"/>
      <c r="U1229" s="49"/>
      <c r="V1229" s="49"/>
      <c r="W1229" s="49"/>
      <c r="X1229" s="49"/>
    </row>
    <row r="1230" spans="1:24" s="27" customFormat="1" x14ac:dyDescent="0.25">
      <c r="A1230" s="26"/>
      <c r="B1230" s="26"/>
      <c r="C1230" s="23"/>
      <c r="E1230" s="29"/>
      <c r="F1230" s="29"/>
      <c r="G1230" s="29"/>
      <c r="H1230" s="29"/>
      <c r="I1230" s="29"/>
      <c r="J1230" s="49"/>
      <c r="K1230" s="49"/>
      <c r="L1230" s="49"/>
      <c r="M1230" s="49"/>
      <c r="N1230" s="49"/>
      <c r="O1230" s="49"/>
      <c r="P1230" s="49"/>
      <c r="Q1230" s="49"/>
      <c r="R1230" s="49"/>
      <c r="S1230" s="49"/>
      <c r="T1230" s="49"/>
      <c r="U1230" s="49"/>
      <c r="V1230" s="49"/>
      <c r="W1230" s="49"/>
      <c r="X1230" s="49"/>
    </row>
    <row r="1231" spans="1:24" s="27" customFormat="1" x14ac:dyDescent="0.25">
      <c r="A1231" s="26"/>
      <c r="B1231" s="26"/>
      <c r="C1231" s="23"/>
      <c r="E1231" s="29"/>
      <c r="F1231" s="50"/>
      <c r="G1231" s="29"/>
      <c r="H1231" s="29"/>
      <c r="I1231" s="29"/>
      <c r="J1231" s="49"/>
      <c r="K1231" s="49"/>
      <c r="L1231" s="49"/>
      <c r="M1231" s="49"/>
      <c r="N1231" s="49"/>
      <c r="O1231" s="49"/>
      <c r="P1231" s="49"/>
      <c r="Q1231" s="49"/>
      <c r="R1231" s="49"/>
      <c r="S1231" s="49"/>
      <c r="T1231" s="49"/>
      <c r="U1231" s="49"/>
      <c r="V1231" s="49"/>
      <c r="W1231" s="49"/>
      <c r="X1231" s="49"/>
    </row>
    <row r="1232" spans="1:24" s="27" customFormat="1" x14ac:dyDescent="0.25">
      <c r="A1232" s="26"/>
      <c r="B1232" s="26"/>
      <c r="C1232" s="23"/>
      <c r="E1232" s="29"/>
      <c r="F1232" s="29"/>
      <c r="G1232" s="29"/>
      <c r="H1232" s="29"/>
      <c r="I1232" s="29"/>
      <c r="J1232" s="49"/>
      <c r="K1232" s="49"/>
      <c r="L1232" s="49"/>
      <c r="M1232" s="49"/>
      <c r="N1232" s="49"/>
      <c r="O1232" s="49"/>
      <c r="P1232" s="49"/>
      <c r="Q1232" s="49"/>
      <c r="R1232" s="49"/>
      <c r="S1232" s="49"/>
      <c r="T1232" s="49"/>
      <c r="U1232" s="49"/>
      <c r="V1232" s="49"/>
      <c r="W1232" s="49"/>
      <c r="X1232" s="49"/>
    </row>
    <row r="1233" spans="1:24" s="27" customFormat="1" x14ac:dyDescent="0.25">
      <c r="A1233" s="26"/>
      <c r="B1233" s="26"/>
      <c r="C1233" s="23"/>
      <c r="E1233" s="29"/>
      <c r="F1233" s="29"/>
      <c r="G1233" s="29"/>
      <c r="H1233" s="29"/>
      <c r="I1233" s="29"/>
      <c r="J1233" s="49"/>
      <c r="K1233" s="49"/>
      <c r="L1233" s="49"/>
      <c r="M1233" s="49"/>
      <c r="N1233" s="49"/>
      <c r="O1233" s="49"/>
      <c r="P1233" s="49"/>
      <c r="Q1233" s="49"/>
      <c r="R1233" s="49"/>
      <c r="S1233" s="49"/>
      <c r="T1233" s="49"/>
      <c r="U1233" s="49"/>
      <c r="V1233" s="49"/>
      <c r="W1233" s="49"/>
      <c r="X1233" s="49"/>
    </row>
    <row r="1234" spans="1:24" s="27" customFormat="1" x14ac:dyDescent="0.25">
      <c r="A1234" s="26"/>
      <c r="B1234" s="26"/>
      <c r="C1234" s="23"/>
      <c r="E1234" s="29"/>
      <c r="F1234" s="29"/>
      <c r="G1234" s="29"/>
      <c r="H1234" s="29"/>
      <c r="I1234" s="29"/>
      <c r="J1234" s="49"/>
      <c r="K1234" s="49"/>
      <c r="L1234" s="49"/>
      <c r="M1234" s="49"/>
      <c r="N1234" s="49"/>
      <c r="O1234" s="49"/>
      <c r="P1234" s="49"/>
      <c r="Q1234" s="49"/>
      <c r="R1234" s="49"/>
      <c r="S1234" s="49"/>
      <c r="T1234" s="49"/>
      <c r="U1234" s="49"/>
      <c r="V1234" s="49"/>
      <c r="W1234" s="49"/>
      <c r="X1234" s="49"/>
    </row>
    <row r="1235" spans="1:24" s="27" customFormat="1" x14ac:dyDescent="0.25">
      <c r="A1235" s="26"/>
      <c r="B1235" s="26"/>
      <c r="C1235" s="23"/>
      <c r="E1235" s="29"/>
      <c r="F1235" s="29"/>
      <c r="G1235" s="29"/>
      <c r="H1235" s="29"/>
      <c r="I1235" s="29"/>
      <c r="J1235" s="49"/>
      <c r="K1235" s="49"/>
      <c r="L1235" s="49"/>
      <c r="M1235" s="49"/>
      <c r="N1235" s="49"/>
      <c r="O1235" s="49"/>
      <c r="P1235" s="49"/>
      <c r="Q1235" s="49"/>
      <c r="R1235" s="49"/>
      <c r="S1235" s="49"/>
      <c r="T1235" s="49"/>
      <c r="U1235" s="49"/>
      <c r="V1235" s="49"/>
      <c r="W1235" s="49"/>
      <c r="X1235" s="49"/>
    </row>
    <row r="1236" spans="1:24" s="27" customFormat="1" x14ac:dyDescent="0.25">
      <c r="A1236" s="26"/>
      <c r="B1236" s="26"/>
      <c r="C1236" s="23"/>
      <c r="E1236" s="29"/>
      <c r="F1236" s="29"/>
      <c r="G1236" s="29"/>
      <c r="H1236" s="29"/>
      <c r="I1236" s="29"/>
      <c r="J1236" s="49"/>
      <c r="K1236" s="49"/>
      <c r="L1236" s="49"/>
      <c r="M1236" s="49"/>
      <c r="N1236" s="49"/>
      <c r="O1236" s="49"/>
      <c r="P1236" s="49"/>
      <c r="Q1236" s="49"/>
      <c r="R1236" s="49"/>
      <c r="S1236" s="49"/>
      <c r="T1236" s="49"/>
      <c r="U1236" s="49"/>
      <c r="V1236" s="49"/>
      <c r="W1236" s="49"/>
      <c r="X1236" s="49"/>
    </row>
    <row r="1237" spans="1:24" s="27" customFormat="1" x14ac:dyDescent="0.25">
      <c r="A1237" s="26"/>
      <c r="B1237" s="26"/>
      <c r="C1237" s="23"/>
      <c r="E1237" s="29"/>
      <c r="F1237" s="29"/>
      <c r="G1237" s="29"/>
      <c r="H1237" s="29"/>
      <c r="I1237" s="29"/>
      <c r="J1237" s="49"/>
      <c r="K1237" s="49"/>
      <c r="L1237" s="49"/>
      <c r="M1237" s="49"/>
      <c r="N1237" s="49"/>
      <c r="O1237" s="49"/>
      <c r="P1237" s="49"/>
      <c r="Q1237" s="49"/>
      <c r="R1237" s="49"/>
      <c r="S1237" s="49"/>
      <c r="T1237" s="49"/>
      <c r="U1237" s="49"/>
      <c r="V1237" s="49"/>
      <c r="W1237" s="49"/>
      <c r="X1237" s="49"/>
    </row>
    <row r="1238" spans="1:24" s="27" customFormat="1" x14ac:dyDescent="0.25">
      <c r="A1238" s="26"/>
      <c r="B1238" s="26"/>
      <c r="C1238" s="23"/>
      <c r="E1238" s="29"/>
      <c r="F1238" s="29"/>
      <c r="G1238" s="29"/>
      <c r="H1238" s="29"/>
      <c r="I1238" s="29"/>
      <c r="J1238" s="49"/>
      <c r="K1238" s="49"/>
      <c r="L1238" s="49"/>
      <c r="M1238" s="49"/>
      <c r="N1238" s="49"/>
      <c r="O1238" s="49"/>
      <c r="P1238" s="49"/>
      <c r="Q1238" s="49"/>
      <c r="R1238" s="49"/>
      <c r="S1238" s="49"/>
      <c r="T1238" s="49"/>
      <c r="U1238" s="49"/>
      <c r="V1238" s="49"/>
      <c r="W1238" s="49"/>
      <c r="X1238" s="49"/>
    </row>
    <row r="1239" spans="1:24" s="27" customFormat="1" x14ac:dyDescent="0.25">
      <c r="A1239" s="26"/>
      <c r="B1239" s="26"/>
      <c r="C1239" s="23"/>
      <c r="E1239" s="29"/>
      <c r="F1239" s="29"/>
      <c r="G1239" s="29"/>
      <c r="H1239" s="29"/>
      <c r="I1239" s="29"/>
      <c r="J1239" s="49"/>
      <c r="K1239" s="49"/>
      <c r="L1239" s="49"/>
      <c r="M1239" s="49"/>
      <c r="N1239" s="49"/>
      <c r="O1239" s="49"/>
      <c r="P1239" s="49"/>
      <c r="Q1239" s="49"/>
      <c r="R1239" s="49"/>
      <c r="S1239" s="49"/>
      <c r="T1239" s="49"/>
      <c r="U1239" s="49"/>
      <c r="V1239" s="49"/>
      <c r="W1239" s="49"/>
      <c r="X1239" s="49"/>
    </row>
    <row r="1240" spans="1:24" s="27" customFormat="1" x14ac:dyDescent="0.25">
      <c r="A1240" s="26"/>
      <c r="B1240" s="26"/>
      <c r="C1240" s="23"/>
      <c r="E1240" s="29"/>
      <c r="F1240" s="29"/>
      <c r="G1240" s="29"/>
      <c r="H1240" s="29"/>
      <c r="I1240" s="29"/>
      <c r="J1240" s="49"/>
      <c r="K1240" s="49"/>
      <c r="L1240" s="49"/>
      <c r="M1240" s="49"/>
      <c r="N1240" s="49"/>
      <c r="O1240" s="49"/>
      <c r="P1240" s="49"/>
      <c r="Q1240" s="49"/>
      <c r="R1240" s="49"/>
      <c r="S1240" s="49"/>
      <c r="T1240" s="49"/>
      <c r="U1240" s="49"/>
      <c r="V1240" s="49"/>
      <c r="W1240" s="49"/>
      <c r="X1240" s="49"/>
    </row>
    <row r="1241" spans="1:24" s="27" customFormat="1" x14ac:dyDescent="0.25">
      <c r="A1241" s="26"/>
      <c r="B1241" s="26"/>
      <c r="C1241" s="23"/>
      <c r="E1241" s="29"/>
      <c r="F1241" s="29"/>
      <c r="G1241" s="29"/>
      <c r="H1241" s="29"/>
      <c r="I1241" s="29"/>
      <c r="J1241" s="49"/>
      <c r="K1241" s="49"/>
      <c r="L1241" s="49"/>
      <c r="M1241" s="49"/>
      <c r="N1241" s="49"/>
      <c r="O1241" s="49"/>
      <c r="P1241" s="49"/>
      <c r="Q1241" s="49"/>
      <c r="R1241" s="49"/>
      <c r="S1241" s="49"/>
      <c r="T1241" s="49"/>
      <c r="U1241" s="49"/>
      <c r="V1241" s="49"/>
      <c r="W1241" s="49"/>
      <c r="X1241" s="49"/>
    </row>
    <row r="1242" spans="1:24" s="27" customFormat="1" x14ac:dyDescent="0.25">
      <c r="A1242" s="26"/>
      <c r="B1242" s="26"/>
      <c r="C1242" s="23"/>
      <c r="E1242" s="29"/>
      <c r="F1242" s="29"/>
      <c r="G1242" s="29"/>
      <c r="H1242" s="29"/>
      <c r="I1242" s="29"/>
      <c r="J1242" s="49"/>
      <c r="K1242" s="49"/>
      <c r="L1242" s="49"/>
      <c r="M1242" s="49"/>
      <c r="N1242" s="49"/>
      <c r="O1242" s="49"/>
      <c r="P1242" s="49"/>
      <c r="Q1242" s="49"/>
      <c r="R1242" s="49"/>
      <c r="S1242" s="49"/>
      <c r="T1242" s="49"/>
      <c r="U1242" s="49"/>
      <c r="V1242" s="49"/>
      <c r="W1242" s="49"/>
      <c r="X1242" s="49"/>
    </row>
    <row r="1243" spans="1:24" s="27" customFormat="1" x14ac:dyDescent="0.25">
      <c r="A1243" s="26"/>
      <c r="B1243" s="26"/>
      <c r="C1243" s="23"/>
      <c r="E1243" s="29"/>
      <c r="F1243" s="29"/>
      <c r="G1243" s="29"/>
      <c r="H1243" s="29"/>
      <c r="I1243" s="29"/>
      <c r="J1243" s="49"/>
      <c r="K1243" s="49"/>
      <c r="L1243" s="49"/>
      <c r="M1243" s="49"/>
      <c r="N1243" s="49"/>
      <c r="O1243" s="49"/>
      <c r="P1243" s="49"/>
      <c r="Q1243" s="49"/>
      <c r="R1243" s="49"/>
      <c r="S1243" s="49"/>
      <c r="T1243" s="49"/>
      <c r="U1243" s="49"/>
      <c r="V1243" s="49"/>
      <c r="W1243" s="49"/>
      <c r="X1243" s="49"/>
    </row>
    <row r="1244" spans="1:24" s="27" customFormat="1" x14ac:dyDescent="0.25">
      <c r="A1244" s="26"/>
      <c r="B1244" s="26"/>
      <c r="C1244" s="23"/>
      <c r="E1244" s="29"/>
      <c r="F1244" s="29"/>
      <c r="G1244" s="29"/>
      <c r="H1244" s="29"/>
      <c r="I1244" s="29"/>
      <c r="J1244" s="49"/>
      <c r="K1244" s="49"/>
      <c r="L1244" s="49"/>
      <c r="M1244" s="49"/>
      <c r="N1244" s="49"/>
      <c r="O1244" s="49"/>
      <c r="P1244" s="49"/>
      <c r="Q1244" s="49"/>
      <c r="R1244" s="49"/>
      <c r="S1244" s="49"/>
      <c r="T1244" s="49"/>
      <c r="U1244" s="49"/>
      <c r="V1244" s="49"/>
      <c r="W1244" s="49"/>
      <c r="X1244" s="49"/>
    </row>
    <row r="1245" spans="1:24" s="27" customFormat="1" x14ac:dyDescent="0.25">
      <c r="A1245" s="26"/>
      <c r="B1245" s="26"/>
      <c r="C1245" s="23"/>
      <c r="E1245" s="29"/>
      <c r="F1245" s="29"/>
      <c r="G1245" s="29"/>
      <c r="H1245" s="29"/>
      <c r="I1245" s="29"/>
      <c r="J1245" s="49"/>
      <c r="K1245" s="49"/>
      <c r="L1245" s="49"/>
      <c r="M1245" s="49"/>
      <c r="N1245" s="49"/>
      <c r="O1245" s="49"/>
      <c r="P1245" s="49"/>
      <c r="Q1245" s="49"/>
      <c r="R1245" s="49"/>
      <c r="S1245" s="49"/>
      <c r="T1245" s="49"/>
      <c r="U1245" s="49"/>
      <c r="V1245" s="49"/>
      <c r="W1245" s="49"/>
      <c r="X1245" s="49"/>
    </row>
    <row r="1246" spans="1:24" s="27" customFormat="1" x14ac:dyDescent="0.25">
      <c r="A1246" s="26"/>
      <c r="B1246" s="26"/>
      <c r="C1246" s="23"/>
      <c r="E1246" s="29"/>
      <c r="F1246" s="29"/>
      <c r="G1246" s="29"/>
      <c r="H1246" s="29"/>
      <c r="I1246" s="29"/>
      <c r="J1246" s="49"/>
      <c r="K1246" s="49"/>
      <c r="L1246" s="49"/>
      <c r="M1246" s="49"/>
      <c r="N1246" s="49"/>
      <c r="O1246" s="49"/>
      <c r="P1246" s="49"/>
      <c r="Q1246" s="49"/>
      <c r="R1246" s="49"/>
      <c r="S1246" s="49"/>
      <c r="T1246" s="49"/>
      <c r="U1246" s="49"/>
      <c r="V1246" s="49"/>
      <c r="W1246" s="49"/>
      <c r="X1246" s="49"/>
    </row>
    <row r="1247" spans="1:24" s="27" customFormat="1" x14ac:dyDescent="0.25">
      <c r="A1247" s="26"/>
      <c r="B1247" s="26"/>
      <c r="C1247" s="23"/>
      <c r="E1247" s="29"/>
      <c r="F1247" s="29"/>
      <c r="G1247" s="29"/>
      <c r="H1247" s="29"/>
      <c r="I1247" s="29"/>
      <c r="J1247" s="49"/>
      <c r="K1247" s="49"/>
      <c r="L1247" s="49"/>
      <c r="M1247" s="49"/>
      <c r="N1247" s="49"/>
      <c r="O1247" s="49"/>
      <c r="P1247" s="49"/>
      <c r="Q1247" s="49"/>
      <c r="R1247" s="49"/>
      <c r="S1247" s="49"/>
      <c r="T1247" s="49"/>
      <c r="U1247" s="49"/>
      <c r="V1247" s="49"/>
      <c r="W1247" s="49"/>
      <c r="X1247" s="49"/>
    </row>
    <row r="1248" spans="1:24" s="27" customFormat="1" x14ac:dyDescent="0.25">
      <c r="A1248" s="26"/>
      <c r="B1248" s="26"/>
      <c r="C1248" s="23"/>
      <c r="E1248" s="29"/>
      <c r="F1248" s="29"/>
      <c r="G1248" s="29"/>
      <c r="H1248" s="29"/>
      <c r="I1248" s="29"/>
      <c r="J1248" s="49"/>
      <c r="K1248" s="49"/>
      <c r="L1248" s="49"/>
      <c r="M1248" s="49"/>
      <c r="N1248" s="49"/>
      <c r="O1248" s="49"/>
      <c r="P1248" s="49"/>
      <c r="Q1248" s="49"/>
      <c r="R1248" s="49"/>
      <c r="S1248" s="49"/>
      <c r="T1248" s="49"/>
      <c r="U1248" s="49"/>
      <c r="V1248" s="49"/>
      <c r="W1248" s="49"/>
      <c r="X1248" s="49"/>
    </row>
    <row r="1249" spans="1:24" s="27" customFormat="1" x14ac:dyDescent="0.25">
      <c r="A1249" s="26"/>
      <c r="B1249" s="26"/>
      <c r="C1249" s="23"/>
      <c r="E1249" s="29"/>
      <c r="F1249" s="29"/>
      <c r="G1249" s="29"/>
      <c r="H1249" s="29"/>
      <c r="I1249" s="29"/>
      <c r="J1249" s="49"/>
      <c r="K1249" s="49"/>
      <c r="L1249" s="49"/>
      <c r="M1249" s="49"/>
      <c r="N1249" s="49"/>
      <c r="O1249" s="49"/>
      <c r="P1249" s="49"/>
      <c r="Q1249" s="49"/>
      <c r="R1249" s="49"/>
      <c r="S1249" s="49"/>
      <c r="T1249" s="49"/>
      <c r="U1249" s="49"/>
      <c r="V1249" s="49"/>
      <c r="W1249" s="49"/>
      <c r="X1249" s="49"/>
    </row>
    <row r="1250" spans="1:24" s="27" customFormat="1" x14ac:dyDescent="0.25">
      <c r="A1250" s="26"/>
      <c r="B1250" s="26"/>
      <c r="C1250" s="23"/>
      <c r="E1250" s="29"/>
      <c r="F1250" s="29"/>
      <c r="G1250" s="29"/>
      <c r="H1250" s="29"/>
      <c r="I1250" s="29"/>
      <c r="J1250" s="49"/>
      <c r="K1250" s="49"/>
      <c r="L1250" s="49"/>
      <c r="M1250" s="49"/>
      <c r="N1250" s="49"/>
      <c r="O1250" s="49"/>
      <c r="P1250" s="49"/>
      <c r="Q1250" s="49"/>
      <c r="R1250" s="49"/>
      <c r="S1250" s="49"/>
      <c r="T1250" s="49"/>
      <c r="U1250" s="49"/>
      <c r="V1250" s="49"/>
      <c r="W1250" s="49"/>
      <c r="X1250" s="49"/>
    </row>
    <row r="1251" spans="1:24" s="27" customFormat="1" x14ac:dyDescent="0.25">
      <c r="A1251" s="26"/>
      <c r="B1251" s="26"/>
      <c r="C1251" s="23"/>
      <c r="E1251" s="29"/>
      <c r="F1251" s="29"/>
      <c r="G1251" s="29"/>
      <c r="H1251" s="29"/>
      <c r="I1251" s="29"/>
      <c r="J1251" s="49"/>
      <c r="K1251" s="49"/>
      <c r="L1251" s="49"/>
      <c r="M1251" s="49"/>
      <c r="N1251" s="49"/>
      <c r="O1251" s="49"/>
      <c r="P1251" s="49"/>
      <c r="Q1251" s="49"/>
      <c r="R1251" s="49"/>
      <c r="S1251" s="49"/>
      <c r="T1251" s="49"/>
      <c r="U1251" s="49"/>
      <c r="V1251" s="49"/>
      <c r="W1251" s="49"/>
      <c r="X1251" s="49"/>
    </row>
    <row r="1252" spans="1:24" s="27" customFormat="1" x14ac:dyDescent="0.25">
      <c r="A1252" s="26"/>
      <c r="B1252" s="26"/>
      <c r="C1252" s="23"/>
      <c r="E1252" s="29"/>
      <c r="F1252" s="29"/>
      <c r="G1252" s="29"/>
      <c r="H1252" s="29"/>
      <c r="I1252" s="29"/>
      <c r="J1252" s="49"/>
      <c r="K1252" s="49"/>
      <c r="L1252" s="49"/>
      <c r="M1252" s="49"/>
      <c r="N1252" s="49"/>
      <c r="O1252" s="49"/>
      <c r="P1252" s="49"/>
      <c r="Q1252" s="49"/>
      <c r="R1252" s="49"/>
      <c r="S1252" s="49"/>
      <c r="T1252" s="49"/>
      <c r="U1252" s="49"/>
      <c r="V1252" s="49"/>
      <c r="W1252" s="49"/>
      <c r="X1252" s="49"/>
    </row>
    <row r="1253" spans="1:24" s="27" customFormat="1" x14ac:dyDescent="0.25">
      <c r="A1253" s="26"/>
      <c r="B1253" s="26"/>
      <c r="C1253" s="23"/>
      <c r="E1253" s="29"/>
      <c r="F1253" s="29"/>
      <c r="G1253" s="29"/>
      <c r="H1253" s="29"/>
      <c r="I1253" s="29"/>
      <c r="J1253" s="49"/>
      <c r="K1253" s="49"/>
      <c r="L1253" s="49"/>
      <c r="M1253" s="49"/>
      <c r="N1253" s="49"/>
      <c r="O1253" s="49"/>
      <c r="P1253" s="49"/>
      <c r="Q1253" s="49"/>
      <c r="R1253" s="49"/>
      <c r="S1253" s="49"/>
      <c r="T1253" s="49"/>
      <c r="U1253" s="49"/>
      <c r="V1253" s="49"/>
      <c r="W1253" s="49"/>
      <c r="X1253" s="49"/>
    </row>
    <row r="1254" spans="1:24" s="27" customFormat="1" x14ac:dyDescent="0.25">
      <c r="A1254" s="26"/>
      <c r="B1254" s="26"/>
      <c r="C1254" s="23"/>
      <c r="E1254" s="29"/>
      <c r="F1254" s="29"/>
      <c r="G1254" s="29"/>
      <c r="H1254" s="29"/>
      <c r="I1254" s="29"/>
      <c r="J1254" s="49"/>
      <c r="K1254" s="49"/>
      <c r="L1254" s="49"/>
      <c r="M1254" s="49"/>
      <c r="N1254" s="49"/>
      <c r="O1254" s="49"/>
      <c r="P1254" s="49"/>
      <c r="Q1254" s="49"/>
      <c r="R1254" s="49"/>
      <c r="S1254" s="49"/>
      <c r="T1254" s="49"/>
      <c r="U1254" s="49"/>
      <c r="V1254" s="49"/>
      <c r="W1254" s="49"/>
      <c r="X1254" s="49"/>
    </row>
    <row r="1255" spans="1:24" s="27" customFormat="1" x14ac:dyDescent="0.25">
      <c r="A1255" s="26"/>
      <c r="B1255" s="26"/>
      <c r="C1255" s="23"/>
      <c r="E1255" s="29"/>
      <c r="F1255" s="29"/>
      <c r="G1255" s="29"/>
      <c r="H1255" s="29"/>
      <c r="I1255" s="29"/>
      <c r="J1255" s="49"/>
      <c r="K1255" s="49"/>
      <c r="L1255" s="49"/>
      <c r="M1255" s="49"/>
      <c r="N1255" s="49"/>
      <c r="O1255" s="49"/>
      <c r="P1255" s="49"/>
      <c r="Q1255" s="49"/>
      <c r="R1255" s="49"/>
      <c r="S1255" s="49"/>
      <c r="T1255" s="49"/>
      <c r="U1255" s="49"/>
      <c r="V1255" s="49"/>
      <c r="W1255" s="49"/>
      <c r="X1255" s="49"/>
    </row>
    <row r="1256" spans="1:24" s="27" customFormat="1" x14ac:dyDescent="0.25">
      <c r="A1256" s="26"/>
      <c r="B1256" s="26"/>
      <c r="C1256" s="23"/>
      <c r="E1256" s="29"/>
      <c r="F1256" s="29"/>
      <c r="G1256" s="29"/>
      <c r="H1256" s="29"/>
      <c r="I1256" s="29"/>
      <c r="J1256" s="49"/>
      <c r="K1256" s="49"/>
      <c r="L1256" s="49"/>
      <c r="M1256" s="49"/>
      <c r="N1256" s="49"/>
      <c r="O1256" s="49"/>
      <c r="P1256" s="49"/>
      <c r="Q1256" s="49"/>
      <c r="R1256" s="49"/>
      <c r="S1256" s="49"/>
      <c r="T1256" s="49"/>
      <c r="U1256" s="49"/>
      <c r="V1256" s="49"/>
      <c r="W1256" s="49"/>
      <c r="X1256" s="49"/>
    </row>
    <row r="1257" spans="1:24" s="27" customFormat="1" x14ac:dyDescent="0.25">
      <c r="A1257" s="26"/>
      <c r="B1257" s="26"/>
      <c r="C1257" s="23"/>
      <c r="E1257" s="29"/>
      <c r="F1257" s="29"/>
      <c r="G1257" s="29"/>
      <c r="H1257" s="29"/>
      <c r="I1257" s="29"/>
      <c r="J1257" s="49"/>
      <c r="K1257" s="49"/>
      <c r="L1257" s="49"/>
      <c r="M1257" s="49"/>
      <c r="N1257" s="49"/>
      <c r="O1257" s="49"/>
      <c r="P1257" s="49"/>
      <c r="Q1257" s="49"/>
      <c r="R1257" s="49"/>
      <c r="S1257" s="49"/>
      <c r="T1257" s="49"/>
      <c r="U1257" s="49"/>
      <c r="V1257" s="49"/>
      <c r="W1257" s="49"/>
      <c r="X1257" s="49"/>
    </row>
    <row r="1258" spans="1:24" s="27" customFormat="1" x14ac:dyDescent="0.25">
      <c r="A1258" s="26"/>
      <c r="B1258" s="26"/>
      <c r="C1258" s="23"/>
      <c r="E1258" s="29"/>
      <c r="F1258" s="50"/>
      <c r="G1258" s="29"/>
      <c r="H1258" s="29"/>
      <c r="I1258" s="29"/>
      <c r="J1258" s="49"/>
      <c r="K1258" s="49"/>
      <c r="L1258" s="49"/>
      <c r="M1258" s="49"/>
      <c r="N1258" s="49"/>
      <c r="O1258" s="49"/>
      <c r="P1258" s="49"/>
      <c r="Q1258" s="49"/>
      <c r="R1258" s="49"/>
      <c r="S1258" s="49"/>
      <c r="T1258" s="49"/>
      <c r="U1258" s="49"/>
      <c r="V1258" s="49"/>
      <c r="W1258" s="49"/>
      <c r="X1258" s="49"/>
    </row>
    <row r="1259" spans="1:24" s="27" customFormat="1" x14ac:dyDescent="0.25">
      <c r="A1259" s="26"/>
      <c r="B1259" s="26"/>
      <c r="C1259" s="23"/>
      <c r="E1259" s="29"/>
      <c r="F1259" s="29"/>
      <c r="G1259" s="29"/>
      <c r="H1259" s="29"/>
      <c r="I1259" s="29"/>
      <c r="J1259" s="49"/>
      <c r="K1259" s="49"/>
      <c r="L1259" s="49"/>
      <c r="M1259" s="49"/>
      <c r="N1259" s="49"/>
      <c r="O1259" s="49"/>
      <c r="P1259" s="49"/>
      <c r="Q1259" s="49"/>
      <c r="R1259" s="49"/>
      <c r="S1259" s="49"/>
      <c r="T1259" s="49"/>
      <c r="U1259" s="49"/>
      <c r="V1259" s="49"/>
      <c r="W1259" s="49"/>
      <c r="X1259" s="49"/>
    </row>
    <row r="1260" spans="1:24" s="27" customFormat="1" x14ac:dyDescent="0.25">
      <c r="A1260" s="26"/>
      <c r="B1260" s="26"/>
      <c r="C1260" s="23"/>
      <c r="E1260" s="29"/>
      <c r="F1260" s="29"/>
      <c r="G1260" s="29"/>
      <c r="H1260" s="29"/>
      <c r="I1260" s="29"/>
      <c r="J1260" s="49"/>
      <c r="K1260" s="49"/>
      <c r="L1260" s="49"/>
      <c r="M1260" s="49"/>
      <c r="N1260" s="49"/>
      <c r="O1260" s="49"/>
      <c r="P1260" s="49"/>
      <c r="Q1260" s="49"/>
      <c r="R1260" s="49"/>
      <c r="S1260" s="49"/>
      <c r="T1260" s="49"/>
      <c r="U1260" s="49"/>
      <c r="V1260" s="49"/>
      <c r="W1260" s="49"/>
      <c r="X1260" s="49"/>
    </row>
    <row r="1261" spans="1:24" s="27" customFormat="1" x14ac:dyDescent="0.25">
      <c r="A1261" s="26"/>
      <c r="B1261" s="26"/>
      <c r="C1261" s="23"/>
      <c r="E1261" s="29"/>
      <c r="F1261" s="29"/>
      <c r="G1261" s="29"/>
      <c r="H1261" s="29"/>
      <c r="I1261" s="29"/>
      <c r="J1261" s="49"/>
      <c r="K1261" s="49"/>
      <c r="L1261" s="49"/>
      <c r="M1261" s="49"/>
      <c r="N1261" s="49"/>
      <c r="O1261" s="49"/>
      <c r="P1261" s="49"/>
      <c r="Q1261" s="49"/>
      <c r="R1261" s="49"/>
      <c r="S1261" s="49"/>
      <c r="T1261" s="49"/>
      <c r="U1261" s="49"/>
      <c r="V1261" s="49"/>
      <c r="W1261" s="49"/>
      <c r="X1261" s="49"/>
    </row>
    <row r="1262" spans="1:24" s="27" customFormat="1" x14ac:dyDescent="0.25">
      <c r="A1262" s="26"/>
      <c r="B1262" s="26"/>
      <c r="C1262" s="23"/>
      <c r="E1262" s="29"/>
      <c r="F1262" s="29"/>
      <c r="G1262" s="29"/>
      <c r="H1262" s="29"/>
      <c r="I1262" s="29"/>
      <c r="J1262" s="49"/>
      <c r="K1262" s="49"/>
      <c r="L1262" s="49"/>
      <c r="M1262" s="49"/>
      <c r="N1262" s="49"/>
      <c r="O1262" s="49"/>
      <c r="P1262" s="49"/>
      <c r="Q1262" s="49"/>
      <c r="R1262" s="49"/>
      <c r="S1262" s="49"/>
      <c r="T1262" s="49"/>
      <c r="U1262" s="49"/>
      <c r="V1262" s="49"/>
      <c r="W1262" s="49"/>
      <c r="X1262" s="49"/>
    </row>
    <row r="1263" spans="1:24" s="27" customFormat="1" x14ac:dyDescent="0.25">
      <c r="A1263" s="26"/>
      <c r="B1263" s="26"/>
      <c r="C1263" s="23"/>
      <c r="E1263" s="29"/>
      <c r="F1263" s="29"/>
      <c r="G1263" s="29"/>
      <c r="H1263" s="29"/>
      <c r="I1263" s="29"/>
      <c r="J1263" s="49"/>
      <c r="K1263" s="49"/>
      <c r="L1263" s="49"/>
      <c r="M1263" s="49"/>
      <c r="N1263" s="49"/>
      <c r="O1263" s="49"/>
      <c r="P1263" s="49"/>
      <c r="Q1263" s="49"/>
      <c r="R1263" s="49"/>
      <c r="S1263" s="49"/>
      <c r="T1263" s="49"/>
      <c r="U1263" s="49"/>
      <c r="V1263" s="49"/>
      <c r="W1263" s="49"/>
      <c r="X1263" s="49"/>
    </row>
    <row r="1264" spans="1:24" s="27" customFormat="1" x14ac:dyDescent="0.25">
      <c r="A1264" s="26"/>
      <c r="B1264" s="26"/>
      <c r="C1264" s="23"/>
      <c r="E1264" s="29"/>
      <c r="F1264" s="29"/>
      <c r="G1264" s="29"/>
      <c r="H1264" s="29"/>
      <c r="I1264" s="29"/>
      <c r="J1264" s="49"/>
      <c r="K1264" s="49"/>
      <c r="L1264" s="49"/>
      <c r="M1264" s="49"/>
      <c r="N1264" s="49"/>
      <c r="O1264" s="49"/>
      <c r="P1264" s="49"/>
      <c r="Q1264" s="49"/>
      <c r="R1264" s="49"/>
      <c r="S1264" s="49"/>
      <c r="T1264" s="49"/>
      <c r="U1264" s="49"/>
      <c r="V1264" s="49"/>
      <c r="W1264" s="49"/>
      <c r="X1264" s="49"/>
    </row>
    <row r="1265" spans="1:24" s="27" customFormat="1" x14ac:dyDescent="0.25">
      <c r="A1265" s="26"/>
      <c r="B1265" s="26"/>
      <c r="C1265" s="23"/>
      <c r="E1265" s="29"/>
      <c r="F1265" s="29"/>
      <c r="G1265" s="29"/>
      <c r="H1265" s="29"/>
      <c r="I1265" s="29"/>
      <c r="J1265" s="49"/>
      <c r="K1265" s="49"/>
      <c r="L1265" s="49"/>
      <c r="M1265" s="49"/>
      <c r="N1265" s="49"/>
      <c r="O1265" s="49"/>
      <c r="P1265" s="49"/>
      <c r="Q1265" s="49"/>
      <c r="R1265" s="49"/>
      <c r="S1265" s="49"/>
      <c r="T1265" s="49"/>
      <c r="U1265" s="49"/>
      <c r="V1265" s="49"/>
      <c r="W1265" s="49"/>
      <c r="X1265" s="49"/>
    </row>
    <row r="1266" spans="1:24" s="27" customFormat="1" x14ac:dyDescent="0.25">
      <c r="A1266" s="26"/>
      <c r="B1266" s="26"/>
      <c r="C1266" s="23"/>
      <c r="E1266" s="29"/>
      <c r="F1266" s="29"/>
      <c r="G1266" s="29"/>
      <c r="H1266" s="29"/>
      <c r="I1266" s="29"/>
      <c r="J1266" s="49"/>
      <c r="K1266" s="49"/>
      <c r="L1266" s="49"/>
      <c r="M1266" s="49"/>
      <c r="N1266" s="49"/>
      <c r="O1266" s="49"/>
      <c r="P1266" s="49"/>
      <c r="Q1266" s="49"/>
      <c r="R1266" s="49"/>
      <c r="S1266" s="49"/>
      <c r="T1266" s="49"/>
      <c r="U1266" s="49"/>
      <c r="V1266" s="49"/>
      <c r="W1266" s="49"/>
      <c r="X1266" s="49"/>
    </row>
    <row r="1267" spans="1:24" s="27" customFormat="1" x14ac:dyDescent="0.25">
      <c r="A1267" s="26"/>
      <c r="B1267" s="26"/>
      <c r="C1267" s="23"/>
      <c r="E1267" s="29"/>
      <c r="F1267" s="29"/>
      <c r="G1267" s="29"/>
      <c r="H1267" s="29"/>
      <c r="I1267" s="29"/>
      <c r="J1267" s="49"/>
      <c r="K1267" s="49"/>
      <c r="L1267" s="49"/>
      <c r="M1267" s="49"/>
      <c r="N1267" s="49"/>
      <c r="O1267" s="49"/>
      <c r="P1267" s="49"/>
      <c r="Q1267" s="49"/>
      <c r="R1267" s="49"/>
      <c r="S1267" s="49"/>
      <c r="T1267" s="49"/>
      <c r="U1267" s="49"/>
      <c r="V1267" s="49"/>
      <c r="W1267" s="49"/>
      <c r="X1267" s="49"/>
    </row>
    <row r="1268" spans="1:24" s="27" customFormat="1" x14ac:dyDescent="0.25">
      <c r="A1268" s="26"/>
      <c r="B1268" s="26"/>
      <c r="C1268" s="23"/>
      <c r="E1268" s="29"/>
      <c r="F1268" s="29"/>
      <c r="G1268" s="29"/>
      <c r="H1268" s="29"/>
      <c r="I1268" s="29"/>
      <c r="J1268" s="49"/>
      <c r="K1268" s="49"/>
      <c r="L1268" s="49"/>
      <c r="M1268" s="49"/>
      <c r="N1268" s="49"/>
      <c r="O1268" s="49"/>
      <c r="P1268" s="49"/>
      <c r="Q1268" s="49"/>
      <c r="R1268" s="49"/>
      <c r="S1268" s="49"/>
      <c r="T1268" s="49"/>
      <c r="U1268" s="49"/>
      <c r="V1268" s="49"/>
      <c r="W1268" s="49"/>
      <c r="X1268" s="49"/>
    </row>
    <row r="1269" spans="1:24" s="27" customFormat="1" x14ac:dyDescent="0.25">
      <c r="A1269" s="26"/>
      <c r="B1269" s="26"/>
      <c r="C1269" s="23"/>
      <c r="E1269" s="29"/>
      <c r="F1269" s="29"/>
      <c r="G1269" s="29"/>
      <c r="H1269" s="29"/>
      <c r="I1269" s="29"/>
      <c r="J1269" s="49"/>
      <c r="K1269" s="49"/>
      <c r="L1269" s="49"/>
      <c r="M1269" s="49"/>
      <c r="N1269" s="49"/>
      <c r="O1269" s="49"/>
      <c r="P1269" s="49"/>
      <c r="Q1269" s="49"/>
      <c r="R1269" s="49"/>
      <c r="S1269" s="49"/>
      <c r="T1269" s="49"/>
      <c r="U1269" s="49"/>
      <c r="V1269" s="49"/>
      <c r="W1269" s="49"/>
      <c r="X1269" s="49"/>
    </row>
    <row r="1270" spans="1:24" s="27" customFormat="1" x14ac:dyDescent="0.25">
      <c r="A1270" s="26"/>
      <c r="B1270" s="26"/>
      <c r="C1270" s="23"/>
      <c r="E1270" s="29"/>
      <c r="F1270" s="29"/>
      <c r="G1270" s="29"/>
      <c r="H1270" s="29"/>
      <c r="I1270" s="29"/>
      <c r="J1270" s="49"/>
      <c r="K1270" s="49"/>
      <c r="L1270" s="49"/>
      <c r="M1270" s="49"/>
      <c r="N1270" s="49"/>
      <c r="O1270" s="49"/>
      <c r="P1270" s="49"/>
      <c r="Q1270" s="49"/>
      <c r="R1270" s="49"/>
      <c r="S1270" s="49"/>
      <c r="T1270" s="49"/>
      <c r="U1270" s="49"/>
      <c r="V1270" s="49"/>
      <c r="W1270" s="49"/>
      <c r="X1270" s="49"/>
    </row>
    <row r="1271" spans="1:24" s="27" customFormat="1" x14ac:dyDescent="0.25">
      <c r="A1271" s="26"/>
      <c r="B1271" s="26"/>
      <c r="C1271" s="23"/>
      <c r="E1271" s="29"/>
      <c r="F1271" s="50"/>
      <c r="G1271" s="29"/>
      <c r="H1271" s="29"/>
      <c r="I1271" s="29"/>
      <c r="J1271" s="49"/>
      <c r="K1271" s="49"/>
      <c r="L1271" s="49"/>
      <c r="M1271" s="49"/>
      <c r="N1271" s="49"/>
      <c r="O1271" s="49"/>
      <c r="P1271" s="49"/>
      <c r="Q1271" s="49"/>
      <c r="R1271" s="49"/>
      <c r="S1271" s="49"/>
      <c r="T1271" s="49"/>
      <c r="U1271" s="49"/>
      <c r="V1271" s="49"/>
      <c r="W1271" s="49"/>
      <c r="X1271" s="49"/>
    </row>
    <row r="1272" spans="1:24" s="27" customFormat="1" x14ac:dyDescent="0.25">
      <c r="A1272" s="26"/>
      <c r="B1272" s="26"/>
      <c r="C1272" s="23"/>
      <c r="E1272" s="29"/>
      <c r="F1272" s="29"/>
      <c r="G1272" s="29"/>
      <c r="H1272" s="29"/>
      <c r="I1272" s="29"/>
      <c r="J1272" s="49"/>
      <c r="K1272" s="49"/>
      <c r="L1272" s="49"/>
      <c r="M1272" s="49"/>
      <c r="N1272" s="49"/>
      <c r="O1272" s="49"/>
      <c r="P1272" s="49"/>
      <c r="Q1272" s="49"/>
      <c r="R1272" s="49"/>
      <c r="S1272" s="49"/>
      <c r="T1272" s="49"/>
      <c r="U1272" s="49"/>
      <c r="V1272" s="49"/>
      <c r="W1272" s="49"/>
      <c r="X1272" s="49"/>
    </row>
    <row r="1273" spans="1:24" s="27" customFormat="1" x14ac:dyDescent="0.25">
      <c r="A1273" s="26"/>
      <c r="B1273" s="26"/>
      <c r="C1273" s="23"/>
      <c r="E1273" s="29"/>
      <c r="F1273" s="29"/>
      <c r="G1273" s="29"/>
      <c r="H1273" s="29"/>
      <c r="I1273" s="29"/>
      <c r="J1273" s="49"/>
      <c r="K1273" s="49"/>
      <c r="L1273" s="49"/>
      <c r="M1273" s="49"/>
      <c r="N1273" s="49"/>
      <c r="O1273" s="49"/>
      <c r="P1273" s="49"/>
      <c r="Q1273" s="49"/>
      <c r="R1273" s="49"/>
      <c r="S1273" s="49"/>
      <c r="T1273" s="49"/>
      <c r="U1273" s="49"/>
      <c r="V1273" s="49"/>
      <c r="W1273" s="49"/>
      <c r="X1273" s="49"/>
    </row>
    <row r="1274" spans="1:24" s="27" customFormat="1" x14ac:dyDescent="0.25">
      <c r="A1274" s="26"/>
      <c r="B1274" s="26"/>
      <c r="C1274" s="23"/>
      <c r="E1274" s="29"/>
      <c r="F1274" s="29"/>
      <c r="G1274" s="29"/>
      <c r="H1274" s="29"/>
      <c r="I1274" s="29"/>
      <c r="J1274" s="49"/>
      <c r="K1274" s="49"/>
      <c r="L1274" s="49"/>
      <c r="M1274" s="49"/>
      <c r="N1274" s="49"/>
      <c r="O1274" s="49"/>
      <c r="P1274" s="49"/>
      <c r="Q1274" s="49"/>
      <c r="R1274" s="49"/>
      <c r="S1274" s="49"/>
      <c r="T1274" s="49"/>
      <c r="U1274" s="49"/>
      <c r="V1274" s="49"/>
      <c r="W1274" s="49"/>
      <c r="X1274" s="49"/>
    </row>
    <row r="1275" spans="1:24" s="27" customFormat="1" x14ac:dyDescent="0.25">
      <c r="A1275" s="26"/>
      <c r="B1275" s="26"/>
      <c r="C1275" s="23"/>
      <c r="E1275" s="29"/>
      <c r="F1275" s="29"/>
      <c r="G1275" s="29"/>
      <c r="H1275" s="29"/>
      <c r="I1275" s="29"/>
      <c r="J1275" s="49"/>
      <c r="K1275" s="49"/>
      <c r="L1275" s="49"/>
      <c r="M1275" s="49"/>
      <c r="N1275" s="49"/>
      <c r="O1275" s="49"/>
      <c r="P1275" s="49"/>
      <c r="Q1275" s="49"/>
      <c r="R1275" s="49"/>
      <c r="S1275" s="49"/>
      <c r="T1275" s="49"/>
      <c r="U1275" s="49"/>
      <c r="V1275" s="49"/>
      <c r="W1275" s="49"/>
      <c r="X1275" s="49"/>
    </row>
    <row r="1276" spans="1:24" s="27" customFormat="1" x14ac:dyDescent="0.25">
      <c r="A1276" s="26"/>
      <c r="B1276" s="26"/>
      <c r="C1276" s="23"/>
      <c r="E1276" s="29"/>
      <c r="F1276" s="29"/>
      <c r="G1276" s="29"/>
      <c r="H1276" s="29"/>
      <c r="I1276" s="29"/>
      <c r="J1276" s="49"/>
      <c r="K1276" s="49"/>
      <c r="L1276" s="49"/>
      <c r="M1276" s="49"/>
      <c r="N1276" s="49"/>
      <c r="O1276" s="49"/>
      <c r="P1276" s="49"/>
      <c r="Q1276" s="49"/>
      <c r="R1276" s="49"/>
      <c r="S1276" s="49"/>
      <c r="T1276" s="49"/>
      <c r="U1276" s="49"/>
      <c r="V1276" s="49"/>
      <c r="W1276" s="49"/>
      <c r="X1276" s="49"/>
    </row>
    <row r="1277" spans="1:24" s="27" customFormat="1" x14ac:dyDescent="0.25">
      <c r="A1277" s="26"/>
      <c r="B1277" s="26"/>
      <c r="C1277" s="23"/>
      <c r="E1277" s="29"/>
      <c r="F1277" s="29"/>
      <c r="G1277" s="29"/>
      <c r="H1277" s="29"/>
      <c r="I1277" s="29"/>
      <c r="J1277" s="49"/>
      <c r="K1277" s="49"/>
      <c r="L1277" s="49"/>
      <c r="M1277" s="49"/>
      <c r="N1277" s="49"/>
      <c r="O1277" s="49"/>
      <c r="P1277" s="49"/>
      <c r="Q1277" s="49"/>
      <c r="R1277" s="49"/>
      <c r="S1277" s="49"/>
      <c r="T1277" s="49"/>
      <c r="U1277" s="49"/>
      <c r="V1277" s="49"/>
      <c r="W1277" s="49"/>
      <c r="X1277" s="49"/>
    </row>
    <row r="1278" spans="1:24" s="27" customFormat="1" x14ac:dyDescent="0.25">
      <c r="A1278" s="26"/>
      <c r="B1278" s="26"/>
      <c r="C1278" s="23"/>
      <c r="E1278" s="29"/>
      <c r="F1278" s="29"/>
      <c r="G1278" s="29"/>
      <c r="H1278" s="29"/>
      <c r="I1278" s="29"/>
      <c r="J1278" s="49"/>
      <c r="K1278" s="49"/>
      <c r="L1278" s="49"/>
      <c r="M1278" s="49"/>
      <c r="N1278" s="49"/>
      <c r="O1278" s="49"/>
      <c r="P1278" s="49"/>
      <c r="Q1278" s="49"/>
      <c r="R1278" s="49"/>
      <c r="S1278" s="49"/>
      <c r="T1278" s="49"/>
      <c r="U1278" s="49"/>
      <c r="V1278" s="49"/>
      <c r="W1278" s="49"/>
      <c r="X1278" s="49"/>
    </row>
    <row r="1279" spans="1:24" s="27" customFormat="1" x14ac:dyDescent="0.25">
      <c r="A1279" s="26"/>
      <c r="B1279" s="26"/>
      <c r="C1279" s="23"/>
      <c r="E1279" s="29"/>
      <c r="F1279" s="29"/>
      <c r="G1279" s="29"/>
      <c r="H1279" s="29"/>
      <c r="I1279" s="29"/>
      <c r="J1279" s="49"/>
      <c r="K1279" s="49"/>
      <c r="L1279" s="49"/>
      <c r="M1279" s="49"/>
      <c r="N1279" s="49"/>
      <c r="O1279" s="49"/>
      <c r="P1279" s="49"/>
      <c r="Q1279" s="49"/>
      <c r="R1279" s="49"/>
      <c r="S1279" s="49"/>
      <c r="T1279" s="49"/>
      <c r="U1279" s="49"/>
      <c r="V1279" s="49"/>
      <c r="W1279" s="49"/>
      <c r="X1279" s="49"/>
    </row>
    <row r="1280" spans="1:24" s="27" customFormat="1" x14ac:dyDescent="0.25">
      <c r="A1280" s="26"/>
      <c r="B1280" s="26"/>
      <c r="C1280" s="23"/>
      <c r="E1280" s="29"/>
      <c r="F1280" s="29"/>
      <c r="G1280" s="29"/>
      <c r="H1280" s="29"/>
      <c r="I1280" s="29"/>
      <c r="J1280" s="49"/>
      <c r="K1280" s="49"/>
      <c r="L1280" s="49"/>
      <c r="M1280" s="49"/>
      <c r="N1280" s="49"/>
      <c r="O1280" s="49"/>
      <c r="P1280" s="49"/>
      <c r="Q1280" s="49"/>
      <c r="R1280" s="49"/>
      <c r="S1280" s="49"/>
      <c r="T1280" s="49"/>
      <c r="U1280" s="49"/>
      <c r="V1280" s="49"/>
      <c r="W1280" s="49"/>
      <c r="X1280" s="49"/>
    </row>
    <row r="1281" spans="1:24" s="27" customFormat="1" x14ac:dyDescent="0.25">
      <c r="A1281" s="26"/>
      <c r="B1281" s="26"/>
      <c r="C1281" s="23"/>
      <c r="E1281" s="29"/>
      <c r="F1281" s="29"/>
      <c r="G1281" s="29"/>
      <c r="H1281" s="29"/>
      <c r="I1281" s="29"/>
      <c r="J1281" s="49"/>
      <c r="K1281" s="49"/>
      <c r="L1281" s="49"/>
      <c r="M1281" s="49"/>
      <c r="N1281" s="49"/>
      <c r="O1281" s="49"/>
      <c r="P1281" s="49"/>
      <c r="Q1281" s="49"/>
      <c r="R1281" s="49"/>
      <c r="S1281" s="49"/>
      <c r="T1281" s="49"/>
      <c r="U1281" s="49"/>
      <c r="V1281" s="49"/>
      <c r="W1281" s="49"/>
      <c r="X1281" s="49"/>
    </row>
    <row r="1282" spans="1:24" s="27" customFormat="1" x14ac:dyDescent="0.25">
      <c r="A1282" s="26"/>
      <c r="B1282" s="26"/>
      <c r="C1282" s="23"/>
      <c r="E1282" s="29"/>
      <c r="F1282" s="29"/>
      <c r="G1282" s="29"/>
      <c r="H1282" s="29"/>
      <c r="I1282" s="29"/>
      <c r="J1282" s="49"/>
      <c r="K1282" s="49"/>
      <c r="L1282" s="49"/>
      <c r="M1282" s="49"/>
      <c r="N1282" s="49"/>
      <c r="O1282" s="49"/>
      <c r="P1282" s="49"/>
      <c r="Q1282" s="49"/>
      <c r="R1282" s="49"/>
      <c r="S1282" s="49"/>
      <c r="T1282" s="49"/>
      <c r="U1282" s="49"/>
      <c r="V1282" s="49"/>
      <c r="W1282" s="49"/>
      <c r="X1282" s="49"/>
    </row>
    <row r="1283" spans="1:24" s="27" customFormat="1" x14ac:dyDescent="0.25">
      <c r="A1283" s="26"/>
      <c r="B1283" s="26"/>
      <c r="C1283" s="23"/>
      <c r="E1283" s="29"/>
      <c r="F1283" s="29"/>
      <c r="G1283" s="29"/>
      <c r="H1283" s="29"/>
      <c r="I1283" s="29"/>
      <c r="J1283" s="49"/>
      <c r="K1283" s="49"/>
      <c r="L1283" s="49"/>
      <c r="M1283" s="49"/>
      <c r="N1283" s="49"/>
      <c r="O1283" s="49"/>
      <c r="P1283" s="49"/>
      <c r="Q1283" s="49"/>
      <c r="R1283" s="49"/>
      <c r="S1283" s="49"/>
      <c r="T1283" s="49"/>
      <c r="U1283" s="49"/>
      <c r="V1283" s="49"/>
      <c r="W1283" s="49"/>
      <c r="X1283" s="49"/>
    </row>
    <row r="1284" spans="1:24" s="27" customFormat="1" x14ac:dyDescent="0.25">
      <c r="A1284" s="26"/>
      <c r="B1284" s="26"/>
      <c r="C1284" s="23"/>
      <c r="E1284" s="29"/>
      <c r="F1284" s="29"/>
      <c r="G1284" s="29"/>
      <c r="H1284" s="29"/>
      <c r="I1284" s="29"/>
      <c r="J1284" s="49"/>
      <c r="K1284" s="49"/>
      <c r="L1284" s="49"/>
      <c r="M1284" s="49"/>
      <c r="N1284" s="49"/>
      <c r="O1284" s="49"/>
      <c r="P1284" s="49"/>
      <c r="Q1284" s="49"/>
      <c r="R1284" s="49"/>
      <c r="S1284" s="49"/>
      <c r="T1284" s="49"/>
      <c r="U1284" s="49"/>
      <c r="V1284" s="49"/>
      <c r="W1284" s="49"/>
      <c r="X1284" s="49"/>
    </row>
    <row r="1285" spans="1:24" s="27" customFormat="1" x14ac:dyDescent="0.25">
      <c r="A1285" s="26"/>
      <c r="B1285" s="26"/>
      <c r="C1285" s="23"/>
      <c r="E1285" s="29"/>
      <c r="F1285" s="29"/>
      <c r="G1285" s="29"/>
      <c r="H1285" s="29"/>
      <c r="I1285" s="29"/>
      <c r="J1285" s="49"/>
      <c r="K1285" s="49"/>
      <c r="L1285" s="49"/>
      <c r="M1285" s="49"/>
      <c r="N1285" s="49"/>
      <c r="O1285" s="49"/>
      <c r="P1285" s="49"/>
      <c r="Q1285" s="49"/>
      <c r="R1285" s="49"/>
      <c r="S1285" s="49"/>
      <c r="T1285" s="49"/>
      <c r="U1285" s="49"/>
      <c r="V1285" s="49"/>
      <c r="W1285" s="49"/>
      <c r="X1285" s="49"/>
    </row>
    <row r="1286" spans="1:24" s="27" customFormat="1" x14ac:dyDescent="0.25">
      <c r="A1286" s="26"/>
      <c r="B1286" s="26"/>
      <c r="C1286" s="23"/>
      <c r="E1286" s="29"/>
      <c r="F1286" s="29"/>
      <c r="G1286" s="29"/>
      <c r="H1286" s="29"/>
      <c r="I1286" s="29"/>
      <c r="J1286" s="49"/>
      <c r="K1286" s="49"/>
      <c r="L1286" s="49"/>
      <c r="M1286" s="49"/>
      <c r="N1286" s="49"/>
      <c r="O1286" s="49"/>
      <c r="P1286" s="49"/>
      <c r="Q1286" s="49"/>
      <c r="R1286" s="49"/>
      <c r="S1286" s="49"/>
      <c r="T1286" s="49"/>
      <c r="U1286" s="49"/>
      <c r="V1286" s="49"/>
      <c r="W1286" s="49"/>
      <c r="X1286" s="49"/>
    </row>
    <row r="1287" spans="1:24" s="27" customFormat="1" x14ac:dyDescent="0.25">
      <c r="A1287" s="26"/>
      <c r="B1287" s="26"/>
      <c r="C1287" s="23"/>
      <c r="E1287" s="29"/>
      <c r="F1287" s="29"/>
      <c r="G1287" s="29"/>
      <c r="H1287" s="29"/>
      <c r="I1287" s="29"/>
      <c r="J1287" s="49"/>
      <c r="K1287" s="49"/>
      <c r="L1287" s="49"/>
      <c r="M1287" s="49"/>
      <c r="N1287" s="49"/>
      <c r="O1287" s="49"/>
      <c r="P1287" s="49"/>
      <c r="Q1287" s="49"/>
      <c r="R1287" s="49"/>
      <c r="S1287" s="49"/>
      <c r="T1287" s="49"/>
      <c r="U1287" s="49"/>
      <c r="V1287" s="49"/>
      <c r="W1287" s="49"/>
      <c r="X1287" s="49"/>
    </row>
    <row r="1288" spans="1:24" s="27" customFormat="1" x14ac:dyDescent="0.25">
      <c r="A1288" s="26"/>
      <c r="B1288" s="26"/>
      <c r="C1288" s="23"/>
      <c r="E1288" s="29"/>
      <c r="F1288" s="50"/>
      <c r="G1288" s="29"/>
      <c r="H1288" s="29"/>
      <c r="I1288" s="29"/>
      <c r="J1288" s="49"/>
      <c r="K1288" s="49"/>
      <c r="L1288" s="49"/>
      <c r="M1288" s="49"/>
      <c r="N1288" s="49"/>
      <c r="O1288" s="49"/>
      <c r="P1288" s="49"/>
      <c r="Q1288" s="49"/>
      <c r="R1288" s="49"/>
      <c r="S1288" s="49"/>
      <c r="T1288" s="49"/>
      <c r="U1288" s="49"/>
      <c r="V1288" s="49"/>
      <c r="W1288" s="49"/>
      <c r="X1288" s="49"/>
    </row>
    <row r="1289" spans="1:24" s="27" customFormat="1" x14ac:dyDescent="0.25">
      <c r="A1289" s="26"/>
      <c r="B1289" s="26"/>
      <c r="C1289" s="23"/>
      <c r="E1289" s="29"/>
      <c r="F1289" s="29"/>
      <c r="G1289" s="29"/>
      <c r="H1289" s="29"/>
      <c r="I1289" s="29"/>
      <c r="J1289" s="49"/>
      <c r="K1289" s="49"/>
      <c r="L1289" s="49"/>
      <c r="M1289" s="49"/>
      <c r="N1289" s="49"/>
      <c r="O1289" s="49"/>
      <c r="P1289" s="49"/>
      <c r="Q1289" s="49"/>
      <c r="R1289" s="49"/>
      <c r="S1289" s="49"/>
      <c r="T1289" s="49"/>
      <c r="U1289" s="49"/>
      <c r="V1289" s="49"/>
      <c r="W1289" s="49"/>
      <c r="X1289" s="49"/>
    </row>
    <row r="1290" spans="1:24" s="27" customFormat="1" x14ac:dyDescent="0.25">
      <c r="A1290" s="26"/>
      <c r="B1290" s="26"/>
      <c r="C1290" s="23"/>
      <c r="E1290" s="29"/>
      <c r="F1290" s="50"/>
      <c r="G1290" s="29"/>
      <c r="H1290" s="29"/>
      <c r="I1290" s="29"/>
      <c r="J1290" s="49"/>
      <c r="K1290" s="49"/>
      <c r="L1290" s="49"/>
      <c r="M1290" s="49"/>
      <c r="N1290" s="49"/>
      <c r="O1290" s="49"/>
      <c r="P1290" s="49"/>
      <c r="Q1290" s="49"/>
      <c r="R1290" s="49"/>
      <c r="S1290" s="49"/>
      <c r="T1290" s="49"/>
      <c r="U1290" s="49"/>
      <c r="V1290" s="49"/>
      <c r="W1290" s="49"/>
      <c r="X1290" s="49"/>
    </row>
    <row r="1291" spans="1:24" s="27" customFormat="1" x14ac:dyDescent="0.25">
      <c r="A1291" s="26"/>
      <c r="B1291" s="26"/>
      <c r="C1291" s="23"/>
      <c r="E1291" s="29"/>
      <c r="F1291" s="50"/>
      <c r="G1291" s="29"/>
      <c r="H1291" s="29"/>
      <c r="I1291" s="29"/>
      <c r="J1291" s="49"/>
      <c r="K1291" s="49"/>
      <c r="L1291" s="49"/>
      <c r="M1291" s="49"/>
      <c r="N1291" s="49"/>
      <c r="O1291" s="49"/>
      <c r="P1291" s="49"/>
      <c r="Q1291" s="49"/>
      <c r="R1291" s="49"/>
      <c r="S1291" s="49"/>
      <c r="T1291" s="49"/>
      <c r="U1291" s="49"/>
      <c r="V1291" s="49"/>
      <c r="W1291" s="49"/>
      <c r="X1291" s="49"/>
    </row>
    <row r="1292" spans="1:24" s="27" customFormat="1" x14ac:dyDescent="0.25">
      <c r="A1292" s="26"/>
      <c r="B1292" s="26"/>
      <c r="C1292" s="23"/>
      <c r="E1292" s="29"/>
      <c r="F1292" s="29"/>
      <c r="G1292" s="29"/>
      <c r="H1292" s="29"/>
      <c r="I1292" s="29"/>
      <c r="J1292" s="49"/>
      <c r="K1292" s="49"/>
      <c r="L1292" s="49"/>
      <c r="M1292" s="49"/>
      <c r="N1292" s="49"/>
      <c r="O1292" s="49"/>
      <c r="P1292" s="49"/>
      <c r="Q1292" s="49"/>
      <c r="R1292" s="49"/>
      <c r="S1292" s="49"/>
      <c r="T1292" s="49"/>
      <c r="U1292" s="49"/>
      <c r="V1292" s="49"/>
      <c r="W1292" s="49"/>
      <c r="X1292" s="49"/>
    </row>
    <row r="1293" spans="1:24" s="27" customFormat="1" x14ac:dyDescent="0.25">
      <c r="A1293" s="26"/>
      <c r="B1293" s="26"/>
      <c r="C1293" s="23"/>
      <c r="E1293" s="29"/>
      <c r="F1293" s="29"/>
      <c r="G1293" s="29"/>
      <c r="H1293" s="29"/>
      <c r="I1293" s="29"/>
      <c r="J1293" s="49"/>
      <c r="K1293" s="49"/>
      <c r="L1293" s="49"/>
      <c r="M1293" s="49"/>
      <c r="N1293" s="49"/>
      <c r="O1293" s="49"/>
      <c r="P1293" s="49"/>
      <c r="Q1293" s="49"/>
      <c r="R1293" s="49"/>
      <c r="S1293" s="49"/>
      <c r="T1293" s="49"/>
      <c r="U1293" s="49"/>
      <c r="V1293" s="49"/>
      <c r="W1293" s="49"/>
      <c r="X1293" s="49"/>
    </row>
    <row r="1294" spans="1:24" s="27" customFormat="1" x14ac:dyDescent="0.25">
      <c r="A1294" s="26"/>
      <c r="B1294" s="26"/>
      <c r="C1294" s="23"/>
      <c r="E1294" s="29"/>
      <c r="F1294" s="29"/>
      <c r="G1294" s="29"/>
      <c r="H1294" s="29"/>
      <c r="I1294" s="29"/>
      <c r="J1294" s="49"/>
      <c r="K1294" s="49"/>
      <c r="L1294" s="49"/>
      <c r="M1294" s="49"/>
      <c r="N1294" s="49"/>
      <c r="O1294" s="49"/>
      <c r="P1294" s="49"/>
      <c r="Q1294" s="49"/>
      <c r="R1294" s="49"/>
      <c r="S1294" s="49"/>
      <c r="T1294" s="49"/>
      <c r="U1294" s="49"/>
      <c r="V1294" s="49"/>
      <c r="W1294" s="49"/>
      <c r="X1294" s="49"/>
    </row>
    <row r="1295" spans="1:24" s="27" customFormat="1" x14ac:dyDescent="0.25">
      <c r="A1295" s="26"/>
      <c r="B1295" s="26"/>
      <c r="C1295" s="23"/>
      <c r="E1295" s="29"/>
      <c r="F1295" s="29"/>
      <c r="G1295" s="29"/>
      <c r="H1295" s="29"/>
      <c r="I1295" s="29"/>
      <c r="J1295" s="49"/>
      <c r="K1295" s="49"/>
      <c r="L1295" s="49"/>
      <c r="M1295" s="49"/>
      <c r="N1295" s="49"/>
      <c r="O1295" s="49"/>
      <c r="P1295" s="49"/>
      <c r="Q1295" s="49"/>
      <c r="R1295" s="49"/>
      <c r="S1295" s="49"/>
      <c r="T1295" s="49"/>
      <c r="U1295" s="49"/>
      <c r="V1295" s="49"/>
      <c r="W1295" s="49"/>
      <c r="X1295" s="49"/>
    </row>
    <row r="1296" spans="1:24" s="27" customFormat="1" x14ac:dyDescent="0.25">
      <c r="A1296" s="26"/>
      <c r="B1296" s="26"/>
      <c r="C1296" s="23"/>
      <c r="E1296" s="29"/>
      <c r="F1296" s="29"/>
      <c r="G1296" s="29"/>
      <c r="H1296" s="29"/>
      <c r="I1296" s="29"/>
      <c r="J1296" s="49"/>
      <c r="K1296" s="49"/>
      <c r="L1296" s="49"/>
      <c r="M1296" s="49"/>
      <c r="N1296" s="49"/>
      <c r="O1296" s="49"/>
      <c r="P1296" s="49"/>
      <c r="Q1296" s="49"/>
      <c r="R1296" s="49"/>
      <c r="S1296" s="49"/>
      <c r="T1296" s="49"/>
      <c r="U1296" s="49"/>
      <c r="V1296" s="49"/>
      <c r="W1296" s="49"/>
      <c r="X1296" s="49"/>
    </row>
    <row r="1297" spans="1:24" s="27" customFormat="1" x14ac:dyDescent="0.25">
      <c r="A1297" s="26"/>
      <c r="B1297" s="26"/>
      <c r="C1297" s="23"/>
      <c r="E1297" s="29"/>
      <c r="F1297" s="29"/>
      <c r="G1297" s="29"/>
      <c r="H1297" s="29"/>
      <c r="I1297" s="29"/>
      <c r="J1297" s="49"/>
      <c r="K1297" s="49"/>
      <c r="L1297" s="49"/>
      <c r="M1297" s="49"/>
      <c r="N1297" s="49"/>
      <c r="O1297" s="49"/>
      <c r="P1297" s="49"/>
      <c r="Q1297" s="49"/>
      <c r="R1297" s="49"/>
      <c r="S1297" s="49"/>
      <c r="T1297" s="49"/>
      <c r="U1297" s="49"/>
      <c r="V1297" s="49"/>
      <c r="W1297" s="49"/>
      <c r="X1297" s="49"/>
    </row>
    <row r="1298" spans="1:24" s="27" customFormat="1" x14ac:dyDescent="0.25">
      <c r="A1298" s="26"/>
      <c r="B1298" s="26"/>
      <c r="C1298" s="23"/>
      <c r="E1298" s="29"/>
      <c r="F1298" s="29"/>
      <c r="G1298" s="29"/>
      <c r="H1298" s="29"/>
      <c r="I1298" s="29"/>
      <c r="J1298" s="49"/>
      <c r="K1298" s="49"/>
      <c r="L1298" s="49"/>
      <c r="M1298" s="49"/>
      <c r="N1298" s="49"/>
      <c r="O1298" s="49"/>
      <c r="P1298" s="49"/>
      <c r="Q1298" s="49"/>
      <c r="R1298" s="49"/>
      <c r="S1298" s="49"/>
      <c r="T1298" s="49"/>
      <c r="U1298" s="49"/>
      <c r="V1298" s="49"/>
      <c r="W1298" s="49"/>
      <c r="X1298" s="49"/>
    </row>
    <row r="1299" spans="1:24" s="27" customFormat="1" x14ac:dyDescent="0.25">
      <c r="A1299" s="26"/>
      <c r="B1299" s="26"/>
      <c r="C1299" s="23"/>
      <c r="E1299" s="29"/>
      <c r="F1299" s="29"/>
      <c r="G1299" s="29"/>
      <c r="H1299" s="29"/>
      <c r="I1299" s="29"/>
      <c r="J1299" s="49"/>
      <c r="K1299" s="49"/>
      <c r="L1299" s="49"/>
      <c r="M1299" s="49"/>
      <c r="N1299" s="49"/>
      <c r="O1299" s="49"/>
      <c r="P1299" s="49"/>
      <c r="Q1299" s="49"/>
      <c r="R1299" s="49"/>
      <c r="S1299" s="49"/>
      <c r="T1299" s="49"/>
      <c r="U1299" s="49"/>
      <c r="V1299" s="49"/>
      <c r="W1299" s="49"/>
      <c r="X1299" s="49"/>
    </row>
    <row r="1300" spans="1:24" s="27" customFormat="1" x14ac:dyDescent="0.25">
      <c r="A1300" s="26"/>
      <c r="B1300" s="26"/>
      <c r="C1300" s="23"/>
      <c r="E1300" s="29"/>
      <c r="F1300" s="29"/>
      <c r="G1300" s="29"/>
      <c r="H1300" s="29"/>
      <c r="I1300" s="29"/>
      <c r="J1300" s="49"/>
      <c r="K1300" s="49"/>
      <c r="L1300" s="49"/>
      <c r="M1300" s="49"/>
      <c r="N1300" s="49"/>
      <c r="O1300" s="49"/>
      <c r="P1300" s="49"/>
      <c r="Q1300" s="49"/>
      <c r="R1300" s="49"/>
      <c r="S1300" s="49"/>
      <c r="T1300" s="49"/>
      <c r="U1300" s="49"/>
      <c r="V1300" s="49"/>
      <c r="W1300" s="49"/>
      <c r="X1300" s="49"/>
    </row>
    <row r="1301" spans="1:24" s="27" customFormat="1" x14ac:dyDescent="0.25">
      <c r="A1301" s="26"/>
      <c r="B1301" s="26"/>
      <c r="C1301" s="23"/>
      <c r="E1301" s="29"/>
      <c r="F1301" s="29"/>
      <c r="G1301" s="29"/>
      <c r="H1301" s="29"/>
      <c r="I1301" s="29"/>
      <c r="J1301" s="49"/>
      <c r="K1301" s="49"/>
      <c r="L1301" s="49"/>
      <c r="M1301" s="49"/>
      <c r="N1301" s="49"/>
      <c r="O1301" s="49"/>
      <c r="P1301" s="49"/>
      <c r="Q1301" s="49"/>
      <c r="R1301" s="49"/>
      <c r="S1301" s="49"/>
      <c r="T1301" s="49"/>
      <c r="U1301" s="49"/>
      <c r="V1301" s="49"/>
      <c r="W1301" s="49"/>
      <c r="X1301" s="49"/>
    </row>
    <row r="1302" spans="1:24" s="27" customFormat="1" x14ac:dyDescent="0.25">
      <c r="A1302" s="26"/>
      <c r="B1302" s="26"/>
      <c r="C1302" s="23"/>
      <c r="E1302" s="29"/>
      <c r="F1302" s="29"/>
      <c r="G1302" s="29"/>
      <c r="H1302" s="29"/>
      <c r="I1302" s="29"/>
      <c r="J1302" s="49"/>
      <c r="K1302" s="49"/>
      <c r="L1302" s="49"/>
      <c r="M1302" s="49"/>
      <c r="N1302" s="49"/>
      <c r="O1302" s="49"/>
      <c r="P1302" s="49"/>
      <c r="Q1302" s="49"/>
      <c r="R1302" s="49"/>
      <c r="S1302" s="49"/>
      <c r="T1302" s="49"/>
      <c r="U1302" s="49"/>
      <c r="V1302" s="49"/>
      <c r="W1302" s="49"/>
      <c r="X1302" s="49"/>
    </row>
    <row r="1303" spans="1:24" s="27" customFormat="1" x14ac:dyDescent="0.25">
      <c r="A1303" s="26"/>
      <c r="B1303" s="26"/>
      <c r="C1303" s="23"/>
      <c r="E1303" s="29"/>
      <c r="F1303" s="29"/>
      <c r="G1303" s="29"/>
      <c r="H1303" s="29"/>
      <c r="I1303" s="29"/>
      <c r="J1303" s="49"/>
      <c r="K1303" s="49"/>
      <c r="L1303" s="49"/>
      <c r="M1303" s="49"/>
      <c r="N1303" s="49"/>
      <c r="O1303" s="49"/>
      <c r="P1303" s="49"/>
      <c r="Q1303" s="49"/>
      <c r="R1303" s="49"/>
      <c r="S1303" s="49"/>
      <c r="T1303" s="49"/>
      <c r="U1303" s="49"/>
      <c r="V1303" s="49"/>
      <c r="W1303" s="49"/>
      <c r="X1303" s="49"/>
    </row>
    <row r="1304" spans="1:24" s="27" customFormat="1" x14ac:dyDescent="0.25">
      <c r="A1304" s="26"/>
      <c r="B1304" s="26"/>
      <c r="C1304" s="23"/>
      <c r="E1304" s="29"/>
      <c r="F1304" s="29"/>
      <c r="G1304" s="29"/>
      <c r="H1304" s="29"/>
      <c r="I1304" s="29"/>
      <c r="J1304" s="49"/>
      <c r="K1304" s="49"/>
      <c r="L1304" s="49"/>
      <c r="M1304" s="49"/>
      <c r="N1304" s="49"/>
      <c r="O1304" s="49"/>
      <c r="P1304" s="49"/>
      <c r="Q1304" s="49"/>
      <c r="R1304" s="49"/>
      <c r="S1304" s="49"/>
      <c r="T1304" s="49"/>
      <c r="U1304" s="49"/>
      <c r="V1304" s="49"/>
      <c r="W1304" s="49"/>
      <c r="X1304" s="49"/>
    </row>
    <row r="1305" spans="1:24" s="27" customFormat="1" x14ac:dyDescent="0.25">
      <c r="A1305" s="26"/>
      <c r="B1305" s="26"/>
      <c r="C1305" s="23"/>
      <c r="E1305" s="29"/>
      <c r="F1305" s="29"/>
      <c r="G1305" s="29"/>
      <c r="H1305" s="29"/>
      <c r="I1305" s="29"/>
      <c r="J1305" s="49"/>
      <c r="K1305" s="49"/>
      <c r="L1305" s="49"/>
      <c r="M1305" s="49"/>
      <c r="N1305" s="49"/>
      <c r="O1305" s="49"/>
      <c r="P1305" s="49"/>
      <c r="Q1305" s="49"/>
      <c r="R1305" s="49"/>
      <c r="S1305" s="49"/>
      <c r="T1305" s="49"/>
      <c r="U1305" s="49"/>
      <c r="V1305" s="49"/>
      <c r="W1305" s="49"/>
      <c r="X1305" s="49"/>
    </row>
    <row r="1306" spans="1:24" s="27" customFormat="1" x14ac:dyDescent="0.25">
      <c r="A1306" s="26"/>
      <c r="B1306" s="26"/>
      <c r="C1306" s="23"/>
      <c r="E1306" s="29"/>
      <c r="F1306" s="29"/>
      <c r="G1306" s="29"/>
      <c r="H1306" s="29"/>
      <c r="I1306" s="29"/>
      <c r="J1306" s="49"/>
      <c r="K1306" s="49"/>
      <c r="L1306" s="49"/>
      <c r="M1306" s="49"/>
      <c r="N1306" s="49"/>
      <c r="O1306" s="49"/>
      <c r="P1306" s="49"/>
      <c r="Q1306" s="49"/>
      <c r="R1306" s="49"/>
      <c r="S1306" s="49"/>
      <c r="T1306" s="49"/>
      <c r="U1306" s="49"/>
      <c r="V1306" s="49"/>
      <c r="W1306" s="49"/>
      <c r="X1306" s="49"/>
    </row>
    <row r="1307" spans="1:24" s="27" customFormat="1" x14ac:dyDescent="0.25">
      <c r="A1307" s="26"/>
      <c r="B1307" s="26"/>
      <c r="C1307" s="23"/>
      <c r="E1307" s="29"/>
      <c r="F1307" s="29"/>
      <c r="G1307" s="29"/>
      <c r="H1307" s="29"/>
      <c r="I1307" s="29"/>
      <c r="J1307" s="49"/>
      <c r="K1307" s="49"/>
      <c r="L1307" s="49"/>
      <c r="M1307" s="49"/>
      <c r="N1307" s="49"/>
      <c r="O1307" s="49"/>
      <c r="P1307" s="49"/>
      <c r="Q1307" s="49"/>
      <c r="R1307" s="49"/>
      <c r="S1307" s="49"/>
      <c r="T1307" s="49"/>
      <c r="U1307" s="49"/>
      <c r="V1307" s="49"/>
      <c r="W1307" s="49"/>
      <c r="X1307" s="49"/>
    </row>
    <row r="1308" spans="1:24" s="27" customFormat="1" x14ac:dyDescent="0.25">
      <c r="A1308" s="26"/>
      <c r="B1308" s="26"/>
      <c r="C1308" s="23"/>
      <c r="E1308" s="29"/>
      <c r="F1308" s="29"/>
      <c r="G1308" s="29"/>
      <c r="H1308" s="29"/>
      <c r="I1308" s="29"/>
      <c r="J1308" s="49"/>
      <c r="K1308" s="49"/>
      <c r="L1308" s="49"/>
      <c r="M1308" s="49"/>
      <c r="N1308" s="49"/>
      <c r="O1308" s="49"/>
      <c r="P1308" s="49"/>
      <c r="Q1308" s="49"/>
      <c r="R1308" s="49"/>
      <c r="S1308" s="49"/>
      <c r="T1308" s="49"/>
      <c r="U1308" s="49"/>
      <c r="V1308" s="49"/>
      <c r="W1308" s="49"/>
      <c r="X1308" s="49"/>
    </row>
    <row r="1309" spans="1:24" s="27" customFormat="1" x14ac:dyDescent="0.25">
      <c r="A1309" s="26"/>
      <c r="B1309" s="26"/>
      <c r="C1309" s="23"/>
      <c r="E1309" s="29"/>
      <c r="F1309" s="29"/>
      <c r="G1309" s="29"/>
      <c r="H1309" s="29"/>
      <c r="I1309" s="29"/>
      <c r="J1309" s="49"/>
      <c r="K1309" s="49"/>
      <c r="L1309" s="49"/>
      <c r="M1309" s="49"/>
      <c r="N1309" s="49"/>
      <c r="O1309" s="49"/>
      <c r="P1309" s="49"/>
      <c r="Q1309" s="49"/>
      <c r="R1309" s="49"/>
      <c r="S1309" s="49"/>
      <c r="T1309" s="49"/>
      <c r="U1309" s="49"/>
      <c r="V1309" s="49"/>
      <c r="W1309" s="49"/>
      <c r="X1309" s="49"/>
    </row>
    <row r="1310" spans="1:24" s="27" customFormat="1" x14ac:dyDescent="0.25">
      <c r="A1310" s="26"/>
      <c r="B1310" s="26"/>
      <c r="C1310" s="23"/>
      <c r="E1310" s="29"/>
      <c r="F1310" s="29"/>
      <c r="G1310" s="29"/>
      <c r="H1310" s="29"/>
      <c r="I1310" s="29"/>
      <c r="J1310" s="49"/>
      <c r="K1310" s="49"/>
      <c r="L1310" s="49"/>
      <c r="M1310" s="49"/>
      <c r="N1310" s="49"/>
      <c r="O1310" s="49"/>
      <c r="P1310" s="49"/>
      <c r="Q1310" s="49"/>
      <c r="R1310" s="49"/>
      <c r="S1310" s="49"/>
      <c r="T1310" s="49"/>
      <c r="U1310" s="49"/>
      <c r="V1310" s="49"/>
      <c r="W1310" s="49"/>
      <c r="X1310" s="49"/>
    </row>
    <row r="1311" spans="1:24" s="27" customFormat="1" x14ac:dyDescent="0.25">
      <c r="A1311" s="26"/>
      <c r="B1311" s="26"/>
      <c r="C1311" s="23"/>
      <c r="E1311" s="29"/>
      <c r="F1311" s="29"/>
      <c r="G1311" s="29"/>
      <c r="H1311" s="29"/>
      <c r="I1311" s="29"/>
      <c r="J1311" s="49"/>
      <c r="K1311" s="49"/>
      <c r="L1311" s="49"/>
      <c r="M1311" s="49"/>
      <c r="N1311" s="49"/>
      <c r="O1311" s="49"/>
      <c r="P1311" s="49"/>
      <c r="Q1311" s="49"/>
      <c r="R1311" s="49"/>
      <c r="S1311" s="49"/>
      <c r="T1311" s="49"/>
      <c r="U1311" s="49"/>
      <c r="V1311" s="49"/>
      <c r="W1311" s="49"/>
      <c r="X1311" s="49"/>
    </row>
    <row r="1312" spans="1:24" s="27" customFormat="1" x14ac:dyDescent="0.25">
      <c r="A1312" s="26"/>
      <c r="B1312" s="26"/>
      <c r="C1312" s="23"/>
      <c r="E1312" s="29"/>
      <c r="F1312" s="50"/>
      <c r="G1312" s="29"/>
      <c r="H1312" s="29"/>
      <c r="I1312" s="29"/>
      <c r="J1312" s="49"/>
      <c r="K1312" s="49"/>
      <c r="L1312" s="49"/>
      <c r="M1312" s="49"/>
      <c r="N1312" s="49"/>
      <c r="O1312" s="49"/>
      <c r="P1312" s="49"/>
      <c r="Q1312" s="49"/>
      <c r="R1312" s="49"/>
      <c r="S1312" s="49"/>
      <c r="T1312" s="49"/>
      <c r="U1312" s="49"/>
      <c r="V1312" s="49"/>
      <c r="W1312" s="49"/>
      <c r="X1312" s="49"/>
    </row>
    <row r="1313" spans="1:24" s="27" customFormat="1" x14ac:dyDescent="0.25">
      <c r="A1313" s="26"/>
      <c r="B1313" s="26"/>
      <c r="C1313" s="23"/>
      <c r="E1313" s="29"/>
      <c r="F1313" s="29"/>
      <c r="G1313" s="29"/>
      <c r="H1313" s="29"/>
      <c r="I1313" s="29"/>
      <c r="J1313" s="49"/>
      <c r="K1313" s="49"/>
      <c r="L1313" s="49"/>
      <c r="M1313" s="49"/>
      <c r="N1313" s="49"/>
      <c r="O1313" s="49"/>
      <c r="P1313" s="49"/>
      <c r="Q1313" s="49"/>
      <c r="R1313" s="49"/>
      <c r="S1313" s="49"/>
      <c r="T1313" s="49"/>
      <c r="U1313" s="49"/>
      <c r="V1313" s="49"/>
      <c r="W1313" s="49"/>
      <c r="X1313" s="49"/>
    </row>
    <row r="1314" spans="1:24" s="27" customFormat="1" x14ac:dyDescent="0.25">
      <c r="A1314" s="26"/>
      <c r="B1314" s="26"/>
      <c r="C1314" s="23"/>
      <c r="E1314" s="29"/>
      <c r="F1314" s="29"/>
      <c r="G1314" s="29"/>
      <c r="H1314" s="29"/>
      <c r="I1314" s="29"/>
      <c r="J1314" s="49"/>
      <c r="K1314" s="49"/>
      <c r="L1314" s="49"/>
      <c r="M1314" s="49"/>
      <c r="N1314" s="49"/>
      <c r="O1314" s="49"/>
      <c r="P1314" s="49"/>
      <c r="Q1314" s="49"/>
      <c r="R1314" s="49"/>
      <c r="S1314" s="49"/>
      <c r="T1314" s="49"/>
      <c r="U1314" s="49"/>
      <c r="V1314" s="49"/>
      <c r="W1314" s="49"/>
      <c r="X1314" s="49"/>
    </row>
    <row r="1315" spans="1:24" s="27" customFormat="1" x14ac:dyDescent="0.25">
      <c r="A1315" s="26"/>
      <c r="B1315" s="26"/>
      <c r="C1315" s="23"/>
      <c r="E1315" s="29"/>
      <c r="F1315" s="29"/>
      <c r="G1315" s="29"/>
      <c r="H1315" s="29"/>
      <c r="I1315" s="29"/>
      <c r="J1315" s="49"/>
      <c r="K1315" s="49"/>
      <c r="L1315" s="49"/>
      <c r="M1315" s="49"/>
      <c r="N1315" s="49"/>
      <c r="O1315" s="49"/>
      <c r="P1315" s="49"/>
      <c r="Q1315" s="49"/>
      <c r="R1315" s="49"/>
      <c r="S1315" s="49"/>
      <c r="T1315" s="49"/>
      <c r="U1315" s="49"/>
      <c r="V1315" s="49"/>
      <c r="W1315" s="49"/>
      <c r="X1315" s="49"/>
    </row>
    <row r="1316" spans="1:24" s="27" customFormat="1" x14ac:dyDescent="0.25">
      <c r="A1316" s="26"/>
      <c r="B1316" s="26"/>
      <c r="C1316" s="23"/>
      <c r="E1316" s="29"/>
      <c r="F1316" s="29"/>
      <c r="G1316" s="29"/>
      <c r="H1316" s="29"/>
      <c r="I1316" s="29"/>
      <c r="J1316" s="49"/>
      <c r="K1316" s="49"/>
      <c r="L1316" s="49"/>
      <c r="M1316" s="49"/>
      <c r="N1316" s="49"/>
      <c r="O1316" s="49"/>
      <c r="P1316" s="49"/>
      <c r="Q1316" s="49"/>
      <c r="R1316" s="49"/>
      <c r="S1316" s="49"/>
      <c r="T1316" s="49"/>
      <c r="U1316" s="49"/>
      <c r="V1316" s="49"/>
      <c r="W1316" s="49"/>
      <c r="X1316" s="49"/>
    </row>
    <row r="1317" spans="1:24" s="27" customFormat="1" x14ac:dyDescent="0.25">
      <c r="A1317" s="26"/>
      <c r="B1317" s="26"/>
      <c r="C1317" s="23"/>
      <c r="E1317" s="29"/>
      <c r="F1317" s="29"/>
      <c r="G1317" s="29"/>
      <c r="H1317" s="29"/>
      <c r="I1317" s="29"/>
      <c r="J1317" s="49"/>
      <c r="K1317" s="49"/>
      <c r="L1317" s="49"/>
      <c r="M1317" s="49"/>
      <c r="N1317" s="49"/>
      <c r="O1317" s="49"/>
      <c r="P1317" s="49"/>
      <c r="Q1317" s="49"/>
      <c r="R1317" s="49"/>
      <c r="S1317" s="49"/>
      <c r="T1317" s="49"/>
      <c r="U1317" s="49"/>
      <c r="V1317" s="49"/>
      <c r="W1317" s="49"/>
      <c r="X1317" s="49"/>
    </row>
    <row r="1318" spans="1:24" s="27" customFormat="1" x14ac:dyDescent="0.25">
      <c r="A1318" s="26"/>
      <c r="B1318" s="26"/>
      <c r="C1318" s="23"/>
      <c r="E1318" s="29"/>
      <c r="F1318" s="29"/>
      <c r="G1318" s="29"/>
      <c r="H1318" s="29"/>
      <c r="I1318" s="29"/>
      <c r="J1318" s="49"/>
      <c r="K1318" s="49"/>
      <c r="L1318" s="49"/>
      <c r="M1318" s="49"/>
      <c r="N1318" s="49"/>
      <c r="O1318" s="49"/>
      <c r="P1318" s="49"/>
      <c r="Q1318" s="49"/>
      <c r="R1318" s="49"/>
      <c r="S1318" s="49"/>
      <c r="T1318" s="49"/>
      <c r="U1318" s="49"/>
      <c r="V1318" s="49"/>
      <c r="W1318" s="49"/>
      <c r="X1318" s="49"/>
    </row>
    <row r="1319" spans="1:24" s="27" customFormat="1" x14ac:dyDescent="0.25">
      <c r="A1319" s="26"/>
      <c r="B1319" s="26"/>
      <c r="C1319" s="23"/>
      <c r="E1319" s="29"/>
      <c r="F1319" s="29"/>
      <c r="G1319" s="29"/>
      <c r="H1319" s="29"/>
      <c r="I1319" s="29"/>
      <c r="J1319" s="49"/>
      <c r="K1319" s="49"/>
      <c r="L1319" s="49"/>
      <c r="M1319" s="49"/>
      <c r="N1319" s="49"/>
      <c r="O1319" s="49"/>
      <c r="P1319" s="49"/>
      <c r="Q1319" s="49"/>
      <c r="R1319" s="49"/>
      <c r="S1319" s="49"/>
      <c r="T1319" s="49"/>
      <c r="U1319" s="49"/>
      <c r="V1319" s="49"/>
      <c r="W1319" s="49"/>
      <c r="X1319" s="49"/>
    </row>
    <row r="1320" spans="1:24" s="27" customFormat="1" x14ac:dyDescent="0.25">
      <c r="A1320" s="26"/>
      <c r="B1320" s="26"/>
      <c r="C1320" s="23"/>
      <c r="E1320" s="29"/>
      <c r="F1320" s="29"/>
      <c r="G1320" s="29"/>
      <c r="H1320" s="29"/>
      <c r="I1320" s="29"/>
      <c r="J1320" s="49"/>
      <c r="K1320" s="49"/>
      <c r="L1320" s="49"/>
      <c r="M1320" s="49"/>
      <c r="N1320" s="49"/>
      <c r="O1320" s="49"/>
      <c r="P1320" s="49"/>
      <c r="Q1320" s="49"/>
      <c r="R1320" s="49"/>
      <c r="S1320" s="49"/>
      <c r="T1320" s="49"/>
      <c r="U1320" s="49"/>
      <c r="V1320" s="49"/>
      <c r="W1320" s="49"/>
      <c r="X1320" s="49"/>
    </row>
    <row r="1321" spans="1:24" s="27" customFormat="1" x14ac:dyDescent="0.25">
      <c r="A1321" s="26"/>
      <c r="B1321" s="26"/>
      <c r="C1321" s="23"/>
      <c r="E1321" s="29"/>
      <c r="F1321" s="29"/>
      <c r="G1321" s="29"/>
      <c r="H1321" s="29"/>
      <c r="I1321" s="29"/>
      <c r="J1321" s="49"/>
      <c r="K1321" s="49"/>
      <c r="L1321" s="49"/>
      <c r="M1321" s="49"/>
      <c r="N1321" s="49"/>
      <c r="O1321" s="49"/>
      <c r="P1321" s="49"/>
      <c r="Q1321" s="49"/>
      <c r="R1321" s="49"/>
      <c r="S1321" s="49"/>
      <c r="T1321" s="49"/>
      <c r="U1321" s="49"/>
      <c r="V1321" s="49"/>
      <c r="W1321" s="49"/>
      <c r="X1321" s="49"/>
    </row>
    <row r="1322" spans="1:24" s="27" customFormat="1" x14ac:dyDescent="0.25">
      <c r="A1322" s="26"/>
      <c r="B1322" s="26"/>
      <c r="C1322" s="23"/>
      <c r="E1322" s="29"/>
      <c r="F1322" s="29"/>
      <c r="G1322" s="29"/>
      <c r="H1322" s="29"/>
      <c r="I1322" s="29"/>
      <c r="J1322" s="49"/>
      <c r="K1322" s="49"/>
      <c r="L1322" s="49"/>
      <c r="M1322" s="49"/>
      <c r="N1322" s="49"/>
      <c r="O1322" s="49"/>
      <c r="P1322" s="49"/>
      <c r="Q1322" s="49"/>
      <c r="R1322" s="49"/>
      <c r="S1322" s="49"/>
      <c r="T1322" s="49"/>
      <c r="U1322" s="49"/>
      <c r="V1322" s="49"/>
      <c r="W1322" s="49"/>
      <c r="X1322" s="49"/>
    </row>
    <row r="1323" spans="1:24" s="27" customFormat="1" x14ac:dyDescent="0.25">
      <c r="A1323" s="26"/>
      <c r="B1323" s="26"/>
      <c r="C1323" s="23"/>
      <c r="E1323" s="29"/>
      <c r="F1323" s="29"/>
      <c r="G1323" s="29"/>
      <c r="H1323" s="29"/>
      <c r="I1323" s="29"/>
      <c r="J1323" s="49"/>
      <c r="K1323" s="49"/>
      <c r="L1323" s="49"/>
      <c r="M1323" s="49"/>
      <c r="N1323" s="49"/>
      <c r="O1323" s="49"/>
      <c r="P1323" s="49"/>
      <c r="Q1323" s="49"/>
      <c r="R1323" s="49"/>
      <c r="S1323" s="49"/>
      <c r="T1323" s="49"/>
      <c r="U1323" s="49"/>
      <c r="V1323" s="49"/>
      <c r="W1323" s="49"/>
      <c r="X1323" s="49"/>
    </row>
    <row r="1324" spans="1:24" s="27" customFormat="1" x14ac:dyDescent="0.25">
      <c r="A1324" s="26"/>
      <c r="B1324" s="26"/>
      <c r="C1324" s="23"/>
      <c r="E1324" s="29"/>
      <c r="F1324" s="29"/>
      <c r="G1324" s="29"/>
      <c r="H1324" s="29"/>
      <c r="I1324" s="29"/>
      <c r="J1324" s="49"/>
      <c r="K1324" s="49"/>
      <c r="L1324" s="49"/>
      <c r="M1324" s="49"/>
      <c r="N1324" s="49"/>
      <c r="O1324" s="49"/>
      <c r="P1324" s="49"/>
      <c r="Q1324" s="49"/>
      <c r="R1324" s="49"/>
      <c r="S1324" s="49"/>
      <c r="T1324" s="49"/>
      <c r="U1324" s="49"/>
      <c r="V1324" s="49"/>
      <c r="W1324" s="49"/>
      <c r="X1324" s="49"/>
    </row>
    <row r="1325" spans="1:24" s="27" customFormat="1" x14ac:dyDescent="0.25">
      <c r="A1325" s="26"/>
      <c r="B1325" s="26"/>
      <c r="C1325" s="23"/>
      <c r="E1325" s="29"/>
      <c r="F1325" s="29"/>
      <c r="G1325" s="29"/>
      <c r="H1325" s="29"/>
      <c r="I1325" s="29"/>
      <c r="J1325" s="49"/>
      <c r="K1325" s="49"/>
      <c r="L1325" s="49"/>
      <c r="M1325" s="49"/>
      <c r="N1325" s="49"/>
      <c r="O1325" s="49"/>
      <c r="P1325" s="49"/>
      <c r="Q1325" s="49"/>
      <c r="R1325" s="49"/>
      <c r="S1325" s="49"/>
      <c r="T1325" s="49"/>
      <c r="U1325" s="49"/>
      <c r="V1325" s="49"/>
      <c r="W1325" s="49"/>
      <c r="X1325" s="49"/>
    </row>
    <row r="1326" spans="1:24" s="27" customFormat="1" x14ac:dyDescent="0.25">
      <c r="A1326" s="26"/>
      <c r="B1326" s="26"/>
      <c r="C1326" s="23"/>
      <c r="E1326" s="29"/>
      <c r="F1326" s="29"/>
      <c r="G1326" s="29"/>
      <c r="H1326" s="29"/>
      <c r="I1326" s="29"/>
      <c r="J1326" s="49"/>
      <c r="K1326" s="49"/>
      <c r="L1326" s="49"/>
      <c r="M1326" s="49"/>
      <c r="N1326" s="49"/>
      <c r="O1326" s="49"/>
      <c r="P1326" s="49"/>
      <c r="Q1326" s="49"/>
      <c r="R1326" s="49"/>
      <c r="S1326" s="49"/>
      <c r="T1326" s="49"/>
      <c r="U1326" s="49"/>
      <c r="V1326" s="49"/>
      <c r="W1326" s="49"/>
      <c r="X1326" s="49"/>
    </row>
    <row r="1327" spans="1:24" s="27" customFormat="1" x14ac:dyDescent="0.25">
      <c r="A1327" s="26"/>
      <c r="B1327" s="26"/>
      <c r="C1327" s="23"/>
      <c r="E1327" s="29"/>
      <c r="F1327" s="29"/>
      <c r="G1327" s="29"/>
      <c r="H1327" s="29"/>
      <c r="I1327" s="29"/>
      <c r="J1327" s="49"/>
      <c r="K1327" s="49"/>
      <c r="L1327" s="49"/>
      <c r="M1327" s="49"/>
      <c r="N1327" s="49"/>
      <c r="O1327" s="49"/>
      <c r="P1327" s="49"/>
      <c r="Q1327" s="49"/>
      <c r="R1327" s="49"/>
      <c r="S1327" s="49"/>
      <c r="T1327" s="49"/>
      <c r="U1327" s="49"/>
      <c r="V1327" s="49"/>
      <c r="W1327" s="49"/>
      <c r="X1327" s="49"/>
    </row>
    <row r="1328" spans="1:24" s="27" customFormat="1" x14ac:dyDescent="0.25">
      <c r="A1328" s="26"/>
      <c r="B1328" s="26"/>
      <c r="C1328" s="23"/>
      <c r="E1328" s="29"/>
      <c r="F1328" s="29"/>
      <c r="G1328" s="29"/>
      <c r="H1328" s="29"/>
      <c r="I1328" s="29"/>
      <c r="J1328" s="49"/>
      <c r="K1328" s="49"/>
      <c r="L1328" s="49"/>
      <c r="M1328" s="49"/>
      <c r="N1328" s="49"/>
      <c r="O1328" s="49"/>
      <c r="P1328" s="49"/>
      <c r="Q1328" s="49"/>
      <c r="R1328" s="49"/>
      <c r="S1328" s="49"/>
      <c r="T1328" s="49"/>
      <c r="U1328" s="49"/>
      <c r="V1328" s="49"/>
      <c r="W1328" s="49"/>
      <c r="X1328" s="49"/>
    </row>
    <row r="1329" spans="1:24" s="27" customFormat="1" x14ac:dyDescent="0.25">
      <c r="A1329" s="26"/>
      <c r="B1329" s="26"/>
      <c r="C1329" s="23"/>
      <c r="E1329" s="29"/>
      <c r="F1329" s="29"/>
      <c r="G1329" s="29"/>
      <c r="H1329" s="29"/>
      <c r="I1329" s="29"/>
      <c r="J1329" s="49"/>
      <c r="K1329" s="49"/>
      <c r="L1329" s="49"/>
      <c r="M1329" s="49"/>
      <c r="N1329" s="49"/>
      <c r="O1329" s="49"/>
      <c r="P1329" s="49"/>
      <c r="Q1329" s="49"/>
      <c r="R1329" s="49"/>
      <c r="S1329" s="49"/>
      <c r="T1329" s="49"/>
      <c r="U1329" s="49"/>
      <c r="V1329" s="49"/>
      <c r="W1329" s="49"/>
      <c r="X1329" s="49"/>
    </row>
    <row r="1330" spans="1:24" s="27" customFormat="1" x14ac:dyDescent="0.25">
      <c r="A1330" s="26"/>
      <c r="B1330" s="26"/>
      <c r="C1330" s="23"/>
      <c r="E1330" s="29"/>
      <c r="F1330" s="29"/>
      <c r="G1330" s="29"/>
      <c r="H1330" s="29"/>
      <c r="I1330" s="29"/>
      <c r="J1330" s="49"/>
      <c r="K1330" s="49"/>
      <c r="L1330" s="49"/>
      <c r="M1330" s="49"/>
      <c r="N1330" s="49"/>
      <c r="O1330" s="49"/>
      <c r="P1330" s="49"/>
      <c r="Q1330" s="49"/>
      <c r="R1330" s="49"/>
      <c r="S1330" s="49"/>
      <c r="T1330" s="49"/>
      <c r="U1330" s="49"/>
      <c r="V1330" s="49"/>
      <c r="W1330" s="49"/>
      <c r="X1330" s="49"/>
    </row>
    <row r="1331" spans="1:24" s="27" customFormat="1" x14ac:dyDescent="0.25">
      <c r="A1331" s="26"/>
      <c r="B1331" s="26"/>
      <c r="C1331" s="23"/>
      <c r="E1331" s="29"/>
      <c r="F1331" s="29"/>
      <c r="G1331" s="29"/>
      <c r="H1331" s="29"/>
      <c r="I1331" s="29"/>
      <c r="J1331" s="49"/>
      <c r="K1331" s="49"/>
      <c r="L1331" s="49"/>
      <c r="M1331" s="49"/>
      <c r="N1331" s="49"/>
      <c r="O1331" s="49"/>
      <c r="P1331" s="49"/>
      <c r="Q1331" s="49"/>
      <c r="R1331" s="49"/>
      <c r="S1331" s="49"/>
      <c r="T1331" s="49"/>
      <c r="U1331" s="49"/>
      <c r="V1331" s="49"/>
      <c r="W1331" s="49"/>
      <c r="X1331" s="49"/>
    </row>
    <row r="1332" spans="1:24" s="27" customFormat="1" x14ac:dyDescent="0.25">
      <c r="A1332" s="26"/>
      <c r="B1332" s="26"/>
      <c r="C1332" s="23"/>
      <c r="E1332" s="29"/>
      <c r="F1332" s="29"/>
      <c r="G1332" s="29"/>
      <c r="H1332" s="29"/>
      <c r="I1332" s="29"/>
      <c r="J1332" s="49"/>
      <c r="K1332" s="49"/>
      <c r="L1332" s="49"/>
      <c r="M1332" s="49"/>
      <c r="N1332" s="49"/>
      <c r="O1332" s="49"/>
      <c r="P1332" s="49"/>
      <c r="Q1332" s="49"/>
      <c r="R1332" s="49"/>
      <c r="S1332" s="49"/>
      <c r="T1332" s="49"/>
      <c r="U1332" s="49"/>
      <c r="V1332" s="49"/>
      <c r="W1332" s="49"/>
      <c r="X1332" s="49"/>
    </row>
    <row r="1333" spans="1:24" s="27" customFormat="1" x14ac:dyDescent="0.25">
      <c r="A1333" s="26"/>
      <c r="B1333" s="26"/>
      <c r="C1333" s="23"/>
      <c r="E1333" s="29"/>
      <c r="F1333" s="29"/>
      <c r="G1333" s="29"/>
      <c r="H1333" s="29"/>
      <c r="I1333" s="29"/>
      <c r="J1333" s="49"/>
      <c r="K1333" s="49"/>
      <c r="L1333" s="49"/>
      <c r="M1333" s="49"/>
      <c r="N1333" s="49"/>
      <c r="O1333" s="49"/>
      <c r="P1333" s="49"/>
      <c r="Q1333" s="49"/>
      <c r="R1333" s="49"/>
      <c r="S1333" s="49"/>
      <c r="T1333" s="49"/>
      <c r="U1333" s="49"/>
      <c r="V1333" s="49"/>
      <c r="W1333" s="49"/>
      <c r="X1333" s="49"/>
    </row>
    <row r="1334" spans="1:24" s="27" customFormat="1" x14ac:dyDescent="0.25">
      <c r="A1334" s="26"/>
      <c r="B1334" s="26"/>
      <c r="C1334" s="23"/>
      <c r="E1334" s="29"/>
      <c r="F1334" s="50"/>
      <c r="G1334" s="29"/>
      <c r="H1334" s="29"/>
      <c r="I1334" s="29"/>
      <c r="J1334" s="49"/>
      <c r="K1334" s="49"/>
      <c r="L1334" s="49"/>
      <c r="M1334" s="49"/>
      <c r="N1334" s="49"/>
      <c r="O1334" s="49"/>
      <c r="P1334" s="49"/>
      <c r="Q1334" s="49"/>
      <c r="R1334" s="49"/>
      <c r="S1334" s="49"/>
      <c r="T1334" s="49"/>
      <c r="U1334" s="49"/>
      <c r="V1334" s="49"/>
      <c r="W1334" s="49"/>
      <c r="X1334" s="49"/>
    </row>
    <row r="1335" spans="1:24" s="27" customFormat="1" x14ac:dyDescent="0.25">
      <c r="A1335" s="26"/>
      <c r="B1335" s="26"/>
      <c r="C1335" s="23"/>
      <c r="E1335" s="29"/>
      <c r="F1335" s="29"/>
      <c r="G1335" s="29"/>
      <c r="H1335" s="29"/>
      <c r="I1335" s="29"/>
      <c r="J1335" s="49"/>
      <c r="K1335" s="49"/>
      <c r="L1335" s="49"/>
      <c r="M1335" s="49"/>
      <c r="N1335" s="49"/>
      <c r="O1335" s="49"/>
      <c r="P1335" s="49"/>
      <c r="Q1335" s="49"/>
      <c r="R1335" s="49"/>
      <c r="S1335" s="49"/>
      <c r="T1335" s="49"/>
      <c r="U1335" s="49"/>
      <c r="V1335" s="49"/>
      <c r="W1335" s="49"/>
      <c r="X1335" s="49"/>
    </row>
    <row r="1336" spans="1:24" s="27" customFormat="1" x14ac:dyDescent="0.25">
      <c r="A1336" s="26"/>
      <c r="B1336" s="26"/>
      <c r="C1336" s="23"/>
      <c r="E1336" s="29"/>
      <c r="F1336" s="29"/>
      <c r="G1336" s="29"/>
      <c r="H1336" s="29"/>
      <c r="I1336" s="29"/>
      <c r="J1336" s="49"/>
      <c r="K1336" s="49"/>
      <c r="L1336" s="49"/>
      <c r="M1336" s="49"/>
      <c r="N1336" s="49"/>
      <c r="O1336" s="49"/>
      <c r="P1336" s="49"/>
      <c r="Q1336" s="49"/>
      <c r="R1336" s="49"/>
      <c r="S1336" s="49"/>
      <c r="T1336" s="49"/>
      <c r="U1336" s="49"/>
      <c r="V1336" s="49"/>
      <c r="W1336" s="49"/>
      <c r="X1336" s="49"/>
    </row>
    <row r="1337" spans="1:24" s="27" customFormat="1" x14ac:dyDescent="0.25">
      <c r="A1337" s="26"/>
      <c r="B1337" s="26"/>
      <c r="C1337" s="23"/>
      <c r="E1337" s="29"/>
      <c r="F1337" s="29"/>
      <c r="G1337" s="29"/>
      <c r="H1337" s="29"/>
      <c r="I1337" s="29"/>
      <c r="J1337" s="49"/>
      <c r="K1337" s="49"/>
      <c r="L1337" s="49"/>
      <c r="M1337" s="49"/>
      <c r="N1337" s="49"/>
      <c r="O1337" s="49"/>
      <c r="P1337" s="49"/>
      <c r="Q1337" s="49"/>
      <c r="R1337" s="49"/>
      <c r="S1337" s="49"/>
      <c r="T1337" s="49"/>
      <c r="U1337" s="49"/>
      <c r="V1337" s="49"/>
      <c r="W1337" s="49"/>
      <c r="X1337" s="49"/>
    </row>
    <row r="1338" spans="1:24" s="27" customFormat="1" x14ac:dyDescent="0.25">
      <c r="A1338" s="26"/>
      <c r="B1338" s="26"/>
      <c r="C1338" s="23"/>
      <c r="E1338" s="29"/>
      <c r="F1338" s="29"/>
      <c r="G1338" s="29"/>
      <c r="H1338" s="29"/>
      <c r="I1338" s="29"/>
      <c r="J1338" s="49"/>
      <c r="K1338" s="49"/>
      <c r="L1338" s="49"/>
      <c r="M1338" s="49"/>
      <c r="N1338" s="49"/>
      <c r="O1338" s="49"/>
      <c r="P1338" s="49"/>
      <c r="Q1338" s="49"/>
      <c r="R1338" s="49"/>
      <c r="S1338" s="49"/>
      <c r="T1338" s="49"/>
      <c r="U1338" s="49"/>
      <c r="V1338" s="49"/>
      <c r="W1338" s="49"/>
      <c r="X1338" s="49"/>
    </row>
    <row r="1339" spans="1:24" s="27" customFormat="1" x14ac:dyDescent="0.25">
      <c r="A1339" s="26"/>
      <c r="B1339" s="26"/>
      <c r="C1339" s="23"/>
      <c r="E1339" s="29"/>
      <c r="F1339" s="29"/>
      <c r="G1339" s="29"/>
      <c r="H1339" s="29"/>
      <c r="I1339" s="29"/>
      <c r="J1339" s="49"/>
      <c r="K1339" s="49"/>
      <c r="L1339" s="49"/>
      <c r="M1339" s="49"/>
      <c r="N1339" s="49"/>
      <c r="O1339" s="49"/>
      <c r="P1339" s="49"/>
      <c r="Q1339" s="49"/>
      <c r="R1339" s="49"/>
      <c r="S1339" s="49"/>
      <c r="T1339" s="49"/>
      <c r="U1339" s="49"/>
      <c r="V1339" s="49"/>
      <c r="W1339" s="49"/>
      <c r="X1339" s="49"/>
    </row>
    <row r="1340" spans="1:24" s="27" customFormat="1" x14ac:dyDescent="0.25">
      <c r="A1340" s="26"/>
      <c r="B1340" s="26"/>
      <c r="C1340" s="23"/>
      <c r="E1340" s="29"/>
      <c r="F1340" s="29"/>
      <c r="G1340" s="29"/>
      <c r="H1340" s="29"/>
      <c r="I1340" s="29"/>
      <c r="J1340" s="49"/>
      <c r="K1340" s="49"/>
      <c r="L1340" s="49"/>
      <c r="M1340" s="49"/>
      <c r="N1340" s="49"/>
      <c r="O1340" s="49"/>
      <c r="P1340" s="49"/>
      <c r="Q1340" s="49"/>
      <c r="R1340" s="49"/>
      <c r="S1340" s="49"/>
      <c r="T1340" s="49"/>
      <c r="U1340" s="49"/>
      <c r="V1340" s="49"/>
      <c r="W1340" s="49"/>
      <c r="X1340" s="49"/>
    </row>
    <row r="1341" spans="1:24" s="27" customFormat="1" x14ac:dyDescent="0.25">
      <c r="A1341" s="26"/>
      <c r="B1341" s="26"/>
      <c r="C1341" s="23"/>
      <c r="E1341" s="29"/>
      <c r="F1341" s="29"/>
      <c r="G1341" s="29"/>
      <c r="H1341" s="29"/>
      <c r="I1341" s="29"/>
      <c r="J1341" s="49"/>
      <c r="K1341" s="49"/>
      <c r="L1341" s="49"/>
      <c r="M1341" s="49"/>
      <c r="N1341" s="49"/>
      <c r="O1341" s="49"/>
      <c r="P1341" s="49"/>
      <c r="Q1341" s="49"/>
      <c r="R1341" s="49"/>
      <c r="S1341" s="49"/>
      <c r="T1341" s="49"/>
      <c r="U1341" s="49"/>
      <c r="V1341" s="49"/>
      <c r="W1341" s="49"/>
      <c r="X1341" s="49"/>
    </row>
    <row r="1342" spans="1:24" s="27" customFormat="1" x14ac:dyDescent="0.25">
      <c r="A1342" s="26"/>
      <c r="B1342" s="26"/>
      <c r="C1342" s="23"/>
      <c r="E1342" s="29"/>
      <c r="F1342" s="50"/>
      <c r="G1342" s="29"/>
      <c r="H1342" s="29"/>
      <c r="I1342" s="29"/>
      <c r="J1342" s="49"/>
      <c r="K1342" s="49"/>
      <c r="L1342" s="49"/>
      <c r="M1342" s="49"/>
      <c r="N1342" s="49"/>
      <c r="O1342" s="49"/>
      <c r="P1342" s="49"/>
      <c r="Q1342" s="49"/>
      <c r="R1342" s="49"/>
      <c r="S1342" s="49"/>
      <c r="T1342" s="49"/>
      <c r="U1342" s="49"/>
      <c r="V1342" s="49"/>
      <c r="W1342" s="49"/>
      <c r="X1342" s="49"/>
    </row>
    <row r="1343" spans="1:24" s="27" customFormat="1" x14ac:dyDescent="0.25">
      <c r="A1343" s="26"/>
      <c r="B1343" s="26"/>
      <c r="C1343" s="23"/>
      <c r="E1343" s="29"/>
      <c r="F1343" s="29"/>
      <c r="G1343" s="29"/>
      <c r="H1343" s="29"/>
      <c r="I1343" s="29"/>
      <c r="J1343" s="49"/>
      <c r="K1343" s="49"/>
      <c r="L1343" s="49"/>
      <c r="M1343" s="49"/>
      <c r="N1343" s="49"/>
      <c r="O1343" s="49"/>
      <c r="P1343" s="49"/>
      <c r="Q1343" s="49"/>
      <c r="R1343" s="49"/>
      <c r="S1343" s="49"/>
      <c r="T1343" s="49"/>
      <c r="U1343" s="49"/>
      <c r="V1343" s="49"/>
      <c r="W1343" s="49"/>
      <c r="X1343" s="49"/>
    </row>
    <row r="1344" spans="1:24" s="27" customFormat="1" x14ac:dyDescent="0.25">
      <c r="A1344" s="26"/>
      <c r="B1344" s="26"/>
      <c r="C1344" s="23"/>
      <c r="E1344" s="29"/>
      <c r="F1344" s="29"/>
      <c r="G1344" s="29"/>
      <c r="H1344" s="29"/>
      <c r="I1344" s="29"/>
      <c r="J1344" s="49"/>
      <c r="K1344" s="49"/>
      <c r="L1344" s="49"/>
      <c r="M1344" s="49"/>
      <c r="N1344" s="49"/>
      <c r="O1344" s="49"/>
      <c r="P1344" s="49"/>
      <c r="Q1344" s="49"/>
      <c r="R1344" s="49"/>
      <c r="S1344" s="49"/>
      <c r="T1344" s="49"/>
      <c r="U1344" s="49"/>
      <c r="V1344" s="49"/>
      <c r="W1344" s="49"/>
      <c r="X1344" s="49"/>
    </row>
    <row r="1345" spans="1:24" s="27" customFormat="1" x14ac:dyDescent="0.25">
      <c r="A1345" s="26"/>
      <c r="B1345" s="26"/>
      <c r="C1345" s="23"/>
      <c r="E1345" s="29"/>
      <c r="F1345" s="29"/>
      <c r="G1345" s="29"/>
      <c r="H1345" s="29"/>
      <c r="I1345" s="29"/>
      <c r="J1345" s="49"/>
      <c r="K1345" s="49"/>
      <c r="L1345" s="49"/>
      <c r="M1345" s="49"/>
      <c r="N1345" s="49"/>
      <c r="O1345" s="49"/>
      <c r="P1345" s="49"/>
      <c r="Q1345" s="49"/>
      <c r="R1345" s="49"/>
      <c r="S1345" s="49"/>
      <c r="T1345" s="49"/>
      <c r="U1345" s="49"/>
      <c r="V1345" s="49"/>
      <c r="W1345" s="49"/>
      <c r="X1345" s="49"/>
    </row>
    <row r="1346" spans="1:24" s="27" customFormat="1" x14ac:dyDescent="0.25">
      <c r="A1346" s="26"/>
      <c r="B1346" s="26"/>
      <c r="C1346" s="23"/>
      <c r="E1346" s="29"/>
      <c r="F1346" s="29"/>
      <c r="G1346" s="29"/>
      <c r="H1346" s="29"/>
      <c r="I1346" s="29"/>
      <c r="J1346" s="49"/>
      <c r="K1346" s="49"/>
      <c r="L1346" s="49"/>
      <c r="M1346" s="49"/>
      <c r="N1346" s="49"/>
      <c r="O1346" s="49"/>
      <c r="P1346" s="49"/>
      <c r="Q1346" s="49"/>
      <c r="R1346" s="49"/>
      <c r="S1346" s="49"/>
      <c r="T1346" s="49"/>
      <c r="U1346" s="49"/>
      <c r="V1346" s="49"/>
      <c r="W1346" s="49"/>
      <c r="X1346" s="49"/>
    </row>
    <row r="1347" spans="1:24" s="27" customFormat="1" x14ac:dyDescent="0.25">
      <c r="A1347" s="26"/>
      <c r="B1347" s="26"/>
      <c r="C1347" s="23"/>
      <c r="E1347" s="29"/>
      <c r="F1347" s="29"/>
      <c r="G1347" s="29"/>
      <c r="H1347" s="29"/>
      <c r="I1347" s="29"/>
      <c r="J1347" s="49"/>
      <c r="K1347" s="49"/>
      <c r="L1347" s="49"/>
      <c r="M1347" s="49"/>
      <c r="N1347" s="49"/>
      <c r="O1347" s="49"/>
      <c r="P1347" s="49"/>
      <c r="Q1347" s="49"/>
      <c r="R1347" s="49"/>
      <c r="S1347" s="49"/>
      <c r="T1347" s="49"/>
      <c r="U1347" s="49"/>
      <c r="V1347" s="49"/>
      <c r="W1347" s="49"/>
      <c r="X1347" s="49"/>
    </row>
    <row r="1348" spans="1:24" s="27" customFormat="1" x14ac:dyDescent="0.25">
      <c r="A1348" s="26"/>
      <c r="B1348" s="26"/>
      <c r="C1348" s="23"/>
      <c r="E1348" s="29"/>
      <c r="F1348" s="29"/>
      <c r="G1348" s="29"/>
      <c r="H1348" s="29"/>
      <c r="I1348" s="29"/>
      <c r="J1348" s="49"/>
      <c r="K1348" s="49"/>
      <c r="L1348" s="49"/>
      <c r="M1348" s="49"/>
      <c r="N1348" s="49"/>
      <c r="O1348" s="49"/>
      <c r="P1348" s="49"/>
      <c r="Q1348" s="49"/>
      <c r="R1348" s="49"/>
      <c r="S1348" s="49"/>
      <c r="T1348" s="49"/>
      <c r="U1348" s="49"/>
      <c r="V1348" s="49"/>
      <c r="W1348" s="49"/>
      <c r="X1348" s="49"/>
    </row>
    <row r="1349" spans="1:24" s="27" customFormat="1" x14ac:dyDescent="0.25">
      <c r="A1349" s="26"/>
      <c r="B1349" s="26"/>
      <c r="C1349" s="23"/>
      <c r="E1349" s="29"/>
      <c r="F1349" s="29"/>
      <c r="G1349" s="29"/>
      <c r="H1349" s="29"/>
      <c r="I1349" s="29"/>
      <c r="J1349" s="49"/>
      <c r="K1349" s="49"/>
      <c r="L1349" s="49"/>
      <c r="M1349" s="49"/>
      <c r="N1349" s="49"/>
      <c r="O1349" s="49"/>
      <c r="P1349" s="49"/>
      <c r="Q1349" s="49"/>
      <c r="R1349" s="49"/>
      <c r="S1349" s="49"/>
      <c r="T1349" s="49"/>
      <c r="U1349" s="49"/>
      <c r="V1349" s="49"/>
      <c r="W1349" s="49"/>
      <c r="X1349" s="49"/>
    </row>
    <row r="1350" spans="1:24" s="27" customFormat="1" x14ac:dyDescent="0.25">
      <c r="A1350" s="26"/>
      <c r="B1350" s="26"/>
      <c r="C1350" s="23"/>
      <c r="E1350" s="29"/>
      <c r="F1350" s="29"/>
      <c r="G1350" s="29"/>
      <c r="H1350" s="29"/>
      <c r="I1350" s="29"/>
      <c r="J1350" s="49"/>
      <c r="K1350" s="49"/>
      <c r="L1350" s="49"/>
      <c r="M1350" s="49"/>
      <c r="N1350" s="49"/>
      <c r="O1350" s="49"/>
      <c r="P1350" s="49"/>
      <c r="Q1350" s="49"/>
      <c r="R1350" s="49"/>
      <c r="S1350" s="49"/>
      <c r="T1350" s="49"/>
      <c r="U1350" s="49"/>
      <c r="V1350" s="49"/>
      <c r="W1350" s="49"/>
      <c r="X1350" s="49"/>
    </row>
    <row r="1351" spans="1:24" s="27" customFormat="1" x14ac:dyDescent="0.25">
      <c r="A1351" s="26"/>
      <c r="B1351" s="26"/>
      <c r="C1351" s="23"/>
      <c r="E1351" s="29"/>
      <c r="F1351" s="29"/>
      <c r="G1351" s="29"/>
      <c r="H1351" s="29"/>
      <c r="I1351" s="29"/>
      <c r="J1351" s="49"/>
      <c r="K1351" s="49"/>
      <c r="L1351" s="49"/>
      <c r="M1351" s="49"/>
      <c r="N1351" s="49"/>
      <c r="O1351" s="49"/>
      <c r="P1351" s="49"/>
      <c r="Q1351" s="49"/>
      <c r="R1351" s="49"/>
      <c r="S1351" s="49"/>
      <c r="T1351" s="49"/>
      <c r="U1351" s="49"/>
      <c r="V1351" s="49"/>
      <c r="W1351" s="49"/>
      <c r="X1351" s="49"/>
    </row>
    <row r="1352" spans="1:24" s="27" customFormat="1" x14ac:dyDescent="0.25">
      <c r="A1352" s="26"/>
      <c r="B1352" s="26"/>
      <c r="C1352" s="23"/>
      <c r="E1352" s="29"/>
      <c r="F1352" s="29"/>
      <c r="G1352" s="29"/>
      <c r="H1352" s="29"/>
      <c r="I1352" s="29"/>
      <c r="J1352" s="49"/>
      <c r="K1352" s="49"/>
      <c r="L1352" s="49"/>
      <c r="M1352" s="49"/>
      <c r="N1352" s="49"/>
      <c r="O1352" s="49"/>
      <c r="P1352" s="49"/>
      <c r="Q1352" s="49"/>
      <c r="R1352" s="49"/>
      <c r="S1352" s="49"/>
      <c r="T1352" s="49"/>
      <c r="U1352" s="49"/>
      <c r="V1352" s="49"/>
      <c r="W1352" s="49"/>
      <c r="X1352" s="49"/>
    </row>
    <row r="1353" spans="1:24" s="27" customFormat="1" x14ac:dyDescent="0.25">
      <c r="A1353" s="26"/>
      <c r="B1353" s="26"/>
      <c r="C1353" s="23"/>
      <c r="E1353" s="29"/>
      <c r="F1353" s="29"/>
      <c r="G1353" s="29"/>
      <c r="H1353" s="29"/>
      <c r="I1353" s="29"/>
      <c r="J1353" s="49"/>
      <c r="K1353" s="49"/>
      <c r="L1353" s="49"/>
      <c r="M1353" s="49"/>
      <c r="N1353" s="49"/>
      <c r="O1353" s="49"/>
      <c r="P1353" s="49"/>
      <c r="Q1353" s="49"/>
      <c r="R1353" s="49"/>
      <c r="S1353" s="49"/>
      <c r="T1353" s="49"/>
      <c r="U1353" s="49"/>
      <c r="V1353" s="49"/>
      <c r="W1353" s="49"/>
      <c r="X1353" s="49"/>
    </row>
    <row r="1354" spans="1:24" s="27" customFormat="1" x14ac:dyDescent="0.25">
      <c r="A1354" s="26"/>
      <c r="B1354" s="26"/>
      <c r="C1354" s="23"/>
      <c r="E1354" s="29"/>
      <c r="F1354" s="29"/>
      <c r="G1354" s="29"/>
      <c r="H1354" s="29"/>
      <c r="I1354" s="29"/>
      <c r="J1354" s="49"/>
      <c r="K1354" s="49"/>
      <c r="L1354" s="49"/>
      <c r="M1354" s="49"/>
      <c r="N1354" s="49"/>
      <c r="O1354" s="49"/>
      <c r="P1354" s="49"/>
      <c r="Q1354" s="49"/>
      <c r="R1354" s="49"/>
      <c r="S1354" s="49"/>
      <c r="T1354" s="49"/>
      <c r="U1354" s="49"/>
      <c r="V1354" s="49"/>
      <c r="W1354" s="49"/>
      <c r="X1354" s="49"/>
    </row>
    <row r="1355" spans="1:24" s="27" customFormat="1" x14ac:dyDescent="0.25">
      <c r="A1355" s="26"/>
      <c r="B1355" s="26"/>
      <c r="C1355" s="23"/>
      <c r="E1355" s="29"/>
      <c r="F1355" s="29"/>
      <c r="G1355" s="29"/>
      <c r="H1355" s="29"/>
      <c r="I1355" s="29"/>
      <c r="J1355" s="49"/>
      <c r="K1355" s="49"/>
      <c r="L1355" s="49"/>
      <c r="M1355" s="49"/>
      <c r="N1355" s="49"/>
      <c r="O1355" s="49"/>
      <c r="P1355" s="49"/>
      <c r="Q1355" s="49"/>
      <c r="R1355" s="49"/>
      <c r="S1355" s="49"/>
      <c r="T1355" s="49"/>
      <c r="U1355" s="49"/>
      <c r="V1355" s="49"/>
      <c r="W1355" s="49"/>
      <c r="X1355" s="49"/>
    </row>
    <row r="1356" spans="1:24" s="27" customFormat="1" x14ac:dyDescent="0.25">
      <c r="A1356" s="26"/>
      <c r="B1356" s="26"/>
      <c r="C1356" s="23"/>
      <c r="E1356" s="29"/>
      <c r="F1356" s="29"/>
      <c r="G1356" s="29"/>
      <c r="H1356" s="29"/>
      <c r="I1356" s="29"/>
      <c r="J1356" s="49"/>
      <c r="K1356" s="49"/>
      <c r="L1356" s="49"/>
      <c r="M1356" s="49"/>
      <c r="N1356" s="49"/>
      <c r="O1356" s="49"/>
      <c r="P1356" s="49"/>
      <c r="Q1356" s="49"/>
      <c r="R1356" s="49"/>
      <c r="S1356" s="49"/>
      <c r="T1356" s="49"/>
      <c r="U1356" s="49"/>
      <c r="V1356" s="49"/>
      <c r="W1356" s="49"/>
      <c r="X1356" s="49"/>
    </row>
    <row r="1357" spans="1:24" s="27" customFormat="1" x14ac:dyDescent="0.25">
      <c r="A1357" s="26"/>
      <c r="B1357" s="26"/>
      <c r="C1357" s="23"/>
      <c r="E1357" s="29"/>
      <c r="F1357" s="29"/>
      <c r="G1357" s="29"/>
      <c r="H1357" s="29"/>
      <c r="I1357" s="29"/>
      <c r="J1357" s="49"/>
      <c r="K1357" s="49"/>
      <c r="L1357" s="49"/>
      <c r="M1357" s="49"/>
      <c r="N1357" s="49"/>
      <c r="O1357" s="49"/>
      <c r="P1357" s="49"/>
      <c r="Q1357" s="49"/>
      <c r="R1357" s="49"/>
      <c r="S1357" s="49"/>
      <c r="T1357" s="49"/>
      <c r="U1357" s="49"/>
      <c r="V1357" s="49"/>
      <c r="W1357" s="49"/>
      <c r="X1357" s="49"/>
    </row>
    <row r="1358" spans="1:24" s="27" customFormat="1" x14ac:dyDescent="0.25">
      <c r="A1358" s="26"/>
      <c r="B1358" s="26"/>
      <c r="C1358" s="23"/>
      <c r="E1358" s="29"/>
      <c r="F1358" s="29"/>
      <c r="G1358" s="29"/>
      <c r="H1358" s="29"/>
      <c r="I1358" s="29"/>
      <c r="J1358" s="49"/>
      <c r="K1358" s="49"/>
      <c r="L1358" s="49"/>
      <c r="M1358" s="49"/>
      <c r="N1358" s="49"/>
      <c r="O1358" s="49"/>
      <c r="P1358" s="49"/>
      <c r="Q1358" s="49"/>
      <c r="R1358" s="49"/>
      <c r="S1358" s="49"/>
      <c r="T1358" s="49"/>
      <c r="U1358" s="49"/>
      <c r="V1358" s="49"/>
      <c r="W1358" s="49"/>
      <c r="X1358" s="49"/>
    </row>
    <row r="1359" spans="1:24" s="27" customFormat="1" x14ac:dyDescent="0.25">
      <c r="A1359" s="26"/>
      <c r="B1359" s="26"/>
      <c r="C1359" s="23"/>
      <c r="E1359" s="29"/>
      <c r="F1359" s="29"/>
      <c r="G1359" s="29"/>
      <c r="H1359" s="29"/>
      <c r="I1359" s="29"/>
      <c r="J1359" s="49"/>
      <c r="K1359" s="49"/>
      <c r="L1359" s="49"/>
      <c r="M1359" s="49"/>
      <c r="N1359" s="49"/>
      <c r="O1359" s="49"/>
      <c r="P1359" s="49"/>
      <c r="Q1359" s="49"/>
      <c r="R1359" s="49"/>
      <c r="S1359" s="49"/>
      <c r="T1359" s="49"/>
      <c r="U1359" s="49"/>
      <c r="V1359" s="49"/>
      <c r="W1359" s="49"/>
      <c r="X1359" s="49"/>
    </row>
    <row r="1360" spans="1:24" s="27" customFormat="1" x14ac:dyDescent="0.25">
      <c r="A1360" s="26"/>
      <c r="B1360" s="26"/>
      <c r="C1360" s="23"/>
      <c r="E1360" s="29"/>
      <c r="F1360" s="29"/>
      <c r="G1360" s="29"/>
      <c r="H1360" s="29"/>
      <c r="I1360" s="29"/>
      <c r="J1360" s="49"/>
      <c r="K1360" s="49"/>
      <c r="L1360" s="49"/>
      <c r="M1360" s="49"/>
      <c r="N1360" s="49"/>
      <c r="O1360" s="49"/>
      <c r="P1360" s="49"/>
      <c r="Q1360" s="49"/>
      <c r="R1360" s="49"/>
      <c r="S1360" s="49"/>
      <c r="T1360" s="49"/>
      <c r="U1360" s="49"/>
      <c r="V1360" s="49"/>
      <c r="W1360" s="49"/>
      <c r="X1360" s="49"/>
    </row>
    <row r="1361" spans="1:24" s="27" customFormat="1" x14ac:dyDescent="0.25">
      <c r="A1361" s="26"/>
      <c r="B1361" s="26"/>
      <c r="C1361" s="23"/>
      <c r="E1361" s="29"/>
      <c r="F1361" s="29"/>
      <c r="G1361" s="29"/>
      <c r="H1361" s="29"/>
      <c r="I1361" s="29"/>
      <c r="J1361" s="49"/>
      <c r="K1361" s="49"/>
      <c r="L1361" s="49"/>
      <c r="M1361" s="49"/>
      <c r="N1361" s="49"/>
      <c r="O1361" s="49"/>
      <c r="P1361" s="49"/>
      <c r="Q1361" s="49"/>
      <c r="R1361" s="49"/>
      <c r="S1361" s="49"/>
      <c r="T1361" s="49"/>
      <c r="U1361" s="49"/>
      <c r="V1361" s="49"/>
      <c r="W1361" s="49"/>
      <c r="X1361" s="49"/>
    </row>
    <row r="1362" spans="1:24" s="27" customFormat="1" x14ac:dyDescent="0.25">
      <c r="A1362" s="26"/>
      <c r="B1362" s="26"/>
      <c r="C1362" s="23"/>
      <c r="E1362" s="29"/>
      <c r="F1362" s="29"/>
      <c r="G1362" s="29"/>
      <c r="H1362" s="29"/>
      <c r="I1362" s="29"/>
      <c r="J1362" s="49"/>
      <c r="K1362" s="49"/>
      <c r="L1362" s="49"/>
      <c r="M1362" s="49"/>
      <c r="N1362" s="49"/>
      <c r="O1362" s="49"/>
      <c r="P1362" s="49"/>
      <c r="Q1362" s="49"/>
      <c r="R1362" s="49"/>
      <c r="S1362" s="49"/>
      <c r="T1362" s="49"/>
      <c r="U1362" s="49"/>
      <c r="V1362" s="49"/>
      <c r="W1362" s="49"/>
      <c r="X1362" s="49"/>
    </row>
    <row r="1363" spans="1:24" s="27" customFormat="1" x14ac:dyDescent="0.25">
      <c r="A1363" s="26"/>
      <c r="B1363" s="26"/>
      <c r="C1363" s="23"/>
      <c r="E1363" s="29"/>
      <c r="F1363" s="29"/>
      <c r="G1363" s="29"/>
      <c r="H1363" s="29"/>
      <c r="I1363" s="29"/>
      <c r="J1363" s="49"/>
      <c r="K1363" s="49"/>
      <c r="L1363" s="49"/>
      <c r="M1363" s="49"/>
      <c r="N1363" s="49"/>
      <c r="O1363" s="49"/>
      <c r="P1363" s="49"/>
      <c r="Q1363" s="49"/>
      <c r="R1363" s="49"/>
      <c r="S1363" s="49"/>
      <c r="T1363" s="49"/>
      <c r="U1363" s="49"/>
      <c r="V1363" s="49"/>
      <c r="W1363" s="49"/>
      <c r="X1363" s="49"/>
    </row>
    <row r="1364" spans="1:24" s="27" customFormat="1" x14ac:dyDescent="0.25">
      <c r="A1364" s="26"/>
      <c r="B1364" s="26"/>
      <c r="C1364" s="23"/>
      <c r="E1364" s="29"/>
      <c r="F1364" s="29"/>
      <c r="G1364" s="29"/>
      <c r="H1364" s="29"/>
      <c r="I1364" s="29"/>
      <c r="J1364" s="49"/>
      <c r="K1364" s="49"/>
      <c r="L1364" s="49"/>
      <c r="M1364" s="49"/>
      <c r="N1364" s="49"/>
      <c r="O1364" s="49"/>
      <c r="P1364" s="49"/>
      <c r="Q1364" s="49"/>
      <c r="R1364" s="49"/>
      <c r="S1364" s="49"/>
      <c r="T1364" s="49"/>
      <c r="U1364" s="49"/>
      <c r="V1364" s="49"/>
      <c r="W1364" s="49"/>
      <c r="X1364" s="49"/>
    </row>
    <row r="1365" spans="1:24" s="27" customFormat="1" x14ac:dyDescent="0.25">
      <c r="A1365" s="26"/>
      <c r="B1365" s="26"/>
      <c r="C1365" s="23"/>
      <c r="E1365" s="29"/>
      <c r="F1365" s="29"/>
      <c r="G1365" s="29"/>
      <c r="H1365" s="29"/>
      <c r="I1365" s="29"/>
      <c r="J1365" s="49"/>
      <c r="K1365" s="49"/>
      <c r="L1365" s="49"/>
      <c r="M1365" s="49"/>
      <c r="N1365" s="49"/>
      <c r="O1365" s="49"/>
      <c r="P1365" s="49"/>
      <c r="Q1365" s="49"/>
      <c r="R1365" s="49"/>
      <c r="S1365" s="49"/>
      <c r="T1365" s="49"/>
      <c r="U1365" s="49"/>
      <c r="V1365" s="49"/>
      <c r="W1365" s="49"/>
      <c r="X1365" s="49"/>
    </row>
    <row r="1366" spans="1:24" s="27" customFormat="1" x14ac:dyDescent="0.25">
      <c r="A1366" s="26"/>
      <c r="B1366" s="26"/>
      <c r="C1366" s="23"/>
      <c r="E1366" s="29"/>
      <c r="F1366" s="29"/>
      <c r="G1366" s="29"/>
      <c r="H1366" s="29"/>
      <c r="I1366" s="29"/>
      <c r="J1366" s="49"/>
      <c r="K1366" s="49"/>
      <c r="L1366" s="49"/>
      <c r="M1366" s="49"/>
      <c r="N1366" s="49"/>
      <c r="O1366" s="49"/>
      <c r="P1366" s="49"/>
      <c r="Q1366" s="49"/>
      <c r="R1366" s="49"/>
      <c r="S1366" s="49"/>
      <c r="T1366" s="49"/>
      <c r="U1366" s="49"/>
      <c r="V1366" s="49"/>
      <c r="W1366" s="49"/>
      <c r="X1366" s="49"/>
    </row>
    <row r="1367" spans="1:24" s="27" customFormat="1" x14ac:dyDescent="0.25">
      <c r="A1367" s="26"/>
      <c r="B1367" s="26"/>
      <c r="C1367" s="23"/>
      <c r="E1367" s="29"/>
      <c r="F1367" s="29"/>
      <c r="G1367" s="29"/>
      <c r="H1367" s="29"/>
      <c r="I1367" s="29"/>
      <c r="J1367" s="49"/>
      <c r="K1367" s="49"/>
      <c r="L1367" s="49"/>
      <c r="M1367" s="49"/>
      <c r="N1367" s="49"/>
      <c r="O1367" s="49"/>
      <c r="P1367" s="49"/>
      <c r="Q1367" s="49"/>
      <c r="R1367" s="49"/>
      <c r="S1367" s="49"/>
      <c r="T1367" s="49"/>
      <c r="U1367" s="49"/>
      <c r="V1367" s="49"/>
      <c r="W1367" s="49"/>
      <c r="X1367" s="49"/>
    </row>
    <row r="1368" spans="1:24" s="27" customFormat="1" x14ac:dyDescent="0.25">
      <c r="A1368" s="26"/>
      <c r="B1368" s="26"/>
      <c r="C1368" s="23"/>
      <c r="E1368" s="29"/>
      <c r="F1368" s="29"/>
      <c r="G1368" s="29"/>
      <c r="H1368" s="29"/>
      <c r="I1368" s="29"/>
      <c r="J1368" s="49"/>
      <c r="K1368" s="49"/>
      <c r="L1368" s="49"/>
      <c r="M1368" s="49"/>
      <c r="N1368" s="49"/>
      <c r="O1368" s="49"/>
      <c r="P1368" s="49"/>
      <c r="Q1368" s="49"/>
      <c r="R1368" s="49"/>
      <c r="S1368" s="49"/>
      <c r="T1368" s="49"/>
      <c r="U1368" s="49"/>
      <c r="V1368" s="49"/>
      <c r="W1368" s="49"/>
      <c r="X1368" s="49"/>
    </row>
    <row r="1369" spans="1:24" s="27" customFormat="1" x14ac:dyDescent="0.25">
      <c r="A1369" s="26"/>
      <c r="B1369" s="26"/>
      <c r="C1369" s="23"/>
      <c r="E1369" s="29"/>
      <c r="F1369" s="29"/>
      <c r="G1369" s="29"/>
      <c r="H1369" s="29"/>
      <c r="I1369" s="29"/>
      <c r="J1369" s="49"/>
      <c r="K1369" s="49"/>
      <c r="L1369" s="49"/>
      <c r="M1369" s="49"/>
      <c r="N1369" s="49"/>
      <c r="O1369" s="49"/>
      <c r="P1369" s="49"/>
      <c r="Q1369" s="49"/>
      <c r="R1369" s="49"/>
      <c r="S1369" s="49"/>
      <c r="T1369" s="49"/>
      <c r="U1369" s="49"/>
      <c r="V1369" s="49"/>
      <c r="W1369" s="49"/>
      <c r="X1369" s="49"/>
    </row>
    <row r="1370" spans="1:24" s="27" customFormat="1" x14ac:dyDescent="0.25">
      <c r="A1370" s="26"/>
      <c r="B1370" s="26"/>
      <c r="C1370" s="23"/>
      <c r="E1370" s="29"/>
      <c r="F1370" s="29"/>
      <c r="G1370" s="29"/>
      <c r="H1370" s="29"/>
      <c r="I1370" s="29"/>
      <c r="J1370" s="49"/>
      <c r="K1370" s="49"/>
      <c r="L1370" s="49"/>
      <c r="M1370" s="49"/>
      <c r="N1370" s="49"/>
      <c r="O1370" s="49"/>
      <c r="P1370" s="49"/>
      <c r="Q1370" s="49"/>
      <c r="R1370" s="49"/>
      <c r="S1370" s="49"/>
      <c r="T1370" s="49"/>
      <c r="U1370" s="49"/>
      <c r="V1370" s="49"/>
      <c r="W1370" s="49"/>
      <c r="X1370" s="49"/>
    </row>
    <row r="1371" spans="1:24" s="27" customFormat="1" x14ac:dyDescent="0.25">
      <c r="A1371" s="26"/>
      <c r="B1371" s="26"/>
      <c r="C1371" s="23"/>
      <c r="E1371" s="29"/>
      <c r="F1371" s="29"/>
      <c r="G1371" s="29"/>
      <c r="H1371" s="29"/>
      <c r="I1371" s="29"/>
      <c r="J1371" s="49"/>
      <c r="K1371" s="49"/>
      <c r="L1371" s="49"/>
      <c r="M1371" s="49"/>
      <c r="N1371" s="49"/>
      <c r="O1371" s="49"/>
      <c r="P1371" s="49"/>
      <c r="Q1371" s="49"/>
      <c r="R1371" s="49"/>
      <c r="S1371" s="49"/>
      <c r="T1371" s="49"/>
      <c r="U1371" s="49"/>
      <c r="V1371" s="49"/>
      <c r="W1371" s="49"/>
      <c r="X1371" s="49"/>
    </row>
    <row r="1372" spans="1:24" s="27" customFormat="1" x14ac:dyDescent="0.25">
      <c r="A1372" s="26"/>
      <c r="B1372" s="26"/>
      <c r="C1372" s="23"/>
      <c r="E1372" s="29"/>
      <c r="F1372" s="29"/>
      <c r="G1372" s="29"/>
      <c r="H1372" s="29"/>
      <c r="I1372" s="29"/>
      <c r="J1372" s="49"/>
      <c r="K1372" s="49"/>
      <c r="L1372" s="49"/>
      <c r="M1372" s="49"/>
      <c r="N1372" s="49"/>
      <c r="O1372" s="49"/>
      <c r="P1372" s="49"/>
      <c r="Q1372" s="49"/>
      <c r="R1372" s="49"/>
      <c r="S1372" s="49"/>
      <c r="T1372" s="49"/>
      <c r="U1372" s="49"/>
      <c r="V1372" s="49"/>
      <c r="W1372" s="49"/>
      <c r="X1372" s="49"/>
    </row>
    <row r="1373" spans="1:24" s="27" customFormat="1" x14ac:dyDescent="0.25">
      <c r="A1373" s="26"/>
      <c r="B1373" s="26"/>
      <c r="C1373" s="23"/>
      <c r="E1373" s="29"/>
      <c r="F1373" s="29"/>
      <c r="G1373" s="29"/>
      <c r="H1373" s="29"/>
      <c r="I1373" s="29"/>
      <c r="J1373" s="49"/>
      <c r="K1373" s="49"/>
      <c r="L1373" s="49"/>
      <c r="M1373" s="49"/>
      <c r="N1373" s="49"/>
      <c r="O1373" s="49"/>
      <c r="P1373" s="49"/>
      <c r="Q1373" s="49"/>
      <c r="R1373" s="49"/>
      <c r="S1373" s="49"/>
      <c r="T1373" s="49"/>
      <c r="U1373" s="49"/>
      <c r="V1373" s="49"/>
      <c r="W1373" s="49"/>
      <c r="X1373" s="49"/>
    </row>
    <row r="1374" spans="1:24" s="27" customFormat="1" x14ac:dyDescent="0.25">
      <c r="A1374" s="26"/>
      <c r="B1374" s="26"/>
      <c r="C1374" s="23"/>
      <c r="E1374" s="29"/>
      <c r="F1374" s="29"/>
      <c r="G1374" s="29"/>
      <c r="H1374" s="29"/>
      <c r="I1374" s="29"/>
      <c r="J1374" s="49"/>
      <c r="K1374" s="49"/>
      <c r="L1374" s="49"/>
      <c r="M1374" s="49"/>
      <c r="N1374" s="49"/>
      <c r="O1374" s="49"/>
      <c r="P1374" s="49"/>
      <c r="Q1374" s="49"/>
      <c r="R1374" s="49"/>
      <c r="S1374" s="49"/>
      <c r="T1374" s="49"/>
      <c r="U1374" s="49"/>
      <c r="V1374" s="49"/>
      <c r="W1374" s="49"/>
      <c r="X1374" s="49"/>
    </row>
    <row r="1375" spans="1:24" s="27" customFormat="1" x14ac:dyDescent="0.25">
      <c r="A1375" s="26"/>
      <c r="B1375" s="26"/>
      <c r="C1375" s="23"/>
      <c r="E1375" s="29"/>
      <c r="F1375" s="50"/>
      <c r="G1375" s="29"/>
      <c r="H1375" s="29"/>
      <c r="I1375" s="29"/>
      <c r="J1375" s="49"/>
      <c r="K1375" s="49"/>
      <c r="L1375" s="49"/>
      <c r="M1375" s="49"/>
      <c r="N1375" s="49"/>
      <c r="O1375" s="49"/>
      <c r="P1375" s="49"/>
      <c r="Q1375" s="49"/>
      <c r="R1375" s="49"/>
      <c r="S1375" s="49"/>
      <c r="T1375" s="49"/>
      <c r="U1375" s="49"/>
      <c r="V1375" s="49"/>
      <c r="W1375" s="49"/>
      <c r="X1375" s="49"/>
    </row>
    <row r="1376" spans="1:24" s="27" customFormat="1" x14ac:dyDescent="0.25">
      <c r="A1376" s="26"/>
      <c r="B1376" s="26"/>
      <c r="C1376" s="23"/>
      <c r="E1376" s="29"/>
      <c r="F1376" s="29"/>
      <c r="G1376" s="29"/>
      <c r="H1376" s="29"/>
      <c r="I1376" s="29"/>
      <c r="J1376" s="49"/>
      <c r="K1376" s="49"/>
      <c r="L1376" s="49"/>
      <c r="M1376" s="49"/>
      <c r="N1376" s="49"/>
      <c r="O1376" s="49"/>
      <c r="P1376" s="49"/>
      <c r="Q1376" s="49"/>
      <c r="R1376" s="49"/>
      <c r="S1376" s="49"/>
      <c r="T1376" s="49"/>
      <c r="U1376" s="49"/>
      <c r="V1376" s="49"/>
      <c r="W1376" s="49"/>
      <c r="X1376" s="49"/>
    </row>
    <row r="1377" spans="1:24" s="27" customFormat="1" x14ac:dyDescent="0.25">
      <c r="A1377" s="26"/>
      <c r="B1377" s="26"/>
      <c r="C1377" s="23"/>
      <c r="E1377" s="29"/>
      <c r="F1377" s="29"/>
      <c r="G1377" s="29"/>
      <c r="H1377" s="29"/>
      <c r="I1377" s="29"/>
      <c r="J1377" s="49"/>
      <c r="K1377" s="49"/>
      <c r="L1377" s="49"/>
      <c r="M1377" s="49"/>
      <c r="N1377" s="49"/>
      <c r="O1377" s="49"/>
      <c r="P1377" s="49"/>
      <c r="Q1377" s="49"/>
      <c r="R1377" s="49"/>
      <c r="S1377" s="49"/>
      <c r="T1377" s="49"/>
      <c r="U1377" s="49"/>
      <c r="V1377" s="49"/>
      <c r="W1377" s="49"/>
      <c r="X1377" s="49"/>
    </row>
    <row r="1378" spans="1:24" s="27" customFormat="1" x14ac:dyDescent="0.25">
      <c r="A1378" s="26"/>
      <c r="B1378" s="26"/>
      <c r="C1378" s="23"/>
      <c r="E1378" s="29"/>
      <c r="F1378" s="50"/>
      <c r="G1378" s="29"/>
      <c r="H1378" s="29"/>
      <c r="I1378" s="29"/>
      <c r="J1378" s="49"/>
      <c r="K1378" s="49"/>
      <c r="L1378" s="49"/>
      <c r="M1378" s="49"/>
      <c r="N1378" s="49"/>
      <c r="O1378" s="49"/>
      <c r="P1378" s="49"/>
      <c r="Q1378" s="49"/>
      <c r="R1378" s="49"/>
      <c r="S1378" s="49"/>
      <c r="T1378" s="49"/>
      <c r="U1378" s="49"/>
      <c r="V1378" s="49"/>
      <c r="W1378" s="49"/>
      <c r="X1378" s="49"/>
    </row>
    <row r="1379" spans="1:24" s="27" customFormat="1" x14ac:dyDescent="0.25">
      <c r="A1379" s="26"/>
      <c r="B1379" s="26"/>
      <c r="C1379" s="23"/>
      <c r="E1379" s="29"/>
      <c r="F1379" s="29"/>
      <c r="G1379" s="29"/>
      <c r="H1379" s="29"/>
      <c r="I1379" s="29"/>
      <c r="J1379" s="49"/>
      <c r="K1379" s="49"/>
      <c r="L1379" s="49"/>
      <c r="M1379" s="49"/>
      <c r="N1379" s="49"/>
      <c r="O1379" s="49"/>
      <c r="P1379" s="49"/>
      <c r="Q1379" s="49"/>
      <c r="R1379" s="49"/>
      <c r="S1379" s="49"/>
      <c r="T1379" s="49"/>
      <c r="U1379" s="49"/>
      <c r="V1379" s="49"/>
      <c r="W1379" s="49"/>
      <c r="X1379" s="49"/>
    </row>
    <row r="1380" spans="1:24" s="27" customFormat="1" x14ac:dyDescent="0.25">
      <c r="A1380" s="26"/>
      <c r="B1380" s="26"/>
      <c r="C1380" s="23"/>
      <c r="E1380" s="29"/>
      <c r="F1380" s="29"/>
      <c r="G1380" s="29"/>
      <c r="H1380" s="29"/>
      <c r="I1380" s="29"/>
      <c r="J1380" s="49"/>
      <c r="K1380" s="49"/>
      <c r="L1380" s="49"/>
      <c r="M1380" s="49"/>
      <c r="N1380" s="49"/>
      <c r="O1380" s="49"/>
      <c r="P1380" s="49"/>
      <c r="Q1380" s="49"/>
      <c r="R1380" s="49"/>
      <c r="S1380" s="49"/>
      <c r="T1380" s="49"/>
      <c r="U1380" s="49"/>
      <c r="V1380" s="49"/>
      <c r="W1380" s="49"/>
      <c r="X1380" s="49"/>
    </row>
    <row r="1381" spans="1:24" s="27" customFormat="1" x14ac:dyDescent="0.25">
      <c r="A1381" s="26"/>
      <c r="B1381" s="26"/>
      <c r="C1381" s="23"/>
      <c r="E1381" s="29"/>
      <c r="F1381" s="29"/>
      <c r="G1381" s="29"/>
      <c r="H1381" s="29"/>
      <c r="I1381" s="29"/>
      <c r="J1381" s="49"/>
      <c r="K1381" s="49"/>
      <c r="L1381" s="49"/>
      <c r="M1381" s="49"/>
      <c r="N1381" s="49"/>
      <c r="O1381" s="49"/>
      <c r="P1381" s="49"/>
      <c r="Q1381" s="49"/>
      <c r="R1381" s="49"/>
      <c r="S1381" s="49"/>
      <c r="T1381" s="49"/>
      <c r="U1381" s="49"/>
      <c r="V1381" s="49"/>
      <c r="W1381" s="49"/>
      <c r="X1381" s="49"/>
    </row>
    <row r="1382" spans="1:24" s="27" customFormat="1" x14ac:dyDescent="0.25">
      <c r="A1382" s="26"/>
      <c r="B1382" s="26"/>
      <c r="C1382" s="23"/>
      <c r="E1382" s="29"/>
      <c r="F1382" s="50"/>
      <c r="G1382" s="29"/>
      <c r="H1382" s="29"/>
      <c r="I1382" s="29"/>
      <c r="J1382" s="49"/>
      <c r="K1382" s="49"/>
      <c r="L1382" s="49"/>
      <c r="M1382" s="49"/>
      <c r="N1382" s="49"/>
      <c r="O1382" s="49"/>
      <c r="P1382" s="49"/>
      <c r="Q1382" s="49"/>
      <c r="R1382" s="49"/>
      <c r="S1382" s="49"/>
      <c r="T1382" s="49"/>
      <c r="U1382" s="49"/>
      <c r="V1382" s="49"/>
      <c r="W1382" s="49"/>
      <c r="X1382" s="49"/>
    </row>
    <row r="1383" spans="1:24" s="27" customFormat="1" x14ac:dyDescent="0.25">
      <c r="A1383" s="26"/>
      <c r="B1383" s="26"/>
      <c r="C1383" s="23"/>
      <c r="E1383" s="29"/>
      <c r="F1383" s="29"/>
      <c r="G1383" s="29"/>
      <c r="H1383" s="29"/>
      <c r="I1383" s="29"/>
      <c r="J1383" s="49"/>
      <c r="K1383" s="49"/>
      <c r="L1383" s="49"/>
      <c r="M1383" s="49"/>
      <c r="N1383" s="49"/>
      <c r="O1383" s="49"/>
      <c r="P1383" s="49"/>
      <c r="Q1383" s="49"/>
      <c r="R1383" s="49"/>
      <c r="S1383" s="49"/>
      <c r="T1383" s="49"/>
      <c r="U1383" s="49"/>
      <c r="V1383" s="49"/>
      <c r="W1383" s="49"/>
      <c r="X1383" s="49"/>
    </row>
    <row r="1384" spans="1:24" s="27" customFormat="1" x14ac:dyDescent="0.25">
      <c r="A1384" s="26"/>
      <c r="B1384" s="26"/>
      <c r="C1384" s="23"/>
      <c r="E1384" s="29"/>
      <c r="F1384" s="29"/>
      <c r="G1384" s="29"/>
      <c r="H1384" s="29"/>
      <c r="I1384" s="29"/>
      <c r="J1384" s="49"/>
      <c r="K1384" s="49"/>
      <c r="L1384" s="49"/>
      <c r="M1384" s="49"/>
      <c r="N1384" s="49"/>
      <c r="O1384" s="49"/>
      <c r="P1384" s="49"/>
      <c r="Q1384" s="49"/>
      <c r="R1384" s="49"/>
      <c r="S1384" s="49"/>
      <c r="T1384" s="49"/>
      <c r="U1384" s="49"/>
      <c r="V1384" s="49"/>
      <c r="W1384" s="49"/>
      <c r="X1384" s="49"/>
    </row>
    <row r="1385" spans="1:24" s="27" customFormat="1" x14ac:dyDescent="0.25">
      <c r="A1385" s="26"/>
      <c r="B1385" s="26"/>
      <c r="C1385" s="23"/>
      <c r="E1385" s="29"/>
      <c r="F1385" s="29"/>
      <c r="G1385" s="29"/>
      <c r="H1385" s="29"/>
      <c r="I1385" s="29"/>
      <c r="J1385" s="49"/>
      <c r="K1385" s="49"/>
      <c r="L1385" s="49"/>
      <c r="M1385" s="49"/>
      <c r="N1385" s="49"/>
      <c r="O1385" s="49"/>
      <c r="P1385" s="49"/>
      <c r="Q1385" s="49"/>
      <c r="R1385" s="49"/>
      <c r="S1385" s="49"/>
      <c r="T1385" s="49"/>
      <c r="U1385" s="49"/>
      <c r="V1385" s="49"/>
      <c r="W1385" s="49"/>
      <c r="X1385" s="49"/>
    </row>
    <row r="1386" spans="1:24" s="27" customFormat="1" x14ac:dyDescent="0.25">
      <c r="A1386" s="26"/>
      <c r="B1386" s="26"/>
      <c r="C1386" s="23"/>
      <c r="E1386" s="29"/>
      <c r="F1386" s="29"/>
      <c r="G1386" s="29"/>
      <c r="H1386" s="29"/>
      <c r="I1386" s="29"/>
      <c r="J1386" s="49"/>
      <c r="K1386" s="49"/>
      <c r="L1386" s="49"/>
      <c r="M1386" s="49"/>
      <c r="N1386" s="49"/>
      <c r="O1386" s="49"/>
      <c r="P1386" s="49"/>
      <c r="Q1386" s="49"/>
      <c r="R1386" s="49"/>
      <c r="S1386" s="49"/>
      <c r="T1386" s="49"/>
      <c r="U1386" s="49"/>
      <c r="V1386" s="49"/>
      <c r="W1386" s="49"/>
      <c r="X1386" s="49"/>
    </row>
    <row r="1387" spans="1:24" s="27" customFormat="1" x14ac:dyDescent="0.25">
      <c r="A1387" s="26"/>
      <c r="B1387" s="26"/>
      <c r="C1387" s="23"/>
      <c r="E1387" s="29"/>
      <c r="F1387" s="29"/>
      <c r="G1387" s="29"/>
      <c r="H1387" s="29"/>
      <c r="I1387" s="29"/>
      <c r="J1387" s="49"/>
      <c r="K1387" s="49"/>
      <c r="L1387" s="49"/>
      <c r="M1387" s="49"/>
      <c r="N1387" s="49"/>
      <c r="O1387" s="49"/>
      <c r="P1387" s="49"/>
      <c r="Q1387" s="49"/>
      <c r="R1387" s="49"/>
      <c r="S1387" s="49"/>
      <c r="T1387" s="49"/>
      <c r="U1387" s="49"/>
      <c r="V1387" s="49"/>
      <c r="W1387" s="49"/>
      <c r="X1387" s="49"/>
    </row>
    <row r="1388" spans="1:24" s="27" customFormat="1" x14ac:dyDescent="0.25">
      <c r="A1388" s="26"/>
      <c r="B1388" s="26"/>
      <c r="C1388" s="23"/>
      <c r="E1388" s="29"/>
      <c r="F1388" s="29"/>
      <c r="G1388" s="29"/>
      <c r="H1388" s="29"/>
      <c r="I1388" s="29"/>
      <c r="J1388" s="49"/>
      <c r="K1388" s="49"/>
      <c r="L1388" s="49"/>
      <c r="M1388" s="49"/>
      <c r="N1388" s="49"/>
      <c r="O1388" s="49"/>
      <c r="P1388" s="49"/>
      <c r="Q1388" s="49"/>
      <c r="R1388" s="49"/>
      <c r="S1388" s="49"/>
      <c r="T1388" s="49"/>
      <c r="U1388" s="49"/>
      <c r="V1388" s="49"/>
      <c r="W1388" s="49"/>
      <c r="X1388" s="49"/>
    </row>
    <row r="1389" spans="1:24" s="27" customFormat="1" x14ac:dyDescent="0.25">
      <c r="A1389" s="26"/>
      <c r="B1389" s="26"/>
      <c r="C1389" s="23"/>
      <c r="E1389" s="29"/>
      <c r="F1389" s="29"/>
      <c r="G1389" s="29"/>
      <c r="H1389" s="29"/>
      <c r="I1389" s="29"/>
      <c r="J1389" s="49"/>
      <c r="K1389" s="49"/>
      <c r="L1389" s="49"/>
      <c r="M1389" s="49"/>
      <c r="N1389" s="49"/>
      <c r="O1389" s="49"/>
      <c r="P1389" s="49"/>
      <c r="Q1389" s="49"/>
      <c r="R1389" s="49"/>
      <c r="S1389" s="49"/>
      <c r="T1389" s="49"/>
      <c r="U1389" s="49"/>
      <c r="V1389" s="49"/>
      <c r="W1389" s="49"/>
      <c r="X1389" s="49"/>
    </row>
    <row r="1390" spans="1:24" s="27" customFormat="1" x14ac:dyDescent="0.25">
      <c r="A1390" s="26"/>
      <c r="B1390" s="26"/>
      <c r="C1390" s="23"/>
      <c r="E1390" s="29"/>
      <c r="F1390" s="29"/>
      <c r="G1390" s="29"/>
      <c r="H1390" s="29"/>
      <c r="I1390" s="29"/>
      <c r="J1390" s="49"/>
      <c r="K1390" s="49"/>
      <c r="L1390" s="49"/>
      <c r="M1390" s="49"/>
      <c r="N1390" s="49"/>
      <c r="O1390" s="49"/>
      <c r="P1390" s="49"/>
      <c r="Q1390" s="49"/>
      <c r="R1390" s="49"/>
      <c r="S1390" s="49"/>
      <c r="T1390" s="49"/>
      <c r="U1390" s="49"/>
      <c r="V1390" s="49"/>
      <c r="W1390" s="49"/>
      <c r="X1390" s="49"/>
    </row>
    <row r="1391" spans="1:24" s="27" customFormat="1" x14ac:dyDescent="0.25">
      <c r="A1391" s="26"/>
      <c r="B1391" s="26"/>
      <c r="C1391" s="23"/>
      <c r="E1391" s="29"/>
      <c r="F1391" s="29"/>
      <c r="G1391" s="29"/>
      <c r="H1391" s="29"/>
      <c r="I1391" s="29"/>
      <c r="J1391" s="49"/>
      <c r="K1391" s="49"/>
      <c r="L1391" s="49"/>
      <c r="M1391" s="49"/>
      <c r="N1391" s="49"/>
      <c r="O1391" s="49"/>
      <c r="P1391" s="49"/>
      <c r="Q1391" s="49"/>
      <c r="R1391" s="49"/>
      <c r="S1391" s="49"/>
      <c r="T1391" s="49"/>
      <c r="U1391" s="49"/>
      <c r="V1391" s="49"/>
      <c r="W1391" s="49"/>
      <c r="X1391" s="49"/>
    </row>
    <row r="1392" spans="1:24" s="27" customFormat="1" x14ac:dyDescent="0.25">
      <c r="A1392" s="26"/>
      <c r="B1392" s="26"/>
      <c r="C1392" s="23"/>
      <c r="E1392" s="29"/>
      <c r="F1392" s="29"/>
      <c r="G1392" s="29"/>
      <c r="H1392" s="29"/>
      <c r="I1392" s="29"/>
      <c r="J1392" s="49"/>
      <c r="K1392" s="49"/>
      <c r="L1392" s="49"/>
      <c r="M1392" s="49"/>
      <c r="N1392" s="49"/>
      <c r="O1392" s="49"/>
      <c r="P1392" s="49"/>
      <c r="Q1392" s="49"/>
      <c r="R1392" s="49"/>
      <c r="S1392" s="49"/>
      <c r="T1392" s="49"/>
      <c r="U1392" s="49"/>
      <c r="V1392" s="49"/>
      <c r="W1392" s="49"/>
      <c r="X1392" s="49"/>
    </row>
    <row r="1393" spans="1:24" s="27" customFormat="1" x14ac:dyDescent="0.25">
      <c r="A1393" s="26"/>
      <c r="B1393" s="26"/>
      <c r="C1393" s="23"/>
      <c r="E1393" s="29"/>
      <c r="F1393" s="29"/>
      <c r="G1393" s="29"/>
      <c r="H1393" s="29"/>
      <c r="I1393" s="29"/>
      <c r="J1393" s="49"/>
      <c r="K1393" s="49"/>
      <c r="L1393" s="49"/>
      <c r="M1393" s="49"/>
      <c r="N1393" s="49"/>
      <c r="O1393" s="49"/>
      <c r="P1393" s="49"/>
      <c r="Q1393" s="49"/>
      <c r="R1393" s="49"/>
      <c r="S1393" s="49"/>
      <c r="T1393" s="49"/>
      <c r="U1393" s="49"/>
      <c r="V1393" s="49"/>
      <c r="W1393" s="49"/>
      <c r="X1393" s="49"/>
    </row>
    <row r="1394" spans="1:24" s="27" customFormat="1" x14ac:dyDescent="0.25">
      <c r="A1394" s="26"/>
      <c r="B1394" s="26"/>
      <c r="C1394" s="23"/>
      <c r="E1394" s="29"/>
      <c r="F1394" s="29"/>
      <c r="G1394" s="29"/>
      <c r="H1394" s="29"/>
      <c r="I1394" s="29"/>
      <c r="J1394" s="49"/>
      <c r="K1394" s="49"/>
      <c r="L1394" s="49"/>
      <c r="M1394" s="49"/>
      <c r="N1394" s="49"/>
      <c r="O1394" s="49"/>
      <c r="P1394" s="49"/>
      <c r="Q1394" s="49"/>
      <c r="R1394" s="49"/>
      <c r="S1394" s="49"/>
      <c r="T1394" s="49"/>
      <c r="U1394" s="49"/>
      <c r="V1394" s="49"/>
      <c r="W1394" s="49"/>
      <c r="X1394" s="49"/>
    </row>
    <row r="1395" spans="1:24" s="27" customFormat="1" x14ac:dyDescent="0.25">
      <c r="A1395" s="26"/>
      <c r="B1395" s="26"/>
      <c r="C1395" s="23"/>
      <c r="E1395" s="29"/>
      <c r="F1395" s="29"/>
      <c r="G1395" s="29"/>
      <c r="H1395" s="29"/>
      <c r="I1395" s="29"/>
      <c r="J1395" s="49"/>
      <c r="K1395" s="49"/>
      <c r="L1395" s="49"/>
      <c r="M1395" s="49"/>
      <c r="N1395" s="49"/>
      <c r="O1395" s="49"/>
      <c r="P1395" s="49"/>
      <c r="Q1395" s="49"/>
      <c r="R1395" s="49"/>
      <c r="S1395" s="49"/>
      <c r="T1395" s="49"/>
      <c r="U1395" s="49"/>
      <c r="V1395" s="49"/>
      <c r="W1395" s="49"/>
      <c r="X1395" s="49"/>
    </row>
    <row r="1396" spans="1:24" s="27" customFormat="1" x14ac:dyDescent="0.25">
      <c r="A1396" s="26"/>
      <c r="B1396" s="26"/>
      <c r="C1396" s="23"/>
      <c r="E1396" s="29"/>
      <c r="F1396" s="29"/>
      <c r="G1396" s="29"/>
      <c r="H1396" s="29"/>
      <c r="I1396" s="29"/>
      <c r="J1396" s="49"/>
      <c r="K1396" s="49"/>
      <c r="L1396" s="49"/>
      <c r="M1396" s="49"/>
      <c r="N1396" s="49"/>
      <c r="O1396" s="49"/>
      <c r="P1396" s="49"/>
      <c r="Q1396" s="49"/>
      <c r="R1396" s="49"/>
      <c r="S1396" s="49"/>
      <c r="T1396" s="49"/>
      <c r="U1396" s="49"/>
      <c r="V1396" s="49"/>
      <c r="W1396" s="49"/>
      <c r="X1396" s="49"/>
    </row>
    <row r="1397" spans="1:24" s="27" customFormat="1" x14ac:dyDescent="0.25">
      <c r="A1397" s="26"/>
      <c r="B1397" s="26"/>
      <c r="C1397" s="23"/>
      <c r="E1397" s="29"/>
      <c r="F1397" s="29"/>
      <c r="G1397" s="29"/>
      <c r="H1397" s="29"/>
      <c r="I1397" s="29"/>
      <c r="J1397" s="49"/>
      <c r="K1397" s="49"/>
      <c r="L1397" s="49"/>
      <c r="M1397" s="49"/>
      <c r="N1397" s="49"/>
      <c r="O1397" s="49"/>
      <c r="P1397" s="49"/>
      <c r="Q1397" s="49"/>
      <c r="R1397" s="49"/>
      <c r="S1397" s="49"/>
      <c r="T1397" s="49"/>
      <c r="U1397" s="49"/>
      <c r="V1397" s="49"/>
      <c r="W1397" s="49"/>
      <c r="X1397" s="49"/>
    </row>
    <row r="1398" spans="1:24" s="27" customFormat="1" x14ac:dyDescent="0.25">
      <c r="A1398" s="26"/>
      <c r="B1398" s="26"/>
      <c r="C1398" s="23"/>
      <c r="E1398" s="29"/>
      <c r="F1398" s="29"/>
      <c r="G1398" s="29"/>
      <c r="H1398" s="29"/>
      <c r="I1398" s="29"/>
      <c r="J1398" s="49"/>
      <c r="K1398" s="49"/>
      <c r="L1398" s="49"/>
      <c r="M1398" s="49"/>
      <c r="N1398" s="49"/>
      <c r="O1398" s="49"/>
      <c r="P1398" s="49"/>
      <c r="Q1398" s="49"/>
      <c r="R1398" s="49"/>
      <c r="S1398" s="49"/>
      <c r="T1398" s="49"/>
      <c r="U1398" s="49"/>
      <c r="V1398" s="49"/>
      <c r="W1398" s="49"/>
      <c r="X1398" s="49"/>
    </row>
    <row r="1399" spans="1:24" s="27" customFormat="1" x14ac:dyDescent="0.25">
      <c r="A1399" s="26"/>
      <c r="B1399" s="26"/>
      <c r="C1399" s="23"/>
      <c r="E1399" s="29"/>
      <c r="F1399" s="29"/>
      <c r="G1399" s="29"/>
      <c r="H1399" s="29"/>
      <c r="I1399" s="29"/>
      <c r="J1399" s="49"/>
      <c r="K1399" s="49"/>
      <c r="L1399" s="49"/>
      <c r="M1399" s="49"/>
      <c r="N1399" s="49"/>
      <c r="O1399" s="49"/>
      <c r="P1399" s="49"/>
      <c r="Q1399" s="49"/>
      <c r="R1399" s="49"/>
      <c r="S1399" s="49"/>
      <c r="T1399" s="49"/>
      <c r="U1399" s="49"/>
      <c r="V1399" s="49"/>
      <c r="W1399" s="49"/>
      <c r="X1399" s="49"/>
    </row>
    <row r="1400" spans="1:24" s="27" customFormat="1" x14ac:dyDescent="0.25">
      <c r="A1400" s="26"/>
      <c r="B1400" s="26"/>
      <c r="C1400" s="23"/>
      <c r="E1400" s="29"/>
      <c r="F1400" s="29"/>
      <c r="G1400" s="29"/>
      <c r="H1400" s="29"/>
      <c r="I1400" s="29"/>
      <c r="J1400" s="49"/>
      <c r="K1400" s="49"/>
      <c r="L1400" s="49"/>
      <c r="M1400" s="49"/>
      <c r="N1400" s="49"/>
      <c r="O1400" s="49"/>
      <c r="P1400" s="49"/>
      <c r="Q1400" s="49"/>
      <c r="R1400" s="49"/>
      <c r="S1400" s="49"/>
      <c r="T1400" s="49"/>
      <c r="U1400" s="49"/>
      <c r="V1400" s="49"/>
      <c r="W1400" s="49"/>
      <c r="X1400" s="49"/>
    </row>
    <row r="1401" spans="1:24" s="27" customFormat="1" x14ac:dyDescent="0.25">
      <c r="A1401" s="26"/>
      <c r="B1401" s="26"/>
      <c r="C1401" s="23"/>
      <c r="E1401" s="29"/>
      <c r="F1401" s="29"/>
      <c r="G1401" s="29"/>
      <c r="H1401" s="29"/>
      <c r="I1401" s="29"/>
      <c r="J1401" s="49"/>
      <c r="K1401" s="49"/>
      <c r="L1401" s="49"/>
      <c r="M1401" s="49"/>
      <c r="N1401" s="49"/>
      <c r="O1401" s="49"/>
      <c r="P1401" s="49"/>
      <c r="Q1401" s="49"/>
      <c r="R1401" s="49"/>
      <c r="S1401" s="49"/>
      <c r="T1401" s="49"/>
      <c r="U1401" s="49"/>
      <c r="V1401" s="49"/>
      <c r="W1401" s="49"/>
      <c r="X1401" s="49"/>
    </row>
    <row r="1402" spans="1:24" s="27" customFormat="1" x14ac:dyDescent="0.25">
      <c r="A1402" s="26"/>
      <c r="B1402" s="26"/>
      <c r="C1402" s="23"/>
      <c r="E1402" s="29"/>
      <c r="F1402" s="29"/>
      <c r="G1402" s="29"/>
      <c r="H1402" s="29"/>
      <c r="I1402" s="29"/>
      <c r="J1402" s="49"/>
      <c r="K1402" s="49"/>
      <c r="L1402" s="49"/>
      <c r="M1402" s="49"/>
      <c r="N1402" s="49"/>
      <c r="O1402" s="49"/>
      <c r="P1402" s="49"/>
      <c r="Q1402" s="49"/>
      <c r="R1402" s="49"/>
      <c r="S1402" s="49"/>
      <c r="T1402" s="49"/>
      <c r="U1402" s="49"/>
      <c r="V1402" s="49"/>
      <c r="W1402" s="49"/>
      <c r="X1402" s="49"/>
    </row>
    <row r="1403" spans="1:24" s="27" customFormat="1" x14ac:dyDescent="0.25">
      <c r="A1403" s="26"/>
      <c r="B1403" s="26"/>
      <c r="C1403" s="23"/>
      <c r="E1403" s="29"/>
      <c r="F1403" s="29"/>
      <c r="G1403" s="29"/>
      <c r="H1403" s="29"/>
      <c r="I1403" s="29"/>
      <c r="J1403" s="49"/>
      <c r="K1403" s="49"/>
      <c r="L1403" s="49"/>
      <c r="M1403" s="49"/>
      <c r="N1403" s="49"/>
      <c r="O1403" s="49"/>
      <c r="P1403" s="49"/>
      <c r="Q1403" s="49"/>
      <c r="R1403" s="49"/>
      <c r="S1403" s="49"/>
      <c r="T1403" s="49"/>
      <c r="U1403" s="49"/>
      <c r="V1403" s="49"/>
      <c r="W1403" s="49"/>
      <c r="X1403" s="49"/>
    </row>
    <row r="1404" spans="1:24" s="27" customFormat="1" x14ac:dyDescent="0.25">
      <c r="A1404" s="26"/>
      <c r="B1404" s="26"/>
      <c r="C1404" s="23"/>
      <c r="E1404" s="29"/>
      <c r="F1404" s="29"/>
      <c r="G1404" s="29"/>
      <c r="H1404" s="29"/>
      <c r="I1404" s="29"/>
      <c r="J1404" s="49"/>
      <c r="K1404" s="49"/>
      <c r="L1404" s="49"/>
      <c r="M1404" s="49"/>
      <c r="N1404" s="49"/>
      <c r="O1404" s="49"/>
      <c r="P1404" s="49"/>
      <c r="Q1404" s="49"/>
      <c r="R1404" s="49"/>
      <c r="S1404" s="49"/>
      <c r="T1404" s="49"/>
      <c r="U1404" s="49"/>
      <c r="V1404" s="49"/>
      <c r="W1404" s="49"/>
      <c r="X1404" s="49"/>
    </row>
    <row r="1405" spans="1:24" s="27" customFormat="1" x14ac:dyDescent="0.25">
      <c r="A1405" s="26"/>
      <c r="B1405" s="26"/>
      <c r="C1405" s="23"/>
      <c r="E1405" s="29"/>
      <c r="F1405" s="29"/>
      <c r="G1405" s="29"/>
      <c r="H1405" s="29"/>
      <c r="I1405" s="29"/>
      <c r="J1405" s="49"/>
      <c r="K1405" s="49"/>
      <c r="L1405" s="49"/>
      <c r="M1405" s="49"/>
      <c r="N1405" s="49"/>
      <c r="O1405" s="49"/>
      <c r="P1405" s="49"/>
      <c r="Q1405" s="49"/>
      <c r="R1405" s="49"/>
      <c r="S1405" s="49"/>
      <c r="T1405" s="49"/>
      <c r="U1405" s="49"/>
      <c r="V1405" s="49"/>
      <c r="W1405" s="49"/>
      <c r="X1405" s="49"/>
    </row>
    <row r="1406" spans="1:24" s="27" customFormat="1" x14ac:dyDescent="0.25">
      <c r="A1406" s="26"/>
      <c r="B1406" s="26"/>
      <c r="C1406" s="23"/>
      <c r="E1406" s="29"/>
      <c r="F1406" s="50"/>
      <c r="G1406" s="29"/>
      <c r="H1406" s="29"/>
      <c r="I1406" s="29"/>
      <c r="J1406" s="49"/>
      <c r="K1406" s="49"/>
      <c r="L1406" s="49"/>
      <c r="M1406" s="49"/>
      <c r="N1406" s="49"/>
      <c r="O1406" s="49"/>
      <c r="P1406" s="49"/>
      <c r="Q1406" s="49"/>
      <c r="R1406" s="49"/>
      <c r="S1406" s="49"/>
      <c r="T1406" s="49"/>
      <c r="U1406" s="49"/>
      <c r="V1406" s="49"/>
      <c r="W1406" s="49"/>
      <c r="X1406" s="49"/>
    </row>
    <row r="1407" spans="1:24" s="27" customFormat="1" x14ac:dyDescent="0.25">
      <c r="A1407" s="26"/>
      <c r="B1407" s="26"/>
      <c r="C1407" s="23"/>
      <c r="E1407" s="29"/>
      <c r="F1407" s="29"/>
      <c r="G1407" s="29"/>
      <c r="H1407" s="29"/>
      <c r="I1407" s="29"/>
      <c r="J1407" s="49"/>
      <c r="K1407" s="49"/>
      <c r="L1407" s="49"/>
      <c r="M1407" s="49"/>
      <c r="N1407" s="49"/>
      <c r="O1407" s="49"/>
      <c r="P1407" s="49"/>
      <c r="Q1407" s="49"/>
      <c r="R1407" s="49"/>
      <c r="S1407" s="49"/>
      <c r="T1407" s="49"/>
      <c r="U1407" s="49"/>
      <c r="V1407" s="49"/>
      <c r="W1407" s="49"/>
      <c r="X1407" s="49"/>
    </row>
    <row r="1408" spans="1:24" s="27" customFormat="1" x14ac:dyDescent="0.25">
      <c r="A1408" s="26"/>
      <c r="B1408" s="26"/>
      <c r="C1408" s="23"/>
      <c r="E1408" s="29"/>
      <c r="F1408" s="29"/>
      <c r="G1408" s="29"/>
      <c r="H1408" s="29"/>
      <c r="I1408" s="29"/>
      <c r="J1408" s="49"/>
      <c r="K1408" s="49"/>
      <c r="L1408" s="49"/>
      <c r="M1408" s="49"/>
      <c r="N1408" s="49"/>
      <c r="O1408" s="49"/>
      <c r="P1408" s="49"/>
      <c r="Q1408" s="49"/>
      <c r="R1408" s="49"/>
      <c r="S1408" s="49"/>
      <c r="T1408" s="49"/>
      <c r="U1408" s="49"/>
      <c r="V1408" s="49"/>
      <c r="W1408" s="49"/>
      <c r="X1408" s="49"/>
    </row>
    <row r="1409" spans="1:24" s="27" customFormat="1" x14ac:dyDescent="0.25">
      <c r="A1409" s="26"/>
      <c r="B1409" s="26"/>
      <c r="C1409" s="23"/>
      <c r="E1409" s="29"/>
      <c r="F1409" s="29"/>
      <c r="G1409" s="29"/>
      <c r="H1409" s="29"/>
      <c r="I1409" s="29"/>
      <c r="J1409" s="49"/>
      <c r="K1409" s="49"/>
      <c r="L1409" s="49"/>
      <c r="M1409" s="49"/>
      <c r="N1409" s="49"/>
      <c r="O1409" s="49"/>
      <c r="P1409" s="49"/>
      <c r="Q1409" s="49"/>
      <c r="R1409" s="49"/>
      <c r="S1409" s="49"/>
      <c r="T1409" s="49"/>
      <c r="U1409" s="49"/>
      <c r="V1409" s="49"/>
      <c r="W1409" s="49"/>
      <c r="X1409" s="49"/>
    </row>
    <row r="1410" spans="1:24" s="27" customFormat="1" x14ac:dyDescent="0.25">
      <c r="A1410" s="26"/>
      <c r="B1410" s="26"/>
      <c r="C1410" s="23"/>
      <c r="E1410" s="29"/>
      <c r="F1410" s="29"/>
      <c r="G1410" s="29"/>
      <c r="H1410" s="29"/>
      <c r="I1410" s="29"/>
      <c r="J1410" s="49"/>
      <c r="K1410" s="49"/>
      <c r="L1410" s="49"/>
      <c r="M1410" s="49"/>
      <c r="N1410" s="49"/>
      <c r="O1410" s="49"/>
      <c r="P1410" s="49"/>
      <c r="Q1410" s="49"/>
      <c r="R1410" s="49"/>
      <c r="S1410" s="49"/>
      <c r="T1410" s="49"/>
      <c r="U1410" s="49"/>
      <c r="V1410" s="49"/>
      <c r="W1410" s="49"/>
      <c r="X1410" s="49"/>
    </row>
    <row r="1411" spans="1:24" s="27" customFormat="1" x14ac:dyDescent="0.25">
      <c r="A1411" s="26"/>
      <c r="B1411" s="26"/>
      <c r="C1411" s="23"/>
      <c r="E1411" s="29"/>
      <c r="F1411" s="29"/>
      <c r="G1411" s="29"/>
      <c r="H1411" s="29"/>
      <c r="I1411" s="29"/>
      <c r="J1411" s="49"/>
      <c r="K1411" s="49"/>
      <c r="L1411" s="49"/>
      <c r="M1411" s="49"/>
      <c r="N1411" s="49"/>
      <c r="O1411" s="49"/>
      <c r="P1411" s="49"/>
      <c r="Q1411" s="49"/>
      <c r="R1411" s="49"/>
      <c r="S1411" s="49"/>
      <c r="T1411" s="49"/>
      <c r="U1411" s="49"/>
      <c r="V1411" s="49"/>
      <c r="W1411" s="49"/>
      <c r="X1411" s="49"/>
    </row>
    <row r="1412" spans="1:24" s="27" customFormat="1" x14ac:dyDescent="0.25">
      <c r="A1412" s="26"/>
      <c r="B1412" s="26"/>
      <c r="C1412" s="23"/>
      <c r="E1412" s="29"/>
      <c r="F1412" s="29"/>
      <c r="G1412" s="29"/>
      <c r="H1412" s="29"/>
      <c r="I1412" s="29"/>
      <c r="J1412" s="49"/>
      <c r="K1412" s="49"/>
      <c r="L1412" s="49"/>
      <c r="M1412" s="49"/>
      <c r="N1412" s="49"/>
      <c r="O1412" s="49"/>
      <c r="P1412" s="49"/>
      <c r="Q1412" s="49"/>
      <c r="R1412" s="49"/>
      <c r="S1412" s="49"/>
      <c r="T1412" s="49"/>
      <c r="U1412" s="49"/>
      <c r="V1412" s="49"/>
      <c r="W1412" s="49"/>
      <c r="X1412" s="49"/>
    </row>
    <row r="1413" spans="1:24" s="27" customFormat="1" x14ac:dyDescent="0.25">
      <c r="A1413" s="26"/>
      <c r="B1413" s="26"/>
      <c r="C1413" s="23"/>
      <c r="E1413" s="29"/>
      <c r="F1413" s="29"/>
      <c r="G1413" s="29"/>
      <c r="H1413" s="29"/>
      <c r="I1413" s="29"/>
      <c r="J1413" s="49"/>
      <c r="K1413" s="49"/>
      <c r="L1413" s="49"/>
      <c r="M1413" s="49"/>
      <c r="N1413" s="49"/>
      <c r="O1413" s="49"/>
      <c r="P1413" s="49"/>
      <c r="Q1413" s="49"/>
      <c r="R1413" s="49"/>
      <c r="S1413" s="49"/>
      <c r="T1413" s="49"/>
      <c r="U1413" s="49"/>
      <c r="V1413" s="49"/>
      <c r="W1413" s="49"/>
      <c r="X1413" s="49"/>
    </row>
    <row r="1414" spans="1:24" s="27" customFormat="1" x14ac:dyDescent="0.25">
      <c r="A1414" s="26"/>
      <c r="B1414" s="26"/>
      <c r="C1414" s="23"/>
      <c r="E1414" s="29"/>
      <c r="F1414" s="29"/>
      <c r="G1414" s="29"/>
      <c r="H1414" s="29"/>
      <c r="I1414" s="29"/>
      <c r="J1414" s="49"/>
      <c r="K1414" s="49"/>
      <c r="L1414" s="49"/>
      <c r="M1414" s="49"/>
      <c r="N1414" s="49"/>
      <c r="O1414" s="49"/>
      <c r="P1414" s="49"/>
      <c r="Q1414" s="49"/>
      <c r="R1414" s="49"/>
      <c r="S1414" s="49"/>
      <c r="T1414" s="49"/>
      <c r="U1414" s="49"/>
      <c r="V1414" s="49"/>
      <c r="W1414" s="49"/>
      <c r="X1414" s="49"/>
    </row>
    <row r="1415" spans="1:24" s="27" customFormat="1" x14ac:dyDescent="0.25">
      <c r="A1415" s="26"/>
      <c r="B1415" s="26"/>
      <c r="C1415" s="23"/>
      <c r="E1415" s="29"/>
      <c r="F1415" s="29"/>
      <c r="G1415" s="29"/>
      <c r="H1415" s="29"/>
      <c r="I1415" s="29"/>
      <c r="J1415" s="49"/>
      <c r="K1415" s="49"/>
      <c r="L1415" s="49"/>
      <c r="M1415" s="49"/>
      <c r="N1415" s="49"/>
      <c r="O1415" s="49"/>
      <c r="P1415" s="49"/>
      <c r="Q1415" s="49"/>
      <c r="R1415" s="49"/>
      <c r="S1415" s="49"/>
      <c r="T1415" s="49"/>
      <c r="U1415" s="49"/>
      <c r="V1415" s="49"/>
      <c r="W1415" s="49"/>
      <c r="X1415" s="49"/>
    </row>
    <row r="1416" spans="1:24" s="27" customFormat="1" x14ac:dyDescent="0.25">
      <c r="A1416" s="26"/>
      <c r="B1416" s="26"/>
      <c r="C1416" s="23"/>
      <c r="E1416" s="29"/>
      <c r="F1416" s="29"/>
      <c r="G1416" s="29"/>
      <c r="H1416" s="29"/>
      <c r="I1416" s="29"/>
      <c r="J1416" s="49"/>
      <c r="K1416" s="49"/>
      <c r="L1416" s="49"/>
      <c r="M1416" s="49"/>
      <c r="N1416" s="49"/>
      <c r="O1416" s="49"/>
      <c r="P1416" s="49"/>
      <c r="Q1416" s="49"/>
      <c r="R1416" s="49"/>
      <c r="S1416" s="49"/>
      <c r="T1416" s="49"/>
      <c r="U1416" s="49"/>
      <c r="V1416" s="49"/>
      <c r="W1416" s="49"/>
      <c r="X1416" s="49"/>
    </row>
    <row r="1417" spans="1:24" s="27" customFormat="1" x14ac:dyDescent="0.25">
      <c r="A1417" s="26"/>
      <c r="B1417" s="26"/>
      <c r="C1417" s="23"/>
      <c r="E1417" s="29"/>
      <c r="F1417" s="29"/>
      <c r="G1417" s="29"/>
      <c r="H1417" s="29"/>
      <c r="I1417" s="29"/>
      <c r="J1417" s="49"/>
      <c r="K1417" s="49"/>
      <c r="L1417" s="49"/>
      <c r="M1417" s="49"/>
      <c r="N1417" s="49"/>
      <c r="O1417" s="49"/>
      <c r="P1417" s="49"/>
      <c r="Q1417" s="49"/>
      <c r="R1417" s="49"/>
      <c r="S1417" s="49"/>
      <c r="T1417" s="49"/>
      <c r="U1417" s="49"/>
      <c r="V1417" s="49"/>
      <c r="W1417" s="49"/>
      <c r="X1417" s="49"/>
    </row>
    <row r="1418" spans="1:24" s="27" customFormat="1" x14ac:dyDescent="0.25">
      <c r="A1418" s="26"/>
      <c r="B1418" s="26"/>
      <c r="C1418" s="23"/>
      <c r="E1418" s="29"/>
      <c r="F1418" s="29"/>
      <c r="G1418" s="29"/>
      <c r="H1418" s="29"/>
      <c r="I1418" s="29"/>
      <c r="J1418" s="49"/>
      <c r="K1418" s="49"/>
      <c r="L1418" s="49"/>
      <c r="M1418" s="49"/>
      <c r="N1418" s="49"/>
      <c r="O1418" s="49"/>
      <c r="P1418" s="49"/>
      <c r="Q1418" s="49"/>
      <c r="R1418" s="49"/>
      <c r="S1418" s="49"/>
      <c r="T1418" s="49"/>
      <c r="U1418" s="49"/>
      <c r="V1418" s="49"/>
      <c r="W1418" s="49"/>
      <c r="X1418" s="49"/>
    </row>
    <row r="1419" spans="1:24" s="27" customFormat="1" x14ac:dyDescent="0.25">
      <c r="A1419" s="26"/>
      <c r="B1419" s="26"/>
      <c r="C1419" s="23"/>
      <c r="E1419" s="29"/>
      <c r="F1419" s="29"/>
      <c r="G1419" s="29"/>
      <c r="H1419" s="29"/>
      <c r="I1419" s="29"/>
      <c r="J1419" s="49"/>
      <c r="K1419" s="49"/>
      <c r="L1419" s="49"/>
      <c r="M1419" s="49"/>
      <c r="N1419" s="49"/>
      <c r="O1419" s="49"/>
      <c r="P1419" s="49"/>
      <c r="Q1419" s="49"/>
      <c r="R1419" s="49"/>
      <c r="S1419" s="49"/>
      <c r="T1419" s="49"/>
      <c r="U1419" s="49"/>
      <c r="V1419" s="49"/>
      <c r="W1419" s="49"/>
      <c r="X1419" s="49"/>
    </row>
    <row r="1420" spans="1:24" s="27" customFormat="1" x14ac:dyDescent="0.25">
      <c r="A1420" s="26"/>
      <c r="B1420" s="26"/>
      <c r="C1420" s="23"/>
      <c r="E1420" s="29"/>
      <c r="F1420" s="29"/>
      <c r="G1420" s="29"/>
      <c r="H1420" s="29"/>
      <c r="I1420" s="29"/>
      <c r="J1420" s="49"/>
      <c r="K1420" s="49"/>
      <c r="L1420" s="49"/>
      <c r="M1420" s="49"/>
      <c r="N1420" s="49"/>
      <c r="O1420" s="49"/>
      <c r="P1420" s="49"/>
      <c r="Q1420" s="49"/>
      <c r="R1420" s="49"/>
      <c r="S1420" s="49"/>
      <c r="T1420" s="49"/>
      <c r="U1420" s="49"/>
      <c r="V1420" s="49"/>
      <c r="W1420" s="49"/>
      <c r="X1420" s="49"/>
    </row>
    <row r="1421" spans="1:24" s="27" customFormat="1" x14ac:dyDescent="0.25">
      <c r="A1421" s="26"/>
      <c r="B1421" s="26"/>
      <c r="C1421" s="23"/>
      <c r="E1421" s="29"/>
      <c r="F1421" s="29"/>
      <c r="G1421" s="29"/>
      <c r="H1421" s="29"/>
      <c r="I1421" s="29"/>
      <c r="J1421" s="49"/>
      <c r="K1421" s="49"/>
      <c r="L1421" s="49"/>
      <c r="M1421" s="49"/>
      <c r="N1421" s="49"/>
      <c r="O1421" s="49"/>
      <c r="P1421" s="49"/>
      <c r="Q1421" s="49"/>
      <c r="R1421" s="49"/>
      <c r="S1421" s="49"/>
      <c r="T1421" s="49"/>
      <c r="U1421" s="49"/>
      <c r="V1421" s="49"/>
      <c r="W1421" s="49"/>
      <c r="X1421" s="49"/>
    </row>
    <row r="1422" spans="1:24" s="27" customFormat="1" x14ac:dyDescent="0.25">
      <c r="A1422" s="26"/>
      <c r="B1422" s="26"/>
      <c r="C1422" s="23"/>
      <c r="E1422" s="29"/>
      <c r="F1422" s="29"/>
      <c r="G1422" s="29"/>
      <c r="H1422" s="29"/>
      <c r="I1422" s="29"/>
      <c r="J1422" s="49"/>
      <c r="K1422" s="49"/>
      <c r="L1422" s="49"/>
      <c r="M1422" s="49"/>
      <c r="N1422" s="49"/>
      <c r="O1422" s="49"/>
      <c r="P1422" s="49"/>
      <c r="Q1422" s="49"/>
      <c r="R1422" s="49"/>
      <c r="S1422" s="49"/>
      <c r="T1422" s="49"/>
      <c r="U1422" s="49"/>
      <c r="V1422" s="49"/>
      <c r="W1422" s="49"/>
      <c r="X1422" s="49"/>
    </row>
    <row r="1423" spans="1:24" s="27" customFormat="1" x14ac:dyDescent="0.25">
      <c r="A1423" s="26"/>
      <c r="B1423" s="26"/>
      <c r="C1423" s="23"/>
      <c r="E1423" s="29"/>
      <c r="F1423" s="29"/>
      <c r="G1423" s="29"/>
      <c r="H1423" s="29"/>
      <c r="I1423" s="29"/>
      <c r="J1423" s="49"/>
      <c r="K1423" s="49"/>
      <c r="L1423" s="49"/>
      <c r="M1423" s="49"/>
      <c r="N1423" s="49"/>
      <c r="O1423" s="49"/>
      <c r="P1423" s="49"/>
      <c r="Q1423" s="49"/>
      <c r="R1423" s="49"/>
      <c r="S1423" s="49"/>
      <c r="T1423" s="49"/>
      <c r="U1423" s="49"/>
      <c r="V1423" s="49"/>
      <c r="W1423" s="49"/>
      <c r="X1423" s="49"/>
    </row>
    <row r="1424" spans="1:24" s="27" customFormat="1" x14ac:dyDescent="0.25">
      <c r="A1424" s="26"/>
      <c r="B1424" s="26"/>
      <c r="C1424" s="23"/>
      <c r="E1424" s="29"/>
      <c r="F1424" s="29"/>
      <c r="G1424" s="29"/>
      <c r="H1424" s="29"/>
      <c r="I1424" s="29"/>
      <c r="J1424" s="49"/>
      <c r="K1424" s="49"/>
      <c r="L1424" s="49"/>
      <c r="M1424" s="49"/>
      <c r="N1424" s="49"/>
      <c r="O1424" s="49"/>
      <c r="P1424" s="49"/>
      <c r="Q1424" s="49"/>
      <c r="R1424" s="49"/>
      <c r="S1424" s="49"/>
      <c r="T1424" s="49"/>
      <c r="U1424" s="49"/>
      <c r="V1424" s="49"/>
      <c r="W1424" s="49"/>
      <c r="X1424" s="49"/>
    </row>
    <row r="1425" spans="1:24" s="27" customFormat="1" x14ac:dyDescent="0.25">
      <c r="A1425" s="26"/>
      <c r="B1425" s="26"/>
      <c r="C1425" s="23"/>
      <c r="E1425" s="29"/>
      <c r="F1425" s="29"/>
      <c r="G1425" s="29"/>
      <c r="H1425" s="29"/>
      <c r="I1425" s="29"/>
      <c r="J1425" s="49"/>
      <c r="K1425" s="49"/>
      <c r="L1425" s="49"/>
      <c r="M1425" s="49"/>
      <c r="N1425" s="49"/>
      <c r="O1425" s="49"/>
      <c r="P1425" s="49"/>
      <c r="Q1425" s="49"/>
      <c r="R1425" s="49"/>
      <c r="S1425" s="49"/>
      <c r="T1425" s="49"/>
      <c r="U1425" s="49"/>
      <c r="V1425" s="49"/>
      <c r="W1425" s="49"/>
      <c r="X1425" s="49"/>
    </row>
    <row r="1426" spans="1:24" s="27" customFormat="1" x14ac:dyDescent="0.25">
      <c r="A1426" s="26"/>
      <c r="B1426" s="26"/>
      <c r="C1426" s="23"/>
      <c r="E1426" s="29"/>
      <c r="F1426" s="29"/>
      <c r="G1426" s="29"/>
      <c r="H1426" s="29"/>
      <c r="I1426" s="29"/>
      <c r="J1426" s="49"/>
      <c r="K1426" s="49"/>
      <c r="L1426" s="49"/>
      <c r="M1426" s="49"/>
      <c r="N1426" s="49"/>
      <c r="O1426" s="49"/>
      <c r="P1426" s="49"/>
      <c r="Q1426" s="49"/>
      <c r="R1426" s="49"/>
      <c r="S1426" s="49"/>
      <c r="T1426" s="49"/>
      <c r="U1426" s="49"/>
      <c r="V1426" s="49"/>
      <c r="W1426" s="49"/>
      <c r="X1426" s="49"/>
    </row>
    <row r="1427" spans="1:24" s="27" customFormat="1" x14ac:dyDescent="0.25">
      <c r="A1427" s="26"/>
      <c r="B1427" s="26"/>
      <c r="C1427" s="23"/>
      <c r="E1427" s="29"/>
      <c r="F1427" s="29"/>
      <c r="G1427" s="29"/>
      <c r="H1427" s="29"/>
      <c r="I1427" s="29"/>
      <c r="J1427" s="49"/>
      <c r="K1427" s="49"/>
      <c r="L1427" s="49"/>
      <c r="M1427" s="49"/>
      <c r="N1427" s="49"/>
      <c r="O1427" s="49"/>
      <c r="P1427" s="49"/>
      <c r="Q1427" s="49"/>
      <c r="R1427" s="49"/>
      <c r="S1427" s="49"/>
      <c r="T1427" s="49"/>
      <c r="U1427" s="49"/>
      <c r="V1427" s="49"/>
      <c r="W1427" s="49"/>
      <c r="X1427" s="49"/>
    </row>
    <row r="1428" spans="1:24" s="27" customFormat="1" x14ac:dyDescent="0.25">
      <c r="A1428" s="26"/>
      <c r="B1428" s="26"/>
      <c r="C1428" s="23"/>
      <c r="E1428" s="29"/>
      <c r="F1428" s="29"/>
      <c r="G1428" s="29"/>
      <c r="H1428" s="29"/>
      <c r="I1428" s="29"/>
      <c r="J1428" s="49"/>
      <c r="K1428" s="49"/>
      <c r="L1428" s="49"/>
      <c r="M1428" s="49"/>
      <c r="N1428" s="49"/>
      <c r="O1428" s="49"/>
      <c r="P1428" s="49"/>
      <c r="Q1428" s="49"/>
      <c r="R1428" s="49"/>
      <c r="S1428" s="49"/>
      <c r="T1428" s="49"/>
      <c r="U1428" s="49"/>
      <c r="V1428" s="49"/>
      <c r="W1428" s="49"/>
      <c r="X1428" s="49"/>
    </row>
    <row r="1429" spans="1:24" s="27" customFormat="1" x14ac:dyDescent="0.25">
      <c r="A1429" s="26"/>
      <c r="B1429" s="26"/>
      <c r="C1429" s="23"/>
      <c r="E1429" s="29"/>
      <c r="F1429" s="50"/>
      <c r="G1429" s="29"/>
      <c r="H1429" s="29"/>
      <c r="I1429" s="29"/>
      <c r="J1429" s="49"/>
      <c r="K1429" s="49"/>
      <c r="L1429" s="49"/>
      <c r="M1429" s="49"/>
      <c r="N1429" s="49"/>
      <c r="O1429" s="49"/>
      <c r="P1429" s="49"/>
      <c r="Q1429" s="49"/>
      <c r="R1429" s="49"/>
      <c r="S1429" s="49"/>
      <c r="T1429" s="49"/>
      <c r="U1429" s="49"/>
      <c r="V1429" s="49"/>
      <c r="W1429" s="49"/>
      <c r="X1429" s="49"/>
    </row>
    <row r="1430" spans="1:24" s="27" customFormat="1" x14ac:dyDescent="0.25">
      <c r="A1430" s="26"/>
      <c r="B1430" s="26"/>
      <c r="C1430" s="23"/>
      <c r="E1430" s="29"/>
      <c r="F1430" s="29"/>
      <c r="G1430" s="29"/>
      <c r="H1430" s="29"/>
      <c r="I1430" s="29"/>
      <c r="J1430" s="49"/>
      <c r="K1430" s="49"/>
      <c r="L1430" s="49"/>
      <c r="M1430" s="49"/>
      <c r="N1430" s="49"/>
      <c r="O1430" s="49"/>
      <c r="P1430" s="49"/>
      <c r="Q1430" s="49"/>
      <c r="R1430" s="49"/>
      <c r="S1430" s="49"/>
      <c r="T1430" s="49"/>
      <c r="U1430" s="49"/>
      <c r="V1430" s="49"/>
      <c r="W1430" s="49"/>
      <c r="X1430" s="49"/>
    </row>
    <row r="1431" spans="1:24" s="27" customFormat="1" x14ac:dyDescent="0.25">
      <c r="A1431" s="26"/>
      <c r="B1431" s="26"/>
      <c r="C1431" s="23"/>
      <c r="E1431" s="29"/>
      <c r="F1431" s="29"/>
      <c r="G1431" s="29"/>
      <c r="H1431" s="29"/>
      <c r="I1431" s="29"/>
      <c r="J1431" s="49"/>
      <c r="K1431" s="49"/>
      <c r="L1431" s="49"/>
      <c r="M1431" s="49"/>
      <c r="N1431" s="49"/>
      <c r="O1431" s="49"/>
      <c r="P1431" s="49"/>
      <c r="Q1431" s="49"/>
      <c r="R1431" s="49"/>
      <c r="S1431" s="49"/>
      <c r="T1431" s="49"/>
      <c r="U1431" s="49"/>
      <c r="V1431" s="49"/>
      <c r="W1431" s="49"/>
      <c r="X1431" s="49"/>
    </row>
    <row r="1432" spans="1:24" s="27" customFormat="1" x14ac:dyDescent="0.25">
      <c r="A1432" s="26"/>
      <c r="B1432" s="26"/>
      <c r="C1432" s="23"/>
      <c r="E1432" s="29"/>
      <c r="F1432" s="29"/>
      <c r="G1432" s="29"/>
      <c r="H1432" s="29"/>
      <c r="I1432" s="29"/>
      <c r="J1432" s="49"/>
      <c r="K1432" s="49"/>
      <c r="L1432" s="49"/>
      <c r="M1432" s="49"/>
      <c r="N1432" s="49"/>
      <c r="O1432" s="49"/>
      <c r="P1432" s="49"/>
      <c r="Q1432" s="49"/>
      <c r="R1432" s="49"/>
      <c r="S1432" s="49"/>
      <c r="T1432" s="49"/>
      <c r="U1432" s="49"/>
      <c r="V1432" s="49"/>
      <c r="W1432" s="49"/>
      <c r="X1432" s="49"/>
    </row>
    <row r="1433" spans="1:24" s="27" customFormat="1" x14ac:dyDescent="0.25">
      <c r="A1433" s="26"/>
      <c r="B1433" s="26"/>
      <c r="C1433" s="23"/>
      <c r="E1433" s="29"/>
      <c r="F1433" s="29"/>
      <c r="G1433" s="29"/>
      <c r="H1433" s="29"/>
      <c r="I1433" s="29"/>
      <c r="J1433" s="49"/>
      <c r="K1433" s="49"/>
      <c r="L1433" s="49"/>
      <c r="M1433" s="49"/>
      <c r="N1433" s="49"/>
      <c r="O1433" s="49"/>
      <c r="P1433" s="49"/>
      <c r="Q1433" s="49"/>
      <c r="R1433" s="49"/>
      <c r="S1433" s="49"/>
      <c r="T1433" s="49"/>
      <c r="U1433" s="49"/>
      <c r="V1433" s="49"/>
      <c r="W1433" s="49"/>
      <c r="X1433" s="49"/>
    </row>
    <row r="1434" spans="1:24" s="27" customFormat="1" x14ac:dyDescent="0.25">
      <c r="A1434" s="26"/>
      <c r="B1434" s="26"/>
      <c r="C1434" s="23"/>
      <c r="E1434" s="29"/>
      <c r="F1434" s="29"/>
      <c r="G1434" s="29"/>
      <c r="H1434" s="29"/>
      <c r="I1434" s="29"/>
      <c r="J1434" s="49"/>
      <c r="K1434" s="49"/>
      <c r="L1434" s="49"/>
      <c r="M1434" s="49"/>
      <c r="N1434" s="49"/>
      <c r="O1434" s="49"/>
      <c r="P1434" s="49"/>
      <c r="Q1434" s="49"/>
      <c r="R1434" s="49"/>
      <c r="S1434" s="49"/>
      <c r="T1434" s="49"/>
      <c r="U1434" s="49"/>
      <c r="V1434" s="49"/>
      <c r="W1434" s="49"/>
      <c r="X1434" s="49"/>
    </row>
    <row r="1435" spans="1:24" s="27" customFormat="1" x14ac:dyDescent="0.25">
      <c r="A1435" s="26"/>
      <c r="B1435" s="26"/>
      <c r="C1435" s="23"/>
      <c r="E1435" s="29"/>
      <c r="F1435" s="29"/>
      <c r="G1435" s="29"/>
      <c r="H1435" s="29"/>
      <c r="I1435" s="29"/>
      <c r="J1435" s="49"/>
      <c r="K1435" s="49"/>
      <c r="L1435" s="49"/>
      <c r="M1435" s="49"/>
      <c r="N1435" s="49"/>
      <c r="O1435" s="49"/>
      <c r="P1435" s="49"/>
      <c r="Q1435" s="49"/>
      <c r="R1435" s="49"/>
      <c r="S1435" s="49"/>
      <c r="T1435" s="49"/>
      <c r="U1435" s="49"/>
      <c r="V1435" s="49"/>
      <c r="W1435" s="49"/>
      <c r="X1435" s="49"/>
    </row>
    <row r="1436" spans="1:24" s="27" customFormat="1" x14ac:dyDescent="0.25">
      <c r="A1436" s="26"/>
      <c r="B1436" s="26"/>
      <c r="C1436" s="23"/>
      <c r="E1436" s="29"/>
      <c r="F1436" s="29"/>
      <c r="G1436" s="29"/>
      <c r="H1436" s="29"/>
      <c r="I1436" s="29"/>
      <c r="J1436" s="49"/>
      <c r="K1436" s="49"/>
      <c r="L1436" s="49"/>
      <c r="M1436" s="49"/>
      <c r="N1436" s="49"/>
      <c r="O1436" s="49"/>
      <c r="P1436" s="49"/>
      <c r="Q1436" s="49"/>
      <c r="R1436" s="49"/>
      <c r="S1436" s="49"/>
      <c r="T1436" s="49"/>
      <c r="U1436" s="49"/>
      <c r="V1436" s="49"/>
      <c r="W1436" s="49"/>
      <c r="X1436" s="49"/>
    </row>
    <row r="1437" spans="1:24" s="27" customFormat="1" x14ac:dyDescent="0.25">
      <c r="A1437" s="26"/>
      <c r="B1437" s="26"/>
      <c r="C1437" s="23"/>
      <c r="E1437" s="29"/>
      <c r="F1437" s="29"/>
      <c r="G1437" s="29"/>
      <c r="H1437" s="29"/>
      <c r="I1437" s="29"/>
      <c r="J1437" s="49"/>
      <c r="K1437" s="49"/>
      <c r="L1437" s="49"/>
      <c r="M1437" s="49"/>
      <c r="N1437" s="49"/>
      <c r="O1437" s="49"/>
      <c r="P1437" s="49"/>
      <c r="Q1437" s="49"/>
      <c r="R1437" s="49"/>
      <c r="S1437" s="49"/>
      <c r="T1437" s="49"/>
      <c r="U1437" s="49"/>
      <c r="V1437" s="49"/>
      <c r="W1437" s="49"/>
      <c r="X1437" s="49"/>
    </row>
    <row r="1438" spans="1:24" s="27" customFormat="1" x14ac:dyDescent="0.25">
      <c r="A1438" s="26"/>
      <c r="B1438" s="26"/>
      <c r="C1438" s="23"/>
      <c r="E1438" s="29"/>
      <c r="F1438" s="50"/>
      <c r="G1438" s="29"/>
      <c r="H1438" s="29"/>
      <c r="I1438" s="29"/>
      <c r="J1438" s="49"/>
      <c r="K1438" s="49"/>
      <c r="L1438" s="49"/>
      <c r="M1438" s="49"/>
      <c r="N1438" s="49"/>
      <c r="O1438" s="49"/>
      <c r="P1438" s="49"/>
      <c r="Q1438" s="49"/>
      <c r="R1438" s="49"/>
      <c r="S1438" s="49"/>
      <c r="T1438" s="49"/>
      <c r="U1438" s="49"/>
      <c r="V1438" s="49"/>
      <c r="W1438" s="49"/>
      <c r="X1438" s="49"/>
    </row>
    <row r="1439" spans="1:24" s="27" customFormat="1" x14ac:dyDescent="0.25">
      <c r="A1439" s="26"/>
      <c r="B1439" s="26"/>
      <c r="C1439" s="23"/>
      <c r="E1439" s="29"/>
      <c r="F1439" s="29"/>
      <c r="G1439" s="29"/>
      <c r="H1439" s="29"/>
      <c r="I1439" s="29"/>
      <c r="J1439" s="49"/>
      <c r="K1439" s="49"/>
      <c r="L1439" s="49"/>
      <c r="M1439" s="49"/>
      <c r="N1439" s="49"/>
      <c r="O1439" s="49"/>
      <c r="P1439" s="49"/>
      <c r="Q1439" s="49"/>
      <c r="R1439" s="49"/>
      <c r="S1439" s="49"/>
      <c r="T1439" s="49"/>
      <c r="U1439" s="49"/>
      <c r="V1439" s="49"/>
      <c r="W1439" s="49"/>
      <c r="X1439" s="49"/>
    </row>
    <row r="1440" spans="1:24" s="27" customFormat="1" x14ac:dyDescent="0.25">
      <c r="A1440" s="26"/>
      <c r="B1440" s="26"/>
      <c r="C1440" s="23"/>
      <c r="E1440" s="29"/>
      <c r="F1440" s="29"/>
      <c r="G1440" s="29"/>
      <c r="H1440" s="29"/>
      <c r="I1440" s="29"/>
      <c r="J1440" s="49"/>
      <c r="K1440" s="49"/>
      <c r="L1440" s="49"/>
      <c r="M1440" s="49"/>
      <c r="N1440" s="49"/>
      <c r="O1440" s="49"/>
      <c r="P1440" s="49"/>
      <c r="Q1440" s="49"/>
      <c r="R1440" s="49"/>
      <c r="S1440" s="49"/>
      <c r="T1440" s="49"/>
      <c r="U1440" s="49"/>
      <c r="V1440" s="49"/>
      <c r="W1440" s="49"/>
      <c r="X1440" s="49"/>
    </row>
    <row r="1441" spans="1:24" s="27" customFormat="1" x14ac:dyDescent="0.25">
      <c r="A1441" s="26"/>
      <c r="B1441" s="26"/>
      <c r="C1441" s="23"/>
      <c r="E1441" s="29"/>
      <c r="F1441" s="29"/>
      <c r="G1441" s="29"/>
      <c r="H1441" s="29"/>
      <c r="I1441" s="29"/>
      <c r="J1441" s="49"/>
      <c r="K1441" s="49"/>
      <c r="L1441" s="49"/>
      <c r="M1441" s="49"/>
      <c r="N1441" s="49"/>
      <c r="O1441" s="49"/>
      <c r="P1441" s="49"/>
      <c r="Q1441" s="49"/>
      <c r="R1441" s="49"/>
      <c r="S1441" s="49"/>
      <c r="T1441" s="49"/>
      <c r="U1441" s="49"/>
      <c r="V1441" s="49"/>
      <c r="W1441" s="49"/>
      <c r="X1441" s="49"/>
    </row>
    <row r="1442" spans="1:24" s="27" customFormat="1" x14ac:dyDescent="0.25">
      <c r="A1442" s="26"/>
      <c r="B1442" s="26"/>
      <c r="C1442" s="23"/>
      <c r="E1442" s="29"/>
      <c r="F1442" s="29"/>
      <c r="G1442" s="29"/>
      <c r="H1442" s="29"/>
      <c r="I1442" s="29"/>
      <c r="J1442" s="49"/>
      <c r="K1442" s="49"/>
      <c r="L1442" s="49"/>
      <c r="M1442" s="49"/>
      <c r="N1442" s="49"/>
      <c r="O1442" s="49"/>
      <c r="P1442" s="49"/>
      <c r="Q1442" s="49"/>
      <c r="R1442" s="49"/>
      <c r="S1442" s="49"/>
      <c r="T1442" s="49"/>
      <c r="U1442" s="49"/>
      <c r="V1442" s="49"/>
      <c r="W1442" s="49"/>
      <c r="X1442" s="49"/>
    </row>
    <row r="1443" spans="1:24" s="27" customFormat="1" x14ac:dyDescent="0.25">
      <c r="A1443" s="26"/>
      <c r="B1443" s="26"/>
      <c r="C1443" s="23"/>
      <c r="E1443" s="29"/>
      <c r="F1443" s="29"/>
      <c r="G1443" s="29"/>
      <c r="H1443" s="29"/>
      <c r="I1443" s="29"/>
      <c r="J1443" s="49"/>
      <c r="K1443" s="49"/>
      <c r="L1443" s="49"/>
      <c r="M1443" s="49"/>
      <c r="N1443" s="49"/>
      <c r="O1443" s="49"/>
      <c r="P1443" s="49"/>
      <c r="Q1443" s="49"/>
      <c r="R1443" s="49"/>
      <c r="S1443" s="49"/>
      <c r="T1443" s="49"/>
      <c r="U1443" s="49"/>
      <c r="V1443" s="49"/>
      <c r="W1443" s="49"/>
      <c r="X1443" s="49"/>
    </row>
    <row r="1444" spans="1:24" s="27" customFormat="1" x14ac:dyDescent="0.25">
      <c r="A1444" s="26"/>
      <c r="B1444" s="26"/>
      <c r="C1444" s="23"/>
      <c r="E1444" s="29"/>
      <c r="F1444" s="29"/>
      <c r="G1444" s="29"/>
      <c r="H1444" s="29"/>
      <c r="I1444" s="29"/>
      <c r="J1444" s="49"/>
      <c r="K1444" s="49"/>
      <c r="L1444" s="49"/>
      <c r="M1444" s="49"/>
      <c r="N1444" s="49"/>
      <c r="O1444" s="49"/>
      <c r="P1444" s="49"/>
      <c r="Q1444" s="49"/>
      <c r="R1444" s="49"/>
      <c r="S1444" s="49"/>
      <c r="T1444" s="49"/>
      <c r="U1444" s="49"/>
      <c r="V1444" s="49"/>
      <c r="W1444" s="49"/>
      <c r="X1444" s="49"/>
    </row>
    <row r="1445" spans="1:24" s="27" customFormat="1" x14ac:dyDescent="0.25">
      <c r="A1445" s="26"/>
      <c r="B1445" s="26"/>
      <c r="C1445" s="23"/>
      <c r="E1445" s="29"/>
      <c r="F1445" s="29"/>
      <c r="G1445" s="29"/>
      <c r="H1445" s="29"/>
      <c r="I1445" s="29"/>
      <c r="J1445" s="49"/>
      <c r="K1445" s="49"/>
      <c r="L1445" s="49"/>
      <c r="M1445" s="49"/>
      <c r="N1445" s="49"/>
      <c r="O1445" s="49"/>
      <c r="P1445" s="49"/>
      <c r="Q1445" s="49"/>
      <c r="R1445" s="49"/>
      <c r="S1445" s="49"/>
      <c r="T1445" s="49"/>
      <c r="U1445" s="49"/>
      <c r="V1445" s="49"/>
      <c r="W1445" s="49"/>
      <c r="X1445" s="49"/>
    </row>
    <row r="1446" spans="1:24" s="27" customFormat="1" x14ac:dyDescent="0.25">
      <c r="A1446" s="26"/>
      <c r="B1446" s="26"/>
      <c r="C1446" s="23"/>
      <c r="E1446" s="29"/>
      <c r="F1446" s="29"/>
      <c r="G1446" s="29"/>
      <c r="H1446" s="29"/>
      <c r="I1446" s="29"/>
      <c r="J1446" s="49"/>
      <c r="K1446" s="49"/>
      <c r="L1446" s="49"/>
      <c r="M1446" s="49"/>
      <c r="N1446" s="49"/>
      <c r="O1446" s="49"/>
      <c r="P1446" s="49"/>
      <c r="Q1446" s="49"/>
      <c r="R1446" s="49"/>
      <c r="S1446" s="49"/>
      <c r="T1446" s="49"/>
      <c r="U1446" s="49"/>
      <c r="V1446" s="49"/>
      <c r="W1446" s="49"/>
      <c r="X1446" s="49"/>
    </row>
    <row r="1447" spans="1:24" s="27" customFormat="1" x14ac:dyDescent="0.25">
      <c r="A1447" s="26"/>
      <c r="B1447" s="26"/>
      <c r="C1447" s="23"/>
      <c r="E1447" s="29"/>
      <c r="F1447" s="29"/>
      <c r="G1447" s="29"/>
      <c r="H1447" s="29"/>
      <c r="I1447" s="29"/>
      <c r="J1447" s="49"/>
      <c r="K1447" s="49"/>
      <c r="L1447" s="49"/>
      <c r="M1447" s="49"/>
      <c r="N1447" s="49"/>
      <c r="O1447" s="49"/>
      <c r="P1447" s="49"/>
      <c r="Q1447" s="49"/>
      <c r="R1447" s="49"/>
      <c r="S1447" s="49"/>
      <c r="T1447" s="49"/>
      <c r="U1447" s="49"/>
      <c r="V1447" s="49"/>
      <c r="W1447" s="49"/>
      <c r="X1447" s="49"/>
    </row>
    <row r="1448" spans="1:24" s="27" customFormat="1" x14ac:dyDescent="0.25">
      <c r="A1448" s="26"/>
      <c r="B1448" s="26"/>
      <c r="C1448" s="23"/>
      <c r="E1448" s="29"/>
      <c r="F1448" s="29"/>
      <c r="G1448" s="29"/>
      <c r="H1448" s="29"/>
      <c r="I1448" s="29"/>
      <c r="J1448" s="49"/>
      <c r="K1448" s="49"/>
      <c r="L1448" s="49"/>
      <c r="M1448" s="49"/>
      <c r="N1448" s="49"/>
      <c r="O1448" s="49"/>
      <c r="P1448" s="49"/>
      <c r="Q1448" s="49"/>
      <c r="R1448" s="49"/>
      <c r="S1448" s="49"/>
      <c r="T1448" s="49"/>
      <c r="U1448" s="49"/>
      <c r="V1448" s="49"/>
      <c r="W1448" s="49"/>
      <c r="X1448" s="49"/>
    </row>
    <row r="1449" spans="1:24" s="27" customFormat="1" x14ac:dyDescent="0.25">
      <c r="A1449" s="26"/>
      <c r="B1449" s="26"/>
      <c r="C1449" s="23"/>
      <c r="E1449" s="29"/>
      <c r="F1449" s="29"/>
      <c r="G1449" s="29"/>
      <c r="H1449" s="29"/>
      <c r="I1449" s="29"/>
      <c r="J1449" s="49"/>
      <c r="K1449" s="49"/>
      <c r="L1449" s="49"/>
      <c r="M1449" s="49"/>
      <c r="N1449" s="49"/>
      <c r="O1449" s="49"/>
      <c r="P1449" s="49"/>
      <c r="Q1449" s="49"/>
      <c r="R1449" s="49"/>
      <c r="S1449" s="49"/>
      <c r="T1449" s="49"/>
      <c r="U1449" s="49"/>
      <c r="V1449" s="49"/>
      <c r="W1449" s="49"/>
      <c r="X1449" s="49"/>
    </row>
    <row r="1450" spans="1:24" s="27" customFormat="1" x14ac:dyDescent="0.25">
      <c r="A1450" s="26"/>
      <c r="B1450" s="26"/>
      <c r="C1450" s="23"/>
      <c r="E1450" s="29"/>
      <c r="F1450" s="29"/>
      <c r="G1450" s="29"/>
      <c r="H1450" s="29"/>
      <c r="I1450" s="29"/>
      <c r="J1450" s="49"/>
      <c r="K1450" s="49"/>
      <c r="L1450" s="49"/>
      <c r="M1450" s="49"/>
      <c r="N1450" s="49"/>
      <c r="O1450" s="49"/>
      <c r="P1450" s="49"/>
      <c r="Q1450" s="49"/>
      <c r="R1450" s="49"/>
      <c r="S1450" s="49"/>
      <c r="T1450" s="49"/>
      <c r="U1450" s="49"/>
      <c r="V1450" s="49"/>
      <c r="W1450" s="49"/>
      <c r="X1450" s="49"/>
    </row>
    <row r="1451" spans="1:24" s="27" customFormat="1" x14ac:dyDescent="0.25">
      <c r="A1451" s="26"/>
      <c r="B1451" s="26"/>
      <c r="C1451" s="23"/>
      <c r="E1451" s="29"/>
      <c r="F1451" s="29"/>
      <c r="G1451" s="29"/>
      <c r="H1451" s="29"/>
      <c r="I1451" s="29"/>
      <c r="J1451" s="49"/>
      <c r="K1451" s="49"/>
      <c r="L1451" s="49"/>
      <c r="M1451" s="49"/>
      <c r="N1451" s="49"/>
      <c r="O1451" s="49"/>
      <c r="P1451" s="49"/>
      <c r="Q1451" s="49"/>
      <c r="R1451" s="49"/>
      <c r="S1451" s="49"/>
      <c r="T1451" s="49"/>
      <c r="U1451" s="49"/>
      <c r="V1451" s="49"/>
      <c r="W1451" s="49"/>
      <c r="X1451" s="49"/>
    </row>
    <row r="1452" spans="1:24" s="27" customFormat="1" x14ac:dyDescent="0.25">
      <c r="A1452" s="26"/>
      <c r="B1452" s="26"/>
      <c r="C1452" s="23"/>
      <c r="E1452" s="29"/>
      <c r="F1452" s="29"/>
      <c r="G1452" s="29"/>
      <c r="H1452" s="29"/>
      <c r="I1452" s="29"/>
      <c r="J1452" s="49"/>
      <c r="K1452" s="49"/>
      <c r="L1452" s="49"/>
      <c r="M1452" s="49"/>
      <c r="N1452" s="49"/>
      <c r="O1452" s="49"/>
      <c r="P1452" s="49"/>
      <c r="Q1452" s="49"/>
      <c r="R1452" s="49"/>
      <c r="S1452" s="49"/>
      <c r="T1452" s="49"/>
      <c r="U1452" s="49"/>
      <c r="V1452" s="49"/>
      <c r="W1452" s="49"/>
      <c r="X1452" s="49"/>
    </row>
    <row r="1453" spans="1:24" s="27" customFormat="1" x14ac:dyDescent="0.25">
      <c r="A1453" s="26"/>
      <c r="B1453" s="26"/>
      <c r="C1453" s="23"/>
      <c r="E1453" s="29"/>
      <c r="F1453" s="29"/>
      <c r="G1453" s="29"/>
      <c r="H1453" s="29"/>
      <c r="I1453" s="29"/>
      <c r="J1453" s="49"/>
      <c r="K1453" s="49"/>
      <c r="L1453" s="49"/>
      <c r="M1453" s="49"/>
      <c r="N1453" s="49"/>
      <c r="O1453" s="49"/>
      <c r="P1453" s="49"/>
      <c r="Q1453" s="49"/>
      <c r="R1453" s="49"/>
      <c r="S1453" s="49"/>
      <c r="T1453" s="49"/>
      <c r="U1453" s="49"/>
      <c r="V1453" s="49"/>
      <c r="W1453" s="49"/>
      <c r="X1453" s="49"/>
    </row>
    <row r="1454" spans="1:24" s="27" customFormat="1" x14ac:dyDescent="0.25">
      <c r="A1454" s="26"/>
      <c r="B1454" s="26"/>
      <c r="C1454" s="23"/>
      <c r="E1454" s="29"/>
      <c r="F1454" s="50"/>
      <c r="G1454" s="29"/>
      <c r="H1454" s="29"/>
      <c r="I1454" s="29"/>
      <c r="J1454" s="49"/>
      <c r="K1454" s="49"/>
      <c r="L1454" s="49"/>
      <c r="M1454" s="49"/>
      <c r="N1454" s="49"/>
      <c r="O1454" s="49"/>
      <c r="P1454" s="49"/>
      <c r="Q1454" s="49"/>
      <c r="R1454" s="49"/>
      <c r="S1454" s="49"/>
      <c r="T1454" s="49"/>
      <c r="U1454" s="49"/>
      <c r="V1454" s="49"/>
      <c r="W1454" s="49"/>
      <c r="X1454" s="49"/>
    </row>
    <row r="1455" spans="1:24" s="27" customFormat="1" x14ac:dyDescent="0.25">
      <c r="A1455" s="26"/>
      <c r="B1455" s="26"/>
      <c r="C1455" s="23"/>
      <c r="E1455" s="29"/>
      <c r="F1455" s="50"/>
      <c r="G1455" s="29"/>
      <c r="H1455" s="29"/>
      <c r="I1455" s="29"/>
      <c r="J1455" s="49"/>
      <c r="K1455" s="49"/>
      <c r="L1455" s="49"/>
      <c r="M1455" s="49"/>
      <c r="N1455" s="49"/>
      <c r="O1455" s="49"/>
      <c r="P1455" s="49"/>
      <c r="Q1455" s="49"/>
      <c r="R1455" s="49"/>
      <c r="S1455" s="49"/>
      <c r="T1455" s="49"/>
      <c r="U1455" s="49"/>
      <c r="V1455" s="49"/>
      <c r="W1455" s="49"/>
      <c r="X1455" s="49"/>
    </row>
    <row r="1456" spans="1:24" s="27" customFormat="1" x14ac:dyDescent="0.25">
      <c r="A1456" s="26"/>
      <c r="B1456" s="26"/>
      <c r="C1456" s="23"/>
      <c r="E1456" s="29"/>
      <c r="F1456" s="29"/>
      <c r="G1456" s="29"/>
      <c r="H1456" s="29"/>
      <c r="I1456" s="29"/>
      <c r="J1456" s="49"/>
      <c r="K1456" s="49"/>
      <c r="L1456" s="49"/>
      <c r="M1456" s="49"/>
      <c r="N1456" s="49"/>
      <c r="O1456" s="49"/>
      <c r="P1456" s="49"/>
      <c r="Q1456" s="49"/>
      <c r="R1456" s="49"/>
      <c r="S1456" s="49"/>
      <c r="T1456" s="49"/>
      <c r="U1456" s="49"/>
      <c r="V1456" s="49"/>
      <c r="W1456" s="49"/>
      <c r="X1456" s="49"/>
    </row>
    <row r="1457" spans="1:24" s="27" customFormat="1" x14ac:dyDescent="0.25">
      <c r="A1457" s="26"/>
      <c r="B1457" s="26"/>
      <c r="C1457" s="23"/>
      <c r="E1457" s="29"/>
      <c r="F1457" s="50"/>
      <c r="G1457" s="29"/>
      <c r="H1457" s="29"/>
      <c r="I1457" s="29"/>
      <c r="J1457" s="49"/>
      <c r="K1457" s="49"/>
      <c r="L1457" s="49"/>
      <c r="M1457" s="49"/>
      <c r="N1457" s="49"/>
      <c r="O1457" s="49"/>
      <c r="P1457" s="49"/>
      <c r="Q1457" s="49"/>
      <c r="R1457" s="49"/>
      <c r="S1457" s="49"/>
      <c r="T1457" s="49"/>
      <c r="U1457" s="49"/>
      <c r="V1457" s="49"/>
      <c r="W1457" s="49"/>
      <c r="X1457" s="49"/>
    </row>
    <row r="1458" spans="1:24" s="27" customFormat="1" x14ac:dyDescent="0.25">
      <c r="A1458" s="26"/>
      <c r="B1458" s="26"/>
      <c r="C1458" s="23"/>
      <c r="E1458" s="29"/>
      <c r="F1458" s="50"/>
      <c r="G1458" s="29"/>
      <c r="H1458" s="29"/>
      <c r="I1458" s="29"/>
      <c r="J1458" s="49"/>
      <c r="K1458" s="49"/>
      <c r="L1458" s="49"/>
      <c r="M1458" s="49"/>
      <c r="N1458" s="49"/>
      <c r="O1458" s="49"/>
      <c r="P1458" s="49"/>
      <c r="Q1458" s="49"/>
      <c r="R1458" s="49"/>
      <c r="S1458" s="49"/>
      <c r="T1458" s="49"/>
      <c r="U1458" s="49"/>
      <c r="V1458" s="49"/>
      <c r="W1458" s="49"/>
      <c r="X1458" s="49"/>
    </row>
    <row r="1459" spans="1:24" s="27" customFormat="1" x14ac:dyDescent="0.25">
      <c r="A1459" s="26"/>
      <c r="B1459" s="26"/>
      <c r="C1459" s="23"/>
      <c r="E1459" s="29"/>
      <c r="F1459" s="29"/>
      <c r="G1459" s="29"/>
      <c r="H1459" s="29"/>
      <c r="I1459" s="29"/>
      <c r="J1459" s="49"/>
      <c r="K1459" s="49"/>
      <c r="L1459" s="49"/>
      <c r="M1459" s="49"/>
      <c r="N1459" s="49"/>
      <c r="O1459" s="49"/>
      <c r="P1459" s="49"/>
      <c r="Q1459" s="49"/>
      <c r="R1459" s="49"/>
      <c r="S1459" s="49"/>
      <c r="T1459" s="49"/>
      <c r="U1459" s="49"/>
      <c r="V1459" s="49"/>
      <c r="W1459" s="49"/>
      <c r="X1459" s="49"/>
    </row>
    <row r="1460" spans="1:24" s="27" customFormat="1" x14ac:dyDescent="0.25">
      <c r="A1460" s="26"/>
      <c r="B1460" s="26"/>
      <c r="C1460" s="23"/>
      <c r="E1460" s="29"/>
      <c r="F1460" s="29"/>
      <c r="G1460" s="29"/>
      <c r="H1460" s="29"/>
      <c r="I1460" s="29"/>
      <c r="J1460" s="49"/>
      <c r="K1460" s="49"/>
      <c r="L1460" s="49"/>
      <c r="M1460" s="49"/>
      <c r="N1460" s="49"/>
      <c r="O1460" s="49"/>
      <c r="P1460" s="49"/>
      <c r="Q1460" s="49"/>
      <c r="R1460" s="49"/>
      <c r="S1460" s="49"/>
      <c r="T1460" s="49"/>
      <c r="U1460" s="49"/>
      <c r="V1460" s="49"/>
      <c r="W1460" s="49"/>
      <c r="X1460" s="49"/>
    </row>
    <row r="1461" spans="1:24" s="27" customFormat="1" x14ac:dyDescent="0.25">
      <c r="A1461" s="26"/>
      <c r="B1461" s="26"/>
      <c r="C1461" s="23"/>
      <c r="E1461" s="29"/>
      <c r="F1461" s="29"/>
      <c r="G1461" s="29"/>
      <c r="H1461" s="29"/>
      <c r="I1461" s="29"/>
      <c r="J1461" s="49"/>
      <c r="K1461" s="49"/>
      <c r="L1461" s="49"/>
      <c r="M1461" s="49"/>
      <c r="N1461" s="49"/>
      <c r="O1461" s="49"/>
      <c r="P1461" s="49"/>
      <c r="Q1461" s="49"/>
      <c r="R1461" s="49"/>
      <c r="S1461" s="49"/>
      <c r="T1461" s="49"/>
      <c r="U1461" s="49"/>
      <c r="V1461" s="49"/>
      <c r="W1461" s="49"/>
      <c r="X1461" s="49"/>
    </row>
    <row r="1462" spans="1:24" s="27" customFormat="1" x14ac:dyDescent="0.25">
      <c r="A1462" s="26"/>
      <c r="B1462" s="26"/>
      <c r="C1462" s="23"/>
      <c r="E1462" s="29"/>
      <c r="F1462" s="50"/>
      <c r="G1462" s="29"/>
      <c r="H1462" s="29"/>
      <c r="I1462" s="29"/>
      <c r="J1462" s="49"/>
      <c r="K1462" s="49"/>
      <c r="L1462" s="49"/>
      <c r="M1462" s="49"/>
      <c r="N1462" s="49"/>
      <c r="O1462" s="49"/>
      <c r="P1462" s="49"/>
      <c r="Q1462" s="49"/>
      <c r="R1462" s="49"/>
      <c r="S1462" s="49"/>
      <c r="T1462" s="49"/>
      <c r="U1462" s="49"/>
      <c r="V1462" s="49"/>
      <c r="W1462" s="49"/>
      <c r="X1462" s="49"/>
    </row>
    <row r="1463" spans="1:24" s="27" customFormat="1" x14ac:dyDescent="0.25">
      <c r="A1463" s="26"/>
      <c r="B1463" s="26"/>
      <c r="C1463" s="23"/>
      <c r="E1463" s="29"/>
      <c r="F1463" s="29"/>
      <c r="G1463" s="29"/>
      <c r="H1463" s="29"/>
      <c r="I1463" s="29"/>
      <c r="J1463" s="49"/>
      <c r="K1463" s="49"/>
      <c r="L1463" s="49"/>
      <c r="M1463" s="49"/>
      <c r="N1463" s="49"/>
      <c r="O1463" s="49"/>
      <c r="P1463" s="49"/>
      <c r="Q1463" s="49"/>
      <c r="R1463" s="49"/>
      <c r="S1463" s="49"/>
      <c r="T1463" s="49"/>
      <c r="U1463" s="49"/>
      <c r="V1463" s="49"/>
      <c r="W1463" s="49"/>
      <c r="X1463" s="49"/>
    </row>
    <row r="1464" spans="1:24" s="27" customFormat="1" x14ac:dyDescent="0.25">
      <c r="A1464" s="26"/>
      <c r="B1464" s="26"/>
      <c r="C1464" s="23"/>
      <c r="E1464" s="29"/>
      <c r="F1464" s="29"/>
      <c r="G1464" s="29"/>
      <c r="H1464" s="29"/>
      <c r="I1464" s="29"/>
      <c r="J1464" s="49"/>
      <c r="K1464" s="49"/>
      <c r="L1464" s="49"/>
      <c r="M1464" s="49"/>
      <c r="N1464" s="49"/>
      <c r="O1464" s="49"/>
      <c r="P1464" s="49"/>
      <c r="Q1464" s="49"/>
      <c r="R1464" s="49"/>
      <c r="S1464" s="49"/>
      <c r="T1464" s="49"/>
      <c r="U1464" s="49"/>
      <c r="V1464" s="49"/>
      <c r="W1464" s="49"/>
      <c r="X1464" s="49"/>
    </row>
    <row r="1465" spans="1:24" s="27" customFormat="1" x14ac:dyDescent="0.25">
      <c r="A1465" s="26"/>
      <c r="B1465" s="26"/>
      <c r="C1465" s="23"/>
      <c r="E1465" s="29"/>
      <c r="F1465" s="29"/>
      <c r="G1465" s="29"/>
      <c r="H1465" s="29"/>
      <c r="I1465" s="29"/>
      <c r="J1465" s="49"/>
      <c r="K1465" s="49"/>
      <c r="L1465" s="49"/>
      <c r="M1465" s="49"/>
      <c r="N1465" s="49"/>
      <c r="O1465" s="49"/>
      <c r="P1465" s="49"/>
      <c r="Q1465" s="49"/>
      <c r="R1465" s="49"/>
      <c r="S1465" s="49"/>
      <c r="T1465" s="49"/>
      <c r="U1465" s="49"/>
      <c r="V1465" s="49"/>
      <c r="W1465" s="49"/>
      <c r="X1465" s="49"/>
    </row>
    <row r="1466" spans="1:24" s="27" customFormat="1" x14ac:dyDescent="0.25">
      <c r="A1466" s="26"/>
      <c r="B1466" s="26"/>
      <c r="C1466" s="23"/>
      <c r="E1466" s="29"/>
      <c r="F1466" s="29"/>
      <c r="G1466" s="29"/>
      <c r="H1466" s="29"/>
      <c r="I1466" s="29"/>
      <c r="J1466" s="49"/>
      <c r="K1466" s="49"/>
      <c r="L1466" s="49"/>
      <c r="M1466" s="49"/>
      <c r="N1466" s="49"/>
      <c r="O1466" s="49"/>
      <c r="P1466" s="49"/>
      <c r="Q1466" s="49"/>
      <c r="R1466" s="49"/>
      <c r="S1466" s="49"/>
      <c r="T1466" s="49"/>
      <c r="U1466" s="49"/>
      <c r="V1466" s="49"/>
      <c r="W1466" s="49"/>
      <c r="X1466" s="49"/>
    </row>
    <row r="1467" spans="1:24" s="27" customFormat="1" x14ac:dyDescent="0.25">
      <c r="A1467" s="26"/>
      <c r="B1467" s="26"/>
      <c r="C1467" s="23"/>
      <c r="E1467" s="29"/>
      <c r="F1467" s="29"/>
      <c r="G1467" s="29"/>
      <c r="H1467" s="29"/>
      <c r="I1467" s="29"/>
      <c r="J1467" s="49"/>
      <c r="K1467" s="49"/>
      <c r="L1467" s="49"/>
      <c r="M1467" s="49"/>
      <c r="N1467" s="49"/>
      <c r="O1467" s="49"/>
      <c r="P1467" s="49"/>
      <c r="Q1467" s="49"/>
      <c r="R1467" s="49"/>
      <c r="S1467" s="49"/>
      <c r="T1467" s="49"/>
      <c r="U1467" s="49"/>
      <c r="V1467" s="49"/>
      <c r="W1467" s="49"/>
      <c r="X1467" s="49"/>
    </row>
    <row r="1468" spans="1:24" s="27" customFormat="1" x14ac:dyDescent="0.25">
      <c r="A1468" s="26"/>
      <c r="B1468" s="26"/>
      <c r="C1468" s="23"/>
      <c r="E1468" s="29"/>
      <c r="F1468" s="29"/>
      <c r="G1468" s="29"/>
      <c r="H1468" s="29"/>
      <c r="I1468" s="29"/>
      <c r="J1468" s="49"/>
      <c r="K1468" s="49"/>
      <c r="L1468" s="49"/>
      <c r="M1468" s="49"/>
      <c r="N1468" s="49"/>
      <c r="O1468" s="49"/>
      <c r="P1468" s="49"/>
      <c r="Q1468" s="49"/>
      <c r="R1468" s="49"/>
      <c r="S1468" s="49"/>
      <c r="T1468" s="49"/>
      <c r="U1468" s="49"/>
      <c r="V1468" s="49"/>
      <c r="W1468" s="49"/>
      <c r="X1468" s="49"/>
    </row>
    <row r="1469" spans="1:24" s="27" customFormat="1" x14ac:dyDescent="0.25">
      <c r="A1469" s="26"/>
      <c r="B1469" s="26"/>
      <c r="C1469" s="23"/>
      <c r="E1469" s="29"/>
      <c r="F1469" s="29"/>
      <c r="G1469" s="29"/>
      <c r="H1469" s="29"/>
      <c r="I1469" s="29"/>
      <c r="J1469" s="49"/>
      <c r="K1469" s="49"/>
      <c r="L1469" s="49"/>
      <c r="M1469" s="49"/>
      <c r="N1469" s="49"/>
      <c r="O1469" s="49"/>
      <c r="P1469" s="49"/>
      <c r="Q1469" s="49"/>
      <c r="R1469" s="49"/>
      <c r="S1469" s="49"/>
      <c r="T1469" s="49"/>
      <c r="U1469" s="49"/>
      <c r="V1469" s="49"/>
      <c r="W1469" s="49"/>
      <c r="X1469" s="49"/>
    </row>
    <row r="1470" spans="1:24" s="27" customFormat="1" x14ac:dyDescent="0.25">
      <c r="A1470" s="26"/>
      <c r="B1470" s="26"/>
      <c r="C1470" s="23"/>
      <c r="E1470" s="29"/>
      <c r="F1470" s="29"/>
      <c r="G1470" s="29"/>
      <c r="H1470" s="29"/>
      <c r="I1470" s="29"/>
      <c r="J1470" s="49"/>
      <c r="K1470" s="49"/>
      <c r="L1470" s="49"/>
      <c r="M1470" s="49"/>
      <c r="N1470" s="49"/>
      <c r="O1470" s="49"/>
      <c r="P1470" s="49"/>
      <c r="Q1470" s="49"/>
      <c r="R1470" s="49"/>
      <c r="S1470" s="49"/>
      <c r="T1470" s="49"/>
      <c r="U1470" s="49"/>
      <c r="V1470" s="49"/>
      <c r="W1470" s="49"/>
      <c r="X1470" s="49"/>
    </row>
    <row r="1471" spans="1:24" s="27" customFormat="1" x14ac:dyDescent="0.25">
      <c r="A1471" s="26"/>
      <c r="B1471" s="26"/>
      <c r="C1471" s="23"/>
      <c r="E1471" s="29"/>
      <c r="F1471" s="50"/>
      <c r="G1471" s="29"/>
      <c r="H1471" s="29"/>
      <c r="I1471" s="29"/>
      <c r="J1471" s="49"/>
      <c r="K1471" s="49"/>
      <c r="L1471" s="49"/>
      <c r="M1471" s="49"/>
      <c r="N1471" s="49"/>
      <c r="O1471" s="49"/>
      <c r="P1471" s="49"/>
      <c r="Q1471" s="49"/>
      <c r="R1471" s="49"/>
      <c r="S1471" s="49"/>
      <c r="T1471" s="49"/>
      <c r="U1471" s="49"/>
      <c r="V1471" s="49"/>
      <c r="W1471" s="49"/>
      <c r="X1471" s="49"/>
    </row>
    <row r="1472" spans="1:24" s="27" customFormat="1" x14ac:dyDescent="0.25">
      <c r="A1472" s="26"/>
      <c r="B1472" s="26"/>
      <c r="C1472" s="23"/>
      <c r="E1472" s="29"/>
      <c r="F1472" s="29"/>
      <c r="G1472" s="29"/>
      <c r="H1472" s="29"/>
      <c r="I1472" s="29"/>
      <c r="J1472" s="49"/>
      <c r="K1472" s="49"/>
      <c r="L1472" s="49"/>
      <c r="M1472" s="49"/>
      <c r="N1472" s="49"/>
      <c r="O1472" s="49"/>
      <c r="P1472" s="49"/>
      <c r="Q1472" s="49"/>
      <c r="R1472" s="49"/>
      <c r="S1472" s="49"/>
      <c r="T1472" s="49"/>
      <c r="U1472" s="49"/>
      <c r="V1472" s="49"/>
      <c r="W1472" s="49"/>
      <c r="X1472" s="49"/>
    </row>
    <row r="1473" spans="1:24" s="27" customFormat="1" x14ac:dyDescent="0.25">
      <c r="A1473" s="26"/>
      <c r="B1473" s="26"/>
      <c r="C1473" s="23"/>
      <c r="E1473" s="29"/>
      <c r="F1473" s="29"/>
      <c r="G1473" s="29"/>
      <c r="H1473" s="29"/>
      <c r="I1473" s="29"/>
      <c r="J1473" s="49"/>
      <c r="K1473" s="49"/>
      <c r="L1473" s="49"/>
      <c r="M1473" s="49"/>
      <c r="N1473" s="49"/>
      <c r="O1473" s="49"/>
      <c r="P1473" s="49"/>
      <c r="Q1473" s="49"/>
      <c r="R1473" s="49"/>
      <c r="S1473" s="49"/>
      <c r="T1473" s="49"/>
      <c r="U1473" s="49"/>
      <c r="V1473" s="49"/>
      <c r="W1473" s="49"/>
      <c r="X1473" s="49"/>
    </row>
    <row r="1474" spans="1:24" s="27" customFormat="1" x14ac:dyDescent="0.25">
      <c r="A1474" s="26"/>
      <c r="B1474" s="26"/>
      <c r="C1474" s="23"/>
      <c r="E1474" s="29"/>
      <c r="F1474" s="29"/>
      <c r="G1474" s="29"/>
      <c r="H1474" s="29"/>
      <c r="I1474" s="29"/>
      <c r="J1474" s="49"/>
      <c r="K1474" s="49"/>
      <c r="L1474" s="49"/>
      <c r="M1474" s="49"/>
      <c r="N1474" s="49"/>
      <c r="O1474" s="49"/>
      <c r="P1474" s="49"/>
      <c r="Q1474" s="49"/>
      <c r="R1474" s="49"/>
      <c r="S1474" s="49"/>
      <c r="T1474" s="49"/>
      <c r="U1474" s="49"/>
      <c r="V1474" s="49"/>
      <c r="W1474" s="49"/>
      <c r="X1474" s="49"/>
    </row>
    <row r="1475" spans="1:24" s="27" customFormat="1" x14ac:dyDescent="0.25">
      <c r="A1475" s="26"/>
      <c r="B1475" s="26"/>
      <c r="C1475" s="23"/>
      <c r="E1475" s="29"/>
      <c r="F1475" s="29"/>
      <c r="G1475" s="29"/>
      <c r="H1475" s="29"/>
      <c r="I1475" s="29"/>
      <c r="J1475" s="49"/>
      <c r="K1475" s="49"/>
      <c r="L1475" s="49"/>
      <c r="M1475" s="49"/>
      <c r="N1475" s="49"/>
      <c r="O1475" s="49"/>
      <c r="P1475" s="49"/>
      <c r="Q1475" s="49"/>
      <c r="R1475" s="49"/>
      <c r="S1475" s="49"/>
      <c r="T1475" s="49"/>
      <c r="U1475" s="49"/>
      <c r="V1475" s="49"/>
      <c r="W1475" s="49"/>
      <c r="X1475" s="49"/>
    </row>
    <row r="1476" spans="1:24" s="27" customFormat="1" x14ac:dyDescent="0.25">
      <c r="A1476" s="26"/>
      <c r="B1476" s="26"/>
      <c r="C1476" s="23"/>
      <c r="E1476" s="29"/>
      <c r="F1476" s="29"/>
      <c r="G1476" s="29"/>
      <c r="H1476" s="29"/>
      <c r="I1476" s="29"/>
      <c r="J1476" s="49"/>
      <c r="K1476" s="49"/>
      <c r="L1476" s="49"/>
      <c r="M1476" s="49"/>
      <c r="N1476" s="49"/>
      <c r="O1476" s="49"/>
      <c r="P1476" s="49"/>
      <c r="Q1476" s="49"/>
      <c r="R1476" s="49"/>
      <c r="S1476" s="49"/>
      <c r="T1476" s="49"/>
      <c r="U1476" s="49"/>
      <c r="V1476" s="49"/>
      <c r="W1476" s="49"/>
      <c r="X1476" s="49"/>
    </row>
    <row r="1477" spans="1:24" s="27" customFormat="1" x14ac:dyDescent="0.25">
      <c r="A1477" s="26"/>
      <c r="B1477" s="26"/>
      <c r="C1477" s="23"/>
      <c r="E1477" s="29"/>
      <c r="F1477" s="29"/>
      <c r="G1477" s="29"/>
      <c r="H1477" s="29"/>
      <c r="I1477" s="29"/>
      <c r="J1477" s="49"/>
      <c r="K1477" s="49"/>
      <c r="L1477" s="49"/>
      <c r="M1477" s="49"/>
      <c r="N1477" s="49"/>
      <c r="O1477" s="49"/>
      <c r="P1477" s="49"/>
      <c r="Q1477" s="49"/>
      <c r="R1477" s="49"/>
      <c r="S1477" s="49"/>
      <c r="T1477" s="49"/>
      <c r="U1477" s="49"/>
      <c r="V1477" s="49"/>
      <c r="W1477" s="49"/>
      <c r="X1477" s="49"/>
    </row>
    <row r="1478" spans="1:24" s="27" customFormat="1" x14ac:dyDescent="0.25">
      <c r="A1478" s="26"/>
      <c r="B1478" s="26"/>
      <c r="C1478" s="23"/>
      <c r="E1478" s="29"/>
      <c r="F1478" s="29"/>
      <c r="G1478" s="29"/>
      <c r="H1478" s="29"/>
      <c r="I1478" s="29"/>
      <c r="J1478" s="49"/>
      <c r="K1478" s="49"/>
      <c r="L1478" s="49"/>
      <c r="M1478" s="49"/>
      <c r="N1478" s="49"/>
      <c r="O1478" s="49"/>
      <c r="P1478" s="49"/>
      <c r="Q1478" s="49"/>
      <c r="R1478" s="49"/>
      <c r="S1478" s="49"/>
      <c r="T1478" s="49"/>
      <c r="U1478" s="49"/>
      <c r="V1478" s="49"/>
      <c r="W1478" s="49"/>
      <c r="X1478" s="49"/>
    </row>
    <row r="1479" spans="1:24" s="27" customFormat="1" x14ac:dyDescent="0.25">
      <c r="A1479" s="26"/>
      <c r="B1479" s="26"/>
      <c r="C1479" s="23"/>
      <c r="E1479" s="29"/>
      <c r="F1479" s="29"/>
      <c r="G1479" s="29"/>
      <c r="H1479" s="29"/>
      <c r="I1479" s="29"/>
      <c r="J1479" s="49"/>
      <c r="K1479" s="49"/>
      <c r="L1479" s="49"/>
      <c r="M1479" s="49"/>
      <c r="N1479" s="49"/>
      <c r="O1479" s="49"/>
      <c r="P1479" s="49"/>
      <c r="Q1479" s="49"/>
      <c r="R1479" s="49"/>
      <c r="S1479" s="49"/>
      <c r="T1479" s="49"/>
      <c r="U1479" s="49"/>
      <c r="V1479" s="49"/>
      <c r="W1479" s="49"/>
      <c r="X1479" s="49"/>
    </row>
    <row r="1480" spans="1:24" s="27" customFormat="1" x14ac:dyDescent="0.25">
      <c r="A1480" s="26"/>
      <c r="B1480" s="26"/>
      <c r="C1480" s="23"/>
      <c r="E1480" s="29"/>
      <c r="F1480" s="29"/>
      <c r="G1480" s="29"/>
      <c r="H1480" s="29"/>
      <c r="I1480" s="29"/>
      <c r="J1480" s="49"/>
      <c r="K1480" s="49"/>
      <c r="L1480" s="49"/>
      <c r="M1480" s="49"/>
      <c r="N1480" s="49"/>
      <c r="O1480" s="49"/>
      <c r="P1480" s="49"/>
      <c r="Q1480" s="49"/>
      <c r="R1480" s="49"/>
      <c r="S1480" s="49"/>
      <c r="T1480" s="49"/>
      <c r="U1480" s="49"/>
      <c r="V1480" s="49"/>
      <c r="W1480" s="49"/>
      <c r="X1480" s="49"/>
    </row>
    <row r="1481" spans="1:24" s="27" customFormat="1" x14ac:dyDescent="0.25">
      <c r="A1481" s="26"/>
      <c r="B1481" s="26"/>
      <c r="C1481" s="23"/>
      <c r="E1481" s="29"/>
      <c r="F1481" s="29"/>
      <c r="G1481" s="29"/>
      <c r="H1481" s="29"/>
      <c r="I1481" s="29"/>
      <c r="J1481" s="49"/>
      <c r="K1481" s="49"/>
      <c r="L1481" s="49"/>
      <c r="M1481" s="49"/>
      <c r="N1481" s="49"/>
      <c r="O1481" s="49"/>
      <c r="P1481" s="49"/>
      <c r="Q1481" s="49"/>
      <c r="R1481" s="49"/>
      <c r="S1481" s="49"/>
      <c r="T1481" s="49"/>
      <c r="U1481" s="49"/>
      <c r="V1481" s="49"/>
      <c r="W1481" s="49"/>
      <c r="X1481" s="49"/>
    </row>
    <row r="1482" spans="1:24" s="27" customFormat="1" x14ac:dyDescent="0.25">
      <c r="A1482" s="26"/>
      <c r="B1482" s="26"/>
      <c r="C1482" s="23"/>
      <c r="E1482" s="29"/>
      <c r="F1482" s="29"/>
      <c r="G1482" s="29"/>
      <c r="H1482" s="29"/>
      <c r="I1482" s="29"/>
      <c r="J1482" s="49"/>
      <c r="K1482" s="49"/>
      <c r="L1482" s="49"/>
      <c r="M1482" s="49"/>
      <c r="N1482" s="49"/>
      <c r="O1482" s="49"/>
      <c r="P1482" s="49"/>
      <c r="Q1482" s="49"/>
      <c r="R1482" s="49"/>
      <c r="S1482" s="49"/>
      <c r="T1482" s="49"/>
      <c r="U1482" s="49"/>
      <c r="V1482" s="49"/>
      <c r="W1482" s="49"/>
      <c r="X1482" s="49"/>
    </row>
    <row r="1483" spans="1:24" s="27" customFormat="1" x14ac:dyDescent="0.25">
      <c r="A1483" s="26"/>
      <c r="B1483" s="26"/>
      <c r="C1483" s="23"/>
      <c r="E1483" s="29"/>
      <c r="F1483" s="29"/>
      <c r="G1483" s="29"/>
      <c r="H1483" s="29"/>
      <c r="I1483" s="29"/>
      <c r="J1483" s="49"/>
      <c r="K1483" s="49"/>
      <c r="L1483" s="49"/>
      <c r="M1483" s="49"/>
      <c r="N1483" s="49"/>
      <c r="O1483" s="49"/>
      <c r="P1483" s="49"/>
      <c r="Q1483" s="49"/>
      <c r="R1483" s="49"/>
      <c r="S1483" s="49"/>
      <c r="T1483" s="49"/>
      <c r="U1483" s="49"/>
      <c r="V1483" s="49"/>
      <c r="W1483" s="49"/>
      <c r="X1483" s="49"/>
    </row>
    <row r="1484" spans="1:24" s="27" customFormat="1" x14ac:dyDescent="0.25">
      <c r="A1484" s="26"/>
      <c r="B1484" s="26"/>
      <c r="C1484" s="23"/>
      <c r="E1484" s="29"/>
      <c r="F1484" s="29"/>
      <c r="G1484" s="29"/>
      <c r="H1484" s="29"/>
      <c r="I1484" s="29"/>
      <c r="J1484" s="49"/>
      <c r="K1484" s="49"/>
      <c r="L1484" s="49"/>
      <c r="M1484" s="49"/>
      <c r="N1484" s="49"/>
      <c r="O1484" s="49"/>
      <c r="P1484" s="49"/>
      <c r="Q1484" s="49"/>
      <c r="R1484" s="49"/>
      <c r="S1484" s="49"/>
      <c r="T1484" s="49"/>
      <c r="U1484" s="49"/>
      <c r="V1484" s="49"/>
      <c r="W1484" s="49"/>
      <c r="X1484" s="49"/>
    </row>
    <row r="1485" spans="1:24" s="27" customFormat="1" x14ac:dyDescent="0.25">
      <c r="A1485" s="26"/>
      <c r="B1485" s="26"/>
      <c r="C1485" s="23"/>
      <c r="E1485" s="29"/>
      <c r="F1485" s="50"/>
      <c r="G1485" s="29"/>
      <c r="H1485" s="29"/>
      <c r="I1485" s="29"/>
      <c r="J1485" s="49"/>
      <c r="K1485" s="49"/>
      <c r="L1485" s="49"/>
      <c r="M1485" s="49"/>
      <c r="N1485" s="49"/>
      <c r="O1485" s="49"/>
      <c r="P1485" s="49"/>
      <c r="Q1485" s="49"/>
      <c r="R1485" s="49"/>
      <c r="S1485" s="49"/>
      <c r="T1485" s="49"/>
      <c r="U1485" s="49"/>
      <c r="V1485" s="49"/>
      <c r="W1485" s="49"/>
      <c r="X1485" s="49"/>
    </row>
    <row r="1486" spans="1:24" s="27" customFormat="1" x14ac:dyDescent="0.25">
      <c r="A1486" s="26"/>
      <c r="B1486" s="26"/>
      <c r="C1486" s="23"/>
      <c r="E1486" s="29"/>
      <c r="F1486" s="50"/>
      <c r="G1486" s="29"/>
      <c r="H1486" s="29"/>
      <c r="I1486" s="29"/>
      <c r="J1486" s="49"/>
      <c r="K1486" s="49"/>
      <c r="L1486" s="49"/>
      <c r="M1486" s="49"/>
      <c r="N1486" s="49"/>
      <c r="O1486" s="49"/>
      <c r="P1486" s="49"/>
      <c r="Q1486" s="49"/>
      <c r="R1486" s="49"/>
      <c r="S1486" s="49"/>
      <c r="T1486" s="49"/>
      <c r="U1486" s="49"/>
      <c r="V1486" s="49"/>
      <c r="W1486" s="49"/>
      <c r="X1486" s="49"/>
    </row>
    <row r="1487" spans="1:24" s="27" customFormat="1" x14ac:dyDescent="0.25">
      <c r="A1487" s="26"/>
      <c r="B1487" s="26"/>
      <c r="C1487" s="23"/>
      <c r="E1487" s="29"/>
      <c r="F1487" s="29"/>
      <c r="G1487" s="29"/>
      <c r="H1487" s="29"/>
      <c r="I1487" s="29"/>
      <c r="J1487" s="49"/>
      <c r="K1487" s="49"/>
      <c r="L1487" s="49"/>
      <c r="M1487" s="49"/>
      <c r="N1487" s="49"/>
      <c r="O1487" s="49"/>
      <c r="P1487" s="49"/>
      <c r="Q1487" s="49"/>
      <c r="R1487" s="49"/>
      <c r="S1487" s="49"/>
      <c r="T1487" s="49"/>
      <c r="U1487" s="49"/>
      <c r="V1487" s="49"/>
      <c r="W1487" s="49"/>
      <c r="X1487" s="49"/>
    </row>
    <row r="1488" spans="1:24" s="27" customFormat="1" x14ac:dyDescent="0.25">
      <c r="A1488" s="26"/>
      <c r="B1488" s="26"/>
      <c r="C1488" s="23"/>
      <c r="E1488" s="29"/>
      <c r="F1488" s="29"/>
      <c r="G1488" s="29"/>
      <c r="H1488" s="29"/>
      <c r="I1488" s="29"/>
      <c r="J1488" s="49"/>
      <c r="K1488" s="49"/>
      <c r="L1488" s="49"/>
      <c r="M1488" s="49"/>
      <c r="N1488" s="49"/>
      <c r="O1488" s="49"/>
      <c r="P1488" s="49"/>
      <c r="Q1488" s="49"/>
      <c r="R1488" s="49"/>
      <c r="S1488" s="49"/>
      <c r="T1488" s="49"/>
      <c r="U1488" s="49"/>
      <c r="V1488" s="49"/>
      <c r="W1488" s="49"/>
      <c r="X1488" s="49"/>
    </row>
    <row r="1489" spans="1:24" s="27" customFormat="1" x14ac:dyDescent="0.25">
      <c r="A1489" s="26"/>
      <c r="B1489" s="26"/>
      <c r="C1489" s="23"/>
      <c r="E1489" s="29"/>
      <c r="F1489" s="29"/>
      <c r="G1489" s="29"/>
      <c r="H1489" s="29"/>
      <c r="I1489" s="29"/>
      <c r="J1489" s="49"/>
      <c r="K1489" s="49"/>
      <c r="L1489" s="49"/>
      <c r="M1489" s="49"/>
      <c r="N1489" s="49"/>
      <c r="O1489" s="49"/>
      <c r="P1489" s="49"/>
      <c r="Q1489" s="49"/>
      <c r="R1489" s="49"/>
      <c r="S1489" s="49"/>
      <c r="T1489" s="49"/>
      <c r="U1489" s="49"/>
      <c r="V1489" s="49"/>
      <c r="W1489" s="49"/>
      <c r="X1489" s="49"/>
    </row>
    <row r="1490" spans="1:24" s="27" customFormat="1" x14ac:dyDescent="0.25">
      <c r="A1490" s="26"/>
      <c r="B1490" s="26"/>
      <c r="C1490" s="23"/>
      <c r="E1490" s="29"/>
      <c r="F1490" s="29"/>
      <c r="G1490" s="29"/>
      <c r="H1490" s="29"/>
      <c r="I1490" s="29"/>
      <c r="J1490" s="49"/>
      <c r="K1490" s="49"/>
      <c r="L1490" s="49"/>
      <c r="M1490" s="49"/>
      <c r="N1490" s="49"/>
      <c r="O1490" s="49"/>
      <c r="P1490" s="49"/>
      <c r="Q1490" s="49"/>
      <c r="R1490" s="49"/>
      <c r="S1490" s="49"/>
      <c r="T1490" s="49"/>
      <c r="U1490" s="49"/>
      <c r="V1490" s="49"/>
      <c r="W1490" s="49"/>
      <c r="X1490" s="49"/>
    </row>
    <row r="1491" spans="1:24" s="27" customFormat="1" x14ac:dyDescent="0.25">
      <c r="A1491" s="26"/>
      <c r="B1491" s="26"/>
      <c r="C1491" s="23"/>
      <c r="E1491" s="29"/>
      <c r="F1491" s="29"/>
      <c r="G1491" s="29"/>
      <c r="H1491" s="29"/>
      <c r="I1491" s="29"/>
      <c r="J1491" s="49"/>
      <c r="K1491" s="49"/>
      <c r="L1491" s="49"/>
      <c r="M1491" s="49"/>
      <c r="N1491" s="49"/>
      <c r="O1491" s="49"/>
      <c r="P1491" s="49"/>
      <c r="Q1491" s="49"/>
      <c r="R1491" s="49"/>
      <c r="S1491" s="49"/>
      <c r="T1491" s="49"/>
      <c r="U1491" s="49"/>
      <c r="V1491" s="49"/>
      <c r="W1491" s="49"/>
      <c r="X1491" s="49"/>
    </row>
    <row r="1492" spans="1:24" s="27" customFormat="1" x14ac:dyDescent="0.25">
      <c r="A1492" s="26"/>
      <c r="B1492" s="26"/>
      <c r="C1492" s="23"/>
      <c r="E1492" s="29"/>
      <c r="F1492" s="29"/>
      <c r="G1492" s="29"/>
      <c r="H1492" s="29"/>
      <c r="I1492" s="29"/>
      <c r="J1492" s="49"/>
      <c r="K1492" s="49"/>
      <c r="L1492" s="49"/>
      <c r="M1492" s="49"/>
      <c r="N1492" s="49"/>
      <c r="O1492" s="49"/>
      <c r="P1492" s="49"/>
      <c r="Q1492" s="49"/>
      <c r="R1492" s="49"/>
      <c r="S1492" s="49"/>
      <c r="T1492" s="49"/>
      <c r="U1492" s="49"/>
      <c r="V1492" s="49"/>
      <c r="W1492" s="49"/>
      <c r="X1492" s="49"/>
    </row>
    <row r="1493" spans="1:24" s="27" customFormat="1" x14ac:dyDescent="0.25">
      <c r="A1493" s="26"/>
      <c r="B1493" s="26"/>
      <c r="C1493" s="23"/>
      <c r="E1493" s="29"/>
      <c r="F1493" s="29"/>
      <c r="G1493" s="29"/>
      <c r="H1493" s="29"/>
      <c r="I1493" s="29"/>
      <c r="J1493" s="49"/>
      <c r="K1493" s="49"/>
      <c r="L1493" s="49"/>
      <c r="M1493" s="49"/>
      <c r="N1493" s="49"/>
      <c r="O1493" s="49"/>
      <c r="P1493" s="49"/>
      <c r="Q1493" s="49"/>
      <c r="R1493" s="49"/>
      <c r="S1493" s="49"/>
      <c r="T1493" s="49"/>
      <c r="U1493" s="49"/>
      <c r="V1493" s="49"/>
      <c r="W1493" s="49"/>
      <c r="X1493" s="49"/>
    </row>
    <row r="1494" spans="1:24" s="27" customFormat="1" x14ac:dyDescent="0.25">
      <c r="A1494" s="26"/>
      <c r="B1494" s="26"/>
      <c r="C1494" s="23"/>
      <c r="E1494" s="29"/>
      <c r="F1494" s="29"/>
      <c r="G1494" s="29"/>
      <c r="H1494" s="29"/>
      <c r="I1494" s="29"/>
      <c r="J1494" s="49"/>
      <c r="K1494" s="49"/>
      <c r="L1494" s="49"/>
      <c r="M1494" s="49"/>
      <c r="N1494" s="49"/>
      <c r="O1494" s="49"/>
      <c r="P1494" s="49"/>
      <c r="Q1494" s="49"/>
      <c r="R1494" s="49"/>
      <c r="S1494" s="49"/>
      <c r="T1494" s="49"/>
      <c r="U1494" s="49"/>
      <c r="V1494" s="49"/>
      <c r="W1494" s="49"/>
      <c r="X1494" s="49"/>
    </row>
    <row r="1495" spans="1:24" s="27" customFormat="1" x14ac:dyDescent="0.25">
      <c r="A1495" s="26"/>
      <c r="B1495" s="26"/>
      <c r="C1495" s="23"/>
      <c r="E1495" s="29"/>
      <c r="F1495" s="29"/>
      <c r="G1495" s="29"/>
      <c r="H1495" s="29"/>
      <c r="I1495" s="29"/>
      <c r="J1495" s="49"/>
      <c r="K1495" s="49"/>
      <c r="L1495" s="49"/>
      <c r="M1495" s="49"/>
      <c r="N1495" s="49"/>
      <c r="O1495" s="49"/>
      <c r="P1495" s="49"/>
      <c r="Q1495" s="49"/>
      <c r="R1495" s="49"/>
      <c r="S1495" s="49"/>
      <c r="T1495" s="49"/>
      <c r="U1495" s="49"/>
      <c r="V1495" s="49"/>
      <c r="W1495" s="49"/>
      <c r="X1495" s="49"/>
    </row>
    <row r="1496" spans="1:24" s="27" customFormat="1" x14ac:dyDescent="0.25">
      <c r="A1496" s="26"/>
      <c r="B1496" s="26"/>
      <c r="C1496" s="23"/>
      <c r="E1496" s="29"/>
      <c r="F1496" s="29"/>
      <c r="G1496" s="29"/>
      <c r="H1496" s="29"/>
      <c r="I1496" s="29"/>
      <c r="J1496" s="49"/>
      <c r="K1496" s="49"/>
      <c r="L1496" s="49"/>
      <c r="M1496" s="49"/>
      <c r="N1496" s="49"/>
      <c r="O1496" s="49"/>
      <c r="P1496" s="49"/>
      <c r="Q1496" s="49"/>
      <c r="R1496" s="49"/>
      <c r="S1496" s="49"/>
      <c r="T1496" s="49"/>
      <c r="U1496" s="49"/>
      <c r="V1496" s="49"/>
      <c r="W1496" s="49"/>
      <c r="X1496" s="49"/>
    </row>
    <row r="1497" spans="1:24" s="27" customFormat="1" x14ac:dyDescent="0.25">
      <c r="A1497" s="26"/>
      <c r="B1497" s="26"/>
      <c r="C1497" s="23"/>
      <c r="E1497" s="29"/>
      <c r="F1497" s="29"/>
      <c r="G1497" s="29"/>
      <c r="H1497" s="29"/>
      <c r="I1497" s="29"/>
      <c r="J1497" s="49"/>
      <c r="K1497" s="49"/>
      <c r="L1497" s="49"/>
      <c r="M1497" s="49"/>
      <c r="N1497" s="49"/>
      <c r="O1497" s="49"/>
      <c r="P1497" s="49"/>
      <c r="Q1497" s="49"/>
      <c r="R1497" s="49"/>
      <c r="S1497" s="49"/>
      <c r="T1497" s="49"/>
      <c r="U1497" s="49"/>
      <c r="V1497" s="49"/>
      <c r="W1497" s="49"/>
      <c r="X1497" s="49"/>
    </row>
    <row r="1498" spans="1:24" s="27" customFormat="1" x14ac:dyDescent="0.25">
      <c r="A1498" s="26"/>
      <c r="B1498" s="26"/>
      <c r="C1498" s="23"/>
      <c r="E1498" s="29"/>
      <c r="F1498" s="29"/>
      <c r="G1498" s="29"/>
      <c r="H1498" s="29"/>
      <c r="I1498" s="29"/>
      <c r="J1498" s="49"/>
      <c r="K1498" s="49"/>
      <c r="L1498" s="49"/>
      <c r="M1498" s="49"/>
      <c r="N1498" s="49"/>
      <c r="O1498" s="49"/>
      <c r="P1498" s="49"/>
      <c r="Q1498" s="49"/>
      <c r="R1498" s="49"/>
      <c r="S1498" s="49"/>
      <c r="T1498" s="49"/>
      <c r="U1498" s="49"/>
      <c r="V1498" s="49"/>
      <c r="W1498" s="49"/>
      <c r="X1498" s="49"/>
    </row>
    <row r="1499" spans="1:24" s="27" customFormat="1" x14ac:dyDescent="0.25">
      <c r="A1499" s="26"/>
      <c r="B1499" s="26"/>
      <c r="C1499" s="23"/>
      <c r="E1499" s="29"/>
      <c r="F1499" s="29"/>
      <c r="G1499" s="29"/>
      <c r="H1499" s="29"/>
      <c r="I1499" s="29"/>
      <c r="J1499" s="49"/>
      <c r="K1499" s="49"/>
      <c r="L1499" s="49"/>
      <c r="M1499" s="49"/>
      <c r="N1499" s="49"/>
      <c r="O1499" s="49"/>
      <c r="P1499" s="49"/>
      <c r="Q1499" s="49"/>
      <c r="R1499" s="49"/>
      <c r="S1499" s="49"/>
      <c r="T1499" s="49"/>
      <c r="U1499" s="49"/>
      <c r="V1499" s="49"/>
      <c r="W1499" s="49"/>
      <c r="X1499" s="49"/>
    </row>
    <row r="1500" spans="1:24" s="27" customFormat="1" x14ac:dyDescent="0.25">
      <c r="A1500" s="26"/>
      <c r="B1500" s="26"/>
      <c r="C1500" s="23"/>
      <c r="E1500" s="29"/>
      <c r="F1500" s="29"/>
      <c r="G1500" s="29"/>
      <c r="H1500" s="29"/>
      <c r="I1500" s="29"/>
      <c r="J1500" s="49"/>
      <c r="K1500" s="49"/>
      <c r="L1500" s="49"/>
      <c r="M1500" s="49"/>
      <c r="N1500" s="49"/>
      <c r="O1500" s="49"/>
      <c r="P1500" s="49"/>
      <c r="Q1500" s="49"/>
      <c r="R1500" s="49"/>
      <c r="S1500" s="49"/>
      <c r="T1500" s="49"/>
      <c r="U1500" s="49"/>
      <c r="V1500" s="49"/>
      <c r="W1500" s="49"/>
      <c r="X1500" s="49"/>
    </row>
    <row r="1501" spans="1:24" s="27" customFormat="1" x14ac:dyDescent="0.25">
      <c r="A1501" s="26"/>
      <c r="B1501" s="26"/>
      <c r="C1501" s="23"/>
      <c r="E1501" s="29"/>
      <c r="F1501" s="29"/>
      <c r="G1501" s="29"/>
      <c r="H1501" s="29"/>
      <c r="I1501" s="29"/>
      <c r="J1501" s="49"/>
      <c r="K1501" s="49"/>
      <c r="L1501" s="49"/>
      <c r="M1501" s="49"/>
      <c r="N1501" s="49"/>
      <c r="O1501" s="49"/>
      <c r="P1501" s="49"/>
      <c r="Q1501" s="49"/>
      <c r="R1501" s="49"/>
      <c r="S1501" s="49"/>
      <c r="T1501" s="49"/>
      <c r="U1501" s="49"/>
      <c r="V1501" s="49"/>
      <c r="W1501" s="49"/>
      <c r="X1501" s="49"/>
    </row>
    <row r="1502" spans="1:24" s="27" customFormat="1" x14ac:dyDescent="0.25">
      <c r="A1502" s="26"/>
      <c r="B1502" s="26"/>
      <c r="C1502" s="23"/>
      <c r="E1502" s="29"/>
      <c r="F1502" s="50"/>
      <c r="G1502" s="29"/>
      <c r="H1502" s="29"/>
      <c r="I1502" s="29"/>
      <c r="J1502" s="49"/>
      <c r="K1502" s="49"/>
      <c r="L1502" s="49"/>
      <c r="M1502" s="49"/>
      <c r="N1502" s="49"/>
      <c r="O1502" s="49"/>
      <c r="P1502" s="49"/>
      <c r="Q1502" s="49"/>
      <c r="R1502" s="49"/>
      <c r="S1502" s="49"/>
      <c r="T1502" s="49"/>
      <c r="U1502" s="49"/>
      <c r="V1502" s="49"/>
      <c r="W1502" s="49"/>
      <c r="X1502" s="49"/>
    </row>
    <row r="1503" spans="1:24" s="27" customFormat="1" x14ac:dyDescent="0.25">
      <c r="A1503" s="26"/>
      <c r="B1503" s="26"/>
      <c r="C1503" s="23"/>
      <c r="E1503" s="29"/>
      <c r="F1503" s="50"/>
      <c r="G1503" s="29"/>
      <c r="H1503" s="29"/>
      <c r="I1503" s="29"/>
      <c r="J1503" s="49"/>
      <c r="K1503" s="49"/>
      <c r="L1503" s="49"/>
      <c r="M1503" s="49"/>
      <c r="N1503" s="49"/>
      <c r="O1503" s="49"/>
      <c r="P1503" s="49"/>
      <c r="Q1503" s="49"/>
      <c r="R1503" s="49"/>
      <c r="S1503" s="49"/>
      <c r="T1503" s="49"/>
      <c r="U1503" s="49"/>
      <c r="V1503" s="49"/>
      <c r="W1503" s="49"/>
      <c r="X1503" s="49"/>
    </row>
    <row r="1504" spans="1:24" s="27" customFormat="1" x14ac:dyDescent="0.25">
      <c r="A1504" s="26"/>
      <c r="B1504" s="26"/>
      <c r="C1504" s="23"/>
      <c r="E1504" s="29"/>
      <c r="F1504" s="29"/>
      <c r="G1504" s="29"/>
      <c r="H1504" s="29"/>
      <c r="I1504" s="29"/>
      <c r="J1504" s="49"/>
      <c r="K1504" s="49"/>
      <c r="L1504" s="49"/>
      <c r="M1504" s="49"/>
      <c r="N1504" s="49"/>
      <c r="O1504" s="49"/>
      <c r="P1504" s="49"/>
      <c r="Q1504" s="49"/>
      <c r="R1504" s="49"/>
      <c r="S1504" s="49"/>
      <c r="T1504" s="49"/>
      <c r="U1504" s="49"/>
      <c r="V1504" s="49"/>
      <c r="W1504" s="49"/>
      <c r="X1504" s="49"/>
    </row>
    <row r="1505" spans="1:24" s="27" customFormat="1" x14ac:dyDescent="0.25">
      <c r="A1505" s="26"/>
      <c r="B1505" s="26"/>
      <c r="C1505" s="23"/>
      <c r="E1505" s="29"/>
      <c r="F1505" s="29"/>
      <c r="G1505" s="29"/>
      <c r="H1505" s="29"/>
      <c r="I1505" s="29"/>
      <c r="J1505" s="49"/>
      <c r="K1505" s="49"/>
      <c r="L1505" s="49"/>
      <c r="M1505" s="49"/>
      <c r="N1505" s="49"/>
      <c r="O1505" s="49"/>
      <c r="P1505" s="49"/>
      <c r="Q1505" s="49"/>
      <c r="R1505" s="49"/>
      <c r="S1505" s="49"/>
      <c r="T1505" s="49"/>
      <c r="U1505" s="49"/>
      <c r="V1505" s="49"/>
      <c r="W1505" s="49"/>
      <c r="X1505" s="49"/>
    </row>
    <row r="1506" spans="1:24" s="27" customFormat="1" x14ac:dyDescent="0.25">
      <c r="A1506" s="26"/>
      <c r="B1506" s="26"/>
      <c r="C1506" s="23"/>
      <c r="E1506" s="29"/>
      <c r="F1506" s="29"/>
      <c r="G1506" s="29"/>
      <c r="H1506" s="29"/>
      <c r="I1506" s="29"/>
      <c r="J1506" s="49"/>
      <c r="K1506" s="49"/>
      <c r="L1506" s="49"/>
      <c r="M1506" s="49"/>
      <c r="N1506" s="49"/>
      <c r="O1506" s="49"/>
      <c r="P1506" s="49"/>
      <c r="Q1506" s="49"/>
      <c r="R1506" s="49"/>
      <c r="S1506" s="49"/>
      <c r="T1506" s="49"/>
      <c r="U1506" s="49"/>
      <c r="V1506" s="49"/>
      <c r="W1506" s="49"/>
      <c r="X1506" s="49"/>
    </row>
    <row r="1507" spans="1:24" s="27" customFormat="1" x14ac:dyDescent="0.25">
      <c r="A1507" s="26"/>
      <c r="B1507" s="26"/>
      <c r="C1507" s="23"/>
      <c r="E1507" s="29"/>
      <c r="F1507" s="29"/>
      <c r="G1507" s="29"/>
      <c r="H1507" s="29"/>
      <c r="I1507" s="29"/>
      <c r="J1507" s="49"/>
      <c r="K1507" s="49"/>
      <c r="L1507" s="49"/>
      <c r="M1507" s="49"/>
      <c r="N1507" s="49"/>
      <c r="O1507" s="49"/>
      <c r="P1507" s="49"/>
      <c r="Q1507" s="49"/>
      <c r="R1507" s="49"/>
      <c r="S1507" s="49"/>
      <c r="T1507" s="49"/>
      <c r="U1507" s="49"/>
      <c r="V1507" s="49"/>
      <c r="W1507" s="49"/>
      <c r="X1507" s="49"/>
    </row>
    <row r="1508" spans="1:24" s="27" customFormat="1" x14ac:dyDescent="0.25">
      <c r="A1508" s="26"/>
      <c r="B1508" s="26"/>
      <c r="C1508" s="23"/>
      <c r="E1508" s="29"/>
      <c r="F1508" s="29"/>
      <c r="G1508" s="29"/>
      <c r="H1508" s="29"/>
      <c r="I1508" s="29"/>
      <c r="J1508" s="49"/>
      <c r="K1508" s="49"/>
      <c r="L1508" s="49"/>
      <c r="M1508" s="49"/>
      <c r="N1508" s="49"/>
      <c r="O1508" s="49"/>
      <c r="P1508" s="49"/>
      <c r="Q1508" s="49"/>
      <c r="R1508" s="49"/>
      <c r="S1508" s="49"/>
      <c r="T1508" s="49"/>
      <c r="U1508" s="49"/>
      <c r="V1508" s="49"/>
      <c r="W1508" s="49"/>
      <c r="X1508" s="49"/>
    </row>
    <row r="1509" spans="1:24" s="27" customFormat="1" x14ac:dyDescent="0.25">
      <c r="A1509" s="26"/>
      <c r="B1509" s="26"/>
      <c r="C1509" s="23"/>
      <c r="E1509" s="29"/>
      <c r="F1509" s="50"/>
      <c r="G1509" s="29"/>
      <c r="H1509" s="29"/>
      <c r="I1509" s="29"/>
      <c r="J1509" s="49"/>
      <c r="K1509" s="49"/>
      <c r="L1509" s="49"/>
      <c r="M1509" s="49"/>
      <c r="N1509" s="49"/>
      <c r="O1509" s="49"/>
      <c r="P1509" s="49"/>
      <c r="Q1509" s="49"/>
      <c r="R1509" s="49"/>
      <c r="S1509" s="49"/>
      <c r="T1509" s="49"/>
      <c r="U1509" s="49"/>
      <c r="V1509" s="49"/>
      <c r="W1509" s="49"/>
      <c r="X1509" s="49"/>
    </row>
    <row r="1510" spans="1:24" s="27" customFormat="1" x14ac:dyDescent="0.25">
      <c r="A1510" s="26"/>
      <c r="B1510" s="26"/>
      <c r="C1510" s="23"/>
      <c r="E1510" s="29"/>
      <c r="F1510" s="29"/>
      <c r="G1510" s="29"/>
      <c r="H1510" s="29"/>
      <c r="I1510" s="29"/>
      <c r="J1510" s="49"/>
      <c r="K1510" s="49"/>
      <c r="L1510" s="49"/>
      <c r="M1510" s="49"/>
      <c r="N1510" s="49"/>
      <c r="O1510" s="49"/>
      <c r="P1510" s="49"/>
      <c r="Q1510" s="49"/>
      <c r="R1510" s="49"/>
      <c r="S1510" s="49"/>
      <c r="T1510" s="49"/>
      <c r="U1510" s="49"/>
      <c r="V1510" s="49"/>
      <c r="W1510" s="49"/>
      <c r="X1510" s="49"/>
    </row>
    <row r="1511" spans="1:24" s="27" customFormat="1" x14ac:dyDescent="0.25">
      <c r="A1511" s="26"/>
      <c r="B1511" s="26"/>
      <c r="C1511" s="23"/>
      <c r="E1511" s="29"/>
      <c r="F1511" s="29"/>
      <c r="G1511" s="29"/>
      <c r="H1511" s="29"/>
      <c r="I1511" s="29"/>
      <c r="J1511" s="49"/>
      <c r="K1511" s="49"/>
      <c r="L1511" s="49"/>
      <c r="M1511" s="49"/>
      <c r="N1511" s="49"/>
      <c r="O1511" s="49"/>
      <c r="P1511" s="49"/>
      <c r="Q1511" s="49"/>
      <c r="R1511" s="49"/>
      <c r="S1511" s="49"/>
      <c r="T1511" s="49"/>
      <c r="U1511" s="49"/>
      <c r="V1511" s="49"/>
      <c r="W1511" s="49"/>
      <c r="X1511" s="49"/>
    </row>
    <row r="1512" spans="1:24" s="27" customFormat="1" x14ac:dyDescent="0.25">
      <c r="A1512" s="26"/>
      <c r="B1512" s="26"/>
      <c r="C1512" s="23"/>
      <c r="E1512" s="29"/>
      <c r="F1512" s="29"/>
      <c r="G1512" s="29"/>
      <c r="H1512" s="29"/>
      <c r="I1512" s="29"/>
      <c r="J1512" s="49"/>
      <c r="K1512" s="49"/>
      <c r="L1512" s="49"/>
      <c r="M1512" s="49"/>
      <c r="N1512" s="49"/>
      <c r="O1512" s="49"/>
      <c r="P1512" s="49"/>
      <c r="Q1512" s="49"/>
      <c r="R1512" s="49"/>
      <c r="S1512" s="49"/>
      <c r="T1512" s="49"/>
      <c r="U1512" s="49"/>
      <c r="V1512" s="49"/>
      <c r="W1512" s="49"/>
      <c r="X1512" s="49"/>
    </row>
    <row r="1513" spans="1:24" s="27" customFormat="1" x14ac:dyDescent="0.25">
      <c r="A1513" s="26"/>
      <c r="B1513" s="26"/>
      <c r="C1513" s="23"/>
      <c r="E1513" s="29"/>
      <c r="F1513" s="29"/>
      <c r="G1513" s="29"/>
      <c r="H1513" s="29"/>
      <c r="I1513" s="29"/>
      <c r="J1513" s="49"/>
      <c r="K1513" s="49"/>
      <c r="L1513" s="49"/>
      <c r="M1513" s="49"/>
      <c r="N1513" s="49"/>
      <c r="O1513" s="49"/>
      <c r="P1513" s="49"/>
      <c r="Q1513" s="49"/>
      <c r="R1513" s="49"/>
      <c r="S1513" s="49"/>
      <c r="T1513" s="49"/>
      <c r="U1513" s="49"/>
      <c r="V1513" s="49"/>
      <c r="W1513" s="49"/>
      <c r="X1513" s="49"/>
    </row>
    <row r="1514" spans="1:24" s="27" customFormat="1" x14ac:dyDescent="0.25">
      <c r="A1514" s="26"/>
      <c r="B1514" s="26"/>
      <c r="C1514" s="23"/>
      <c r="E1514" s="29"/>
      <c r="F1514" s="29"/>
      <c r="G1514" s="29"/>
      <c r="H1514" s="29"/>
      <c r="I1514" s="29"/>
      <c r="J1514" s="49"/>
      <c r="K1514" s="49"/>
      <c r="L1514" s="49"/>
      <c r="M1514" s="49"/>
      <c r="N1514" s="49"/>
      <c r="O1514" s="49"/>
      <c r="P1514" s="49"/>
      <c r="Q1514" s="49"/>
      <c r="R1514" s="49"/>
      <c r="S1514" s="49"/>
      <c r="T1514" s="49"/>
      <c r="U1514" s="49"/>
      <c r="V1514" s="49"/>
      <c r="W1514" s="49"/>
      <c r="X1514" s="49"/>
    </row>
    <row r="1515" spans="1:24" s="27" customFormat="1" x14ac:dyDescent="0.25">
      <c r="A1515" s="26"/>
      <c r="B1515" s="26"/>
      <c r="C1515" s="23"/>
      <c r="E1515" s="29"/>
      <c r="F1515" s="29"/>
      <c r="G1515" s="29"/>
      <c r="H1515" s="29"/>
      <c r="I1515" s="29"/>
      <c r="J1515" s="49"/>
      <c r="K1515" s="49"/>
      <c r="L1515" s="49"/>
      <c r="M1515" s="49"/>
      <c r="N1515" s="49"/>
      <c r="O1515" s="49"/>
      <c r="P1515" s="49"/>
      <c r="Q1515" s="49"/>
      <c r="R1515" s="49"/>
      <c r="S1515" s="49"/>
      <c r="T1515" s="49"/>
      <c r="U1515" s="49"/>
      <c r="V1515" s="49"/>
      <c r="W1515" s="49"/>
      <c r="X1515" s="49"/>
    </row>
    <row r="1516" spans="1:24" s="27" customFormat="1" x14ac:dyDescent="0.25">
      <c r="A1516" s="26"/>
      <c r="B1516" s="26"/>
      <c r="C1516" s="23"/>
      <c r="E1516" s="29"/>
      <c r="F1516" s="29"/>
      <c r="G1516" s="29"/>
      <c r="H1516" s="29"/>
      <c r="I1516" s="29"/>
      <c r="J1516" s="49"/>
      <c r="K1516" s="49"/>
      <c r="L1516" s="49"/>
      <c r="M1516" s="49"/>
      <c r="N1516" s="49"/>
      <c r="O1516" s="49"/>
      <c r="P1516" s="49"/>
      <c r="Q1516" s="49"/>
      <c r="R1516" s="49"/>
      <c r="S1516" s="49"/>
      <c r="T1516" s="49"/>
      <c r="U1516" s="49"/>
      <c r="V1516" s="49"/>
      <c r="W1516" s="49"/>
      <c r="X1516" s="49"/>
    </row>
    <row r="1517" spans="1:24" s="27" customFormat="1" x14ac:dyDescent="0.25">
      <c r="A1517" s="26"/>
      <c r="B1517" s="26"/>
      <c r="C1517" s="23"/>
      <c r="E1517" s="29"/>
      <c r="F1517" s="29"/>
      <c r="G1517" s="29"/>
      <c r="H1517" s="29"/>
      <c r="I1517" s="29"/>
      <c r="J1517" s="49"/>
      <c r="K1517" s="49"/>
      <c r="L1517" s="49"/>
      <c r="M1517" s="49"/>
      <c r="N1517" s="49"/>
      <c r="O1517" s="49"/>
      <c r="P1517" s="49"/>
      <c r="Q1517" s="49"/>
      <c r="R1517" s="49"/>
      <c r="S1517" s="49"/>
      <c r="T1517" s="49"/>
      <c r="U1517" s="49"/>
      <c r="V1517" s="49"/>
      <c r="W1517" s="49"/>
      <c r="X1517" s="49"/>
    </row>
    <row r="1518" spans="1:24" s="27" customFormat="1" x14ac:dyDescent="0.25">
      <c r="A1518" s="26"/>
      <c r="B1518" s="26"/>
      <c r="C1518" s="23"/>
      <c r="E1518" s="29"/>
      <c r="F1518" s="29"/>
      <c r="G1518" s="29"/>
      <c r="H1518" s="29"/>
      <c r="I1518" s="29"/>
      <c r="J1518" s="49"/>
      <c r="K1518" s="49"/>
      <c r="L1518" s="49"/>
      <c r="M1518" s="49"/>
      <c r="N1518" s="49"/>
      <c r="O1518" s="49"/>
      <c r="P1518" s="49"/>
      <c r="Q1518" s="49"/>
      <c r="R1518" s="49"/>
      <c r="S1518" s="49"/>
      <c r="T1518" s="49"/>
      <c r="U1518" s="49"/>
      <c r="V1518" s="49"/>
      <c r="W1518" s="49"/>
      <c r="X1518" s="49"/>
    </row>
    <row r="1519" spans="1:24" s="27" customFormat="1" x14ac:dyDescent="0.25">
      <c r="A1519" s="26"/>
      <c r="B1519" s="26"/>
      <c r="C1519" s="23"/>
      <c r="E1519" s="29"/>
      <c r="F1519" s="29"/>
      <c r="G1519" s="29"/>
      <c r="H1519" s="29"/>
      <c r="I1519" s="29"/>
      <c r="J1519" s="49"/>
      <c r="K1519" s="49"/>
      <c r="L1519" s="49"/>
      <c r="M1519" s="49"/>
      <c r="N1519" s="49"/>
      <c r="O1519" s="49"/>
      <c r="P1519" s="49"/>
      <c r="Q1519" s="49"/>
      <c r="R1519" s="49"/>
      <c r="S1519" s="49"/>
      <c r="T1519" s="49"/>
      <c r="U1519" s="49"/>
      <c r="V1519" s="49"/>
      <c r="W1519" s="49"/>
      <c r="X1519" s="49"/>
    </row>
    <row r="1520" spans="1:24" s="27" customFormat="1" x14ac:dyDescent="0.25">
      <c r="A1520" s="26"/>
      <c r="B1520" s="26"/>
      <c r="C1520" s="23"/>
      <c r="E1520" s="29"/>
      <c r="F1520" s="29"/>
      <c r="G1520" s="29"/>
      <c r="H1520" s="29"/>
      <c r="I1520" s="29"/>
      <c r="J1520" s="49"/>
      <c r="K1520" s="49"/>
      <c r="L1520" s="49"/>
      <c r="M1520" s="49"/>
      <c r="N1520" s="49"/>
      <c r="O1520" s="49"/>
      <c r="P1520" s="49"/>
      <c r="Q1520" s="49"/>
      <c r="R1520" s="49"/>
      <c r="S1520" s="49"/>
      <c r="T1520" s="49"/>
      <c r="U1520" s="49"/>
      <c r="V1520" s="49"/>
      <c r="W1520" s="49"/>
      <c r="X1520" s="49"/>
    </row>
    <row r="1521" spans="1:24" s="27" customFormat="1" x14ac:dyDescent="0.25">
      <c r="A1521" s="26"/>
      <c r="B1521" s="26"/>
      <c r="C1521" s="23"/>
      <c r="E1521" s="29"/>
      <c r="F1521" s="29"/>
      <c r="G1521" s="29"/>
      <c r="H1521" s="29"/>
      <c r="I1521" s="29"/>
      <c r="J1521" s="49"/>
      <c r="K1521" s="49"/>
      <c r="L1521" s="49"/>
      <c r="M1521" s="49"/>
      <c r="N1521" s="49"/>
      <c r="O1521" s="49"/>
      <c r="P1521" s="49"/>
      <c r="Q1521" s="49"/>
      <c r="R1521" s="49"/>
      <c r="S1521" s="49"/>
      <c r="T1521" s="49"/>
      <c r="U1521" s="49"/>
      <c r="V1521" s="49"/>
      <c r="W1521" s="49"/>
      <c r="X1521" s="49"/>
    </row>
    <row r="1522" spans="1:24" s="27" customFormat="1" x14ac:dyDescent="0.25">
      <c r="A1522" s="26"/>
      <c r="B1522" s="26"/>
      <c r="C1522" s="23"/>
      <c r="E1522" s="29"/>
      <c r="F1522" s="29"/>
      <c r="G1522" s="29"/>
      <c r="H1522" s="29"/>
      <c r="I1522" s="29"/>
      <c r="J1522" s="49"/>
      <c r="K1522" s="49"/>
      <c r="L1522" s="49"/>
      <c r="M1522" s="49"/>
      <c r="N1522" s="49"/>
      <c r="O1522" s="49"/>
      <c r="P1522" s="49"/>
      <c r="Q1522" s="49"/>
      <c r="R1522" s="49"/>
      <c r="S1522" s="49"/>
      <c r="T1522" s="49"/>
      <c r="U1522" s="49"/>
      <c r="V1522" s="49"/>
      <c r="W1522" s="49"/>
      <c r="X1522" s="49"/>
    </row>
    <row r="1523" spans="1:24" s="27" customFormat="1" x14ac:dyDescent="0.25">
      <c r="A1523" s="26"/>
      <c r="B1523" s="26"/>
      <c r="C1523" s="23"/>
      <c r="E1523" s="29"/>
      <c r="F1523" s="29"/>
      <c r="G1523" s="29"/>
      <c r="H1523" s="29"/>
      <c r="I1523" s="29"/>
      <c r="J1523" s="49"/>
      <c r="K1523" s="49"/>
      <c r="L1523" s="49"/>
      <c r="M1523" s="49"/>
      <c r="N1523" s="49"/>
      <c r="O1523" s="49"/>
      <c r="P1523" s="49"/>
      <c r="Q1523" s="49"/>
      <c r="R1523" s="49"/>
      <c r="S1523" s="49"/>
      <c r="T1523" s="49"/>
      <c r="U1523" s="49"/>
      <c r="V1523" s="49"/>
      <c r="W1523" s="49"/>
      <c r="X1523" s="49"/>
    </row>
    <row r="1524" spans="1:24" s="27" customFormat="1" x14ac:dyDescent="0.25">
      <c r="A1524" s="26"/>
      <c r="B1524" s="26"/>
      <c r="C1524" s="23"/>
      <c r="E1524" s="29"/>
      <c r="F1524" s="29"/>
      <c r="G1524" s="29"/>
      <c r="H1524" s="29"/>
      <c r="I1524" s="29"/>
      <c r="J1524" s="49"/>
      <c r="K1524" s="49"/>
      <c r="L1524" s="49"/>
      <c r="M1524" s="49"/>
      <c r="N1524" s="49"/>
      <c r="O1524" s="49"/>
      <c r="P1524" s="49"/>
      <c r="Q1524" s="49"/>
      <c r="R1524" s="49"/>
      <c r="S1524" s="49"/>
      <c r="T1524" s="49"/>
      <c r="U1524" s="49"/>
      <c r="V1524" s="49"/>
      <c r="W1524" s="49"/>
      <c r="X1524" s="49"/>
    </row>
    <row r="1525" spans="1:24" s="27" customFormat="1" x14ac:dyDescent="0.25">
      <c r="A1525" s="26"/>
      <c r="B1525" s="26"/>
      <c r="C1525" s="23"/>
      <c r="E1525" s="29"/>
      <c r="F1525" s="50"/>
      <c r="G1525" s="29"/>
      <c r="H1525" s="29"/>
      <c r="I1525" s="29"/>
      <c r="J1525" s="49"/>
      <c r="K1525" s="49"/>
      <c r="L1525" s="49"/>
      <c r="M1525" s="49"/>
      <c r="N1525" s="49"/>
      <c r="O1525" s="49"/>
      <c r="P1525" s="49"/>
      <c r="Q1525" s="49"/>
      <c r="R1525" s="49"/>
      <c r="S1525" s="49"/>
      <c r="T1525" s="49"/>
      <c r="U1525" s="49"/>
      <c r="V1525" s="49"/>
      <c r="W1525" s="49"/>
      <c r="X1525" s="49"/>
    </row>
    <row r="1526" spans="1:24" s="27" customFormat="1" x14ac:dyDescent="0.25">
      <c r="A1526" s="26"/>
      <c r="B1526" s="26"/>
      <c r="C1526" s="23"/>
      <c r="E1526" s="29"/>
      <c r="F1526" s="29"/>
      <c r="G1526" s="29"/>
      <c r="H1526" s="29"/>
      <c r="I1526" s="29"/>
      <c r="J1526" s="49"/>
      <c r="K1526" s="49"/>
      <c r="L1526" s="49"/>
      <c r="M1526" s="49"/>
      <c r="N1526" s="49"/>
      <c r="O1526" s="49"/>
      <c r="P1526" s="49"/>
      <c r="Q1526" s="49"/>
      <c r="R1526" s="49"/>
      <c r="S1526" s="49"/>
      <c r="T1526" s="49"/>
      <c r="U1526" s="49"/>
      <c r="V1526" s="49"/>
      <c r="W1526" s="49"/>
      <c r="X1526" s="49"/>
    </row>
    <row r="1527" spans="1:24" s="27" customFormat="1" x14ac:dyDescent="0.25">
      <c r="A1527" s="26"/>
      <c r="B1527" s="26"/>
      <c r="C1527" s="23"/>
      <c r="E1527" s="29"/>
      <c r="F1527" s="29"/>
      <c r="G1527" s="29"/>
      <c r="H1527" s="29"/>
      <c r="I1527" s="29"/>
      <c r="J1527" s="49"/>
      <c r="K1527" s="49"/>
      <c r="L1527" s="49"/>
      <c r="M1527" s="49"/>
      <c r="N1527" s="49"/>
      <c r="O1527" s="49"/>
      <c r="P1527" s="49"/>
      <c r="Q1527" s="49"/>
      <c r="R1527" s="49"/>
      <c r="S1527" s="49"/>
      <c r="T1527" s="49"/>
      <c r="U1527" s="49"/>
      <c r="V1527" s="49"/>
      <c r="W1527" s="49"/>
      <c r="X1527" s="49"/>
    </row>
    <row r="1528" spans="1:24" s="27" customFormat="1" x14ac:dyDescent="0.25">
      <c r="A1528" s="26"/>
      <c r="B1528" s="26"/>
      <c r="C1528" s="23"/>
      <c r="E1528" s="29"/>
      <c r="F1528" s="29"/>
      <c r="G1528" s="29"/>
      <c r="H1528" s="29"/>
      <c r="I1528" s="29"/>
      <c r="J1528" s="49"/>
      <c r="K1528" s="49"/>
      <c r="L1528" s="49"/>
      <c r="M1528" s="49"/>
      <c r="N1528" s="49"/>
      <c r="O1528" s="49"/>
      <c r="P1528" s="49"/>
      <c r="Q1528" s="49"/>
      <c r="R1528" s="49"/>
      <c r="S1528" s="49"/>
      <c r="T1528" s="49"/>
      <c r="U1528" s="49"/>
      <c r="V1528" s="49"/>
      <c r="W1528" s="49"/>
      <c r="X1528" s="49"/>
    </row>
    <row r="1529" spans="1:24" s="27" customFormat="1" x14ac:dyDescent="0.25">
      <c r="A1529" s="26"/>
      <c r="B1529" s="26"/>
      <c r="C1529" s="23"/>
      <c r="E1529" s="29"/>
      <c r="F1529" s="29"/>
      <c r="G1529" s="29"/>
      <c r="H1529" s="29"/>
      <c r="I1529" s="29"/>
      <c r="J1529" s="49"/>
      <c r="K1529" s="49"/>
      <c r="L1529" s="49"/>
      <c r="M1529" s="49"/>
      <c r="N1529" s="49"/>
      <c r="O1529" s="49"/>
      <c r="P1529" s="49"/>
      <c r="Q1529" s="49"/>
      <c r="R1529" s="49"/>
      <c r="S1529" s="49"/>
      <c r="T1529" s="49"/>
      <c r="U1529" s="49"/>
      <c r="V1529" s="49"/>
      <c r="W1529" s="49"/>
      <c r="X1529" s="49"/>
    </row>
    <row r="1530" spans="1:24" s="27" customFormat="1" x14ac:dyDescent="0.25">
      <c r="A1530" s="26"/>
      <c r="B1530" s="26"/>
      <c r="C1530" s="23"/>
      <c r="E1530" s="29"/>
      <c r="F1530" s="29"/>
      <c r="G1530" s="29"/>
      <c r="H1530" s="29"/>
      <c r="I1530" s="29"/>
      <c r="J1530" s="49"/>
      <c r="K1530" s="49"/>
      <c r="L1530" s="49"/>
      <c r="M1530" s="49"/>
      <c r="N1530" s="49"/>
      <c r="O1530" s="49"/>
      <c r="P1530" s="49"/>
      <c r="Q1530" s="49"/>
      <c r="R1530" s="49"/>
      <c r="S1530" s="49"/>
      <c r="T1530" s="49"/>
      <c r="U1530" s="49"/>
      <c r="V1530" s="49"/>
      <c r="W1530" s="49"/>
      <c r="X1530" s="49"/>
    </row>
    <row r="1531" spans="1:24" s="27" customFormat="1" x14ac:dyDescent="0.25">
      <c r="A1531" s="26"/>
      <c r="B1531" s="26"/>
      <c r="C1531" s="23"/>
      <c r="E1531" s="29"/>
      <c r="F1531" s="29"/>
      <c r="G1531" s="29"/>
      <c r="H1531" s="29"/>
      <c r="I1531" s="29"/>
      <c r="J1531" s="49"/>
      <c r="K1531" s="49"/>
      <c r="L1531" s="49"/>
      <c r="M1531" s="49"/>
      <c r="N1531" s="49"/>
      <c r="O1531" s="49"/>
      <c r="P1531" s="49"/>
      <c r="Q1531" s="49"/>
      <c r="R1531" s="49"/>
      <c r="S1531" s="49"/>
      <c r="T1531" s="49"/>
      <c r="U1531" s="49"/>
      <c r="V1531" s="49"/>
      <c r="W1531" s="49"/>
      <c r="X1531" s="49"/>
    </row>
    <row r="1532" spans="1:24" s="27" customFormat="1" x14ac:dyDescent="0.25">
      <c r="A1532" s="26"/>
      <c r="B1532" s="26"/>
      <c r="C1532" s="23"/>
      <c r="E1532" s="29"/>
      <c r="F1532" s="29"/>
      <c r="G1532" s="29"/>
      <c r="H1532" s="29"/>
      <c r="I1532" s="29"/>
      <c r="J1532" s="49"/>
      <c r="K1532" s="49"/>
      <c r="L1532" s="49"/>
      <c r="M1532" s="49"/>
      <c r="N1532" s="49"/>
      <c r="O1532" s="49"/>
      <c r="P1532" s="49"/>
      <c r="Q1532" s="49"/>
      <c r="R1532" s="49"/>
      <c r="S1532" s="49"/>
      <c r="T1532" s="49"/>
      <c r="U1532" s="49"/>
      <c r="V1532" s="49"/>
      <c r="W1532" s="49"/>
      <c r="X1532" s="49"/>
    </row>
    <row r="1533" spans="1:24" s="27" customFormat="1" x14ac:dyDescent="0.25">
      <c r="A1533" s="26"/>
      <c r="B1533" s="26"/>
      <c r="C1533" s="23"/>
      <c r="E1533" s="29"/>
      <c r="F1533" s="29"/>
      <c r="G1533" s="29"/>
      <c r="H1533" s="29"/>
      <c r="I1533" s="29"/>
      <c r="J1533" s="49"/>
      <c r="K1533" s="49"/>
      <c r="L1533" s="49"/>
      <c r="M1533" s="49"/>
      <c r="N1533" s="49"/>
      <c r="O1533" s="49"/>
      <c r="P1533" s="49"/>
      <c r="Q1533" s="49"/>
      <c r="R1533" s="49"/>
      <c r="S1533" s="49"/>
      <c r="T1533" s="49"/>
      <c r="U1533" s="49"/>
      <c r="V1533" s="49"/>
      <c r="W1533" s="49"/>
      <c r="X1533" s="49"/>
    </row>
    <row r="1534" spans="1:24" s="27" customFormat="1" x14ac:dyDescent="0.25">
      <c r="A1534" s="26"/>
      <c r="B1534" s="26"/>
      <c r="C1534" s="23"/>
      <c r="E1534" s="29"/>
      <c r="F1534" s="29"/>
      <c r="G1534" s="29"/>
      <c r="H1534" s="29"/>
      <c r="I1534" s="29"/>
      <c r="J1534" s="49"/>
      <c r="K1534" s="49"/>
      <c r="L1534" s="49"/>
      <c r="M1534" s="49"/>
      <c r="N1534" s="49"/>
      <c r="O1534" s="49"/>
      <c r="P1534" s="49"/>
      <c r="Q1534" s="49"/>
      <c r="R1534" s="49"/>
      <c r="S1534" s="49"/>
      <c r="T1534" s="49"/>
      <c r="U1534" s="49"/>
      <c r="V1534" s="49"/>
      <c r="W1534" s="49"/>
      <c r="X1534" s="49"/>
    </row>
    <row r="1535" spans="1:24" s="27" customFormat="1" x14ac:dyDescent="0.25">
      <c r="A1535" s="26"/>
      <c r="B1535" s="26"/>
      <c r="C1535" s="23"/>
      <c r="E1535" s="29"/>
      <c r="F1535" s="29"/>
      <c r="G1535" s="29"/>
      <c r="H1535" s="29"/>
      <c r="I1535" s="29"/>
      <c r="J1535" s="49"/>
      <c r="K1535" s="49"/>
      <c r="L1535" s="49"/>
      <c r="M1535" s="49"/>
      <c r="N1535" s="49"/>
      <c r="O1535" s="49"/>
      <c r="P1535" s="49"/>
      <c r="Q1535" s="49"/>
      <c r="R1535" s="49"/>
      <c r="S1535" s="49"/>
      <c r="T1535" s="49"/>
      <c r="U1535" s="49"/>
      <c r="V1535" s="49"/>
      <c r="W1535" s="49"/>
      <c r="X1535" s="49"/>
    </row>
    <row r="1536" spans="1:24" s="27" customFormat="1" x14ac:dyDescent="0.25">
      <c r="A1536" s="26"/>
      <c r="B1536" s="26"/>
      <c r="C1536" s="23"/>
      <c r="E1536" s="29"/>
      <c r="F1536" s="29"/>
      <c r="G1536" s="29"/>
      <c r="H1536" s="29"/>
      <c r="I1536" s="29"/>
      <c r="J1536" s="49"/>
      <c r="K1536" s="49"/>
      <c r="L1536" s="49"/>
      <c r="M1536" s="49"/>
      <c r="N1536" s="49"/>
      <c r="O1536" s="49"/>
      <c r="P1536" s="49"/>
      <c r="Q1536" s="49"/>
      <c r="R1536" s="49"/>
      <c r="S1536" s="49"/>
      <c r="T1536" s="49"/>
      <c r="U1536" s="49"/>
      <c r="V1536" s="49"/>
      <c r="W1536" s="49"/>
      <c r="X1536" s="49"/>
    </row>
    <row r="1537" spans="1:24" s="27" customFormat="1" x14ac:dyDescent="0.25">
      <c r="A1537" s="26"/>
      <c r="B1537" s="26"/>
      <c r="C1537" s="23"/>
      <c r="E1537" s="29"/>
      <c r="F1537" s="29"/>
      <c r="G1537" s="29"/>
      <c r="H1537" s="29"/>
      <c r="I1537" s="29"/>
      <c r="J1537" s="49"/>
      <c r="K1537" s="49"/>
      <c r="L1537" s="49"/>
      <c r="M1537" s="49"/>
      <c r="N1537" s="49"/>
      <c r="O1537" s="49"/>
      <c r="P1537" s="49"/>
      <c r="Q1537" s="49"/>
      <c r="R1537" s="49"/>
      <c r="S1537" s="49"/>
      <c r="T1537" s="49"/>
      <c r="U1537" s="49"/>
      <c r="V1537" s="49"/>
      <c r="W1537" s="49"/>
      <c r="X1537" s="49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1537"/>
  <sheetViews>
    <sheetView zoomScale="60" zoomScaleNormal="60" workbookViewId="0">
      <selection activeCell="E3" sqref="E3"/>
    </sheetView>
  </sheetViews>
  <sheetFormatPr defaultRowHeight="15" x14ac:dyDescent="0.25"/>
  <cols>
    <col min="1" max="1" width="13.5703125" style="20" customWidth="1"/>
    <col min="2" max="2" width="27" style="20" bestFit="1" customWidth="1"/>
    <col min="3" max="3" width="16.28515625" style="20" customWidth="1"/>
    <col min="4" max="4" width="101.85546875" style="98" customWidth="1"/>
    <col min="5" max="5" width="109.85546875" style="15" bestFit="1" customWidth="1"/>
    <col min="6" max="84" width="24.5703125" style="14" customWidth="1"/>
    <col min="85" max="116" width="17.5703125" style="4" bestFit="1" customWidth="1"/>
    <col min="117" max="124" width="9.140625" style="15"/>
    <col min="125" max="16384" width="9.140625" style="14"/>
  </cols>
  <sheetData>
    <row r="1" spans="1:116" s="52" customFormat="1" ht="60" customHeight="1" thickBot="1" x14ac:dyDescent="0.3">
      <c r="A1" s="62" t="s">
        <v>0</v>
      </c>
      <c r="B1" s="62" t="s">
        <v>1962</v>
      </c>
      <c r="C1" s="62" t="s">
        <v>1</v>
      </c>
      <c r="D1" s="99" t="s">
        <v>470</v>
      </c>
      <c r="E1" s="63" t="s">
        <v>2092</v>
      </c>
      <c r="F1" s="62" t="s">
        <v>3</v>
      </c>
      <c r="G1" s="62" t="s">
        <v>4</v>
      </c>
      <c r="H1" s="62" t="s">
        <v>5</v>
      </c>
      <c r="I1" s="62" t="s">
        <v>6</v>
      </c>
      <c r="J1" s="62" t="s">
        <v>7</v>
      </c>
      <c r="K1" s="62" t="s">
        <v>8</v>
      </c>
      <c r="L1" s="62" t="s">
        <v>9</v>
      </c>
      <c r="M1" s="62" t="s">
        <v>10</v>
      </c>
      <c r="N1" s="62" t="s">
        <v>11</v>
      </c>
      <c r="O1" s="62" t="s">
        <v>12</v>
      </c>
      <c r="P1" s="62" t="s">
        <v>13</v>
      </c>
      <c r="Q1" s="62" t="s">
        <v>14</v>
      </c>
      <c r="R1" s="62" t="s">
        <v>15</v>
      </c>
      <c r="S1" s="62" t="s">
        <v>16</v>
      </c>
      <c r="T1" s="62" t="s">
        <v>17</v>
      </c>
      <c r="U1" s="62" t="s">
        <v>18</v>
      </c>
      <c r="V1" s="62" t="s">
        <v>19</v>
      </c>
      <c r="W1" s="62" t="s">
        <v>2093</v>
      </c>
      <c r="X1" s="62" t="s">
        <v>20</v>
      </c>
      <c r="Y1" s="62" t="s">
        <v>21</v>
      </c>
      <c r="Z1" s="62" t="s">
        <v>22</v>
      </c>
      <c r="AA1" s="62" t="s">
        <v>23</v>
      </c>
      <c r="AB1" s="62" t="s">
        <v>24</v>
      </c>
      <c r="AC1" s="62" t="s">
        <v>25</v>
      </c>
      <c r="AD1" s="62" t="s">
        <v>26</v>
      </c>
      <c r="AE1" s="62" t="s">
        <v>27</v>
      </c>
      <c r="AF1" s="62" t="s">
        <v>28</v>
      </c>
      <c r="AG1" s="62" t="s">
        <v>29</v>
      </c>
      <c r="AH1" s="62" t="s">
        <v>30</v>
      </c>
      <c r="AI1" s="62" t="s">
        <v>31</v>
      </c>
      <c r="AJ1" s="62" t="s">
        <v>32</v>
      </c>
      <c r="AK1" s="62" t="s">
        <v>33</v>
      </c>
      <c r="AL1" s="62" t="s">
        <v>34</v>
      </c>
      <c r="AM1" s="62" t="s">
        <v>35</v>
      </c>
      <c r="AN1" s="62" t="s">
        <v>36</v>
      </c>
      <c r="AO1" s="62" t="s">
        <v>37</v>
      </c>
      <c r="AP1" s="62" t="s">
        <v>38</v>
      </c>
      <c r="AQ1" s="62" t="s">
        <v>39</v>
      </c>
      <c r="AR1" s="62" t="s">
        <v>40</v>
      </c>
      <c r="AS1" s="62" t="s">
        <v>41</v>
      </c>
      <c r="AT1" s="62" t="s">
        <v>42</v>
      </c>
      <c r="AU1" s="62" t="s">
        <v>43</v>
      </c>
      <c r="AV1" s="62" t="s">
        <v>44</v>
      </c>
      <c r="AW1" s="62" t="s">
        <v>45</v>
      </c>
      <c r="AX1" s="62" t="s">
        <v>46</v>
      </c>
      <c r="AY1" s="62" t="s">
        <v>47</v>
      </c>
      <c r="AZ1" s="62" t="s">
        <v>48</v>
      </c>
      <c r="BA1" s="62" t="s">
        <v>49</v>
      </c>
      <c r="BB1" s="62" t="s">
        <v>50</v>
      </c>
      <c r="BC1" s="62" t="s">
        <v>51</v>
      </c>
      <c r="BD1" s="62" t="s">
        <v>52</v>
      </c>
      <c r="BE1" s="62" t="s">
        <v>53</v>
      </c>
      <c r="BF1" s="62" t="s">
        <v>54</v>
      </c>
      <c r="BG1" s="62" t="s">
        <v>55</v>
      </c>
      <c r="BH1" s="62" t="s">
        <v>56</v>
      </c>
      <c r="BI1" s="62" t="s">
        <v>57</v>
      </c>
      <c r="BJ1" s="62" t="s">
        <v>2067</v>
      </c>
      <c r="BK1" s="62" t="s">
        <v>58</v>
      </c>
      <c r="BL1" s="62" t="s">
        <v>59</v>
      </c>
      <c r="BM1" s="62" t="s">
        <v>60</v>
      </c>
      <c r="BN1" s="62" t="s">
        <v>61</v>
      </c>
      <c r="BO1" s="62" t="s">
        <v>62</v>
      </c>
      <c r="BP1" s="62" t="s">
        <v>63</v>
      </c>
      <c r="BQ1" s="62" t="s">
        <v>64</v>
      </c>
      <c r="BR1" s="62" t="s">
        <v>65</v>
      </c>
      <c r="BS1" s="62" t="s">
        <v>66</v>
      </c>
      <c r="BT1" s="62" t="s">
        <v>67</v>
      </c>
      <c r="BU1" s="62" t="s">
        <v>68</v>
      </c>
      <c r="BV1" s="62" t="s">
        <v>69</v>
      </c>
      <c r="BW1" s="62" t="s">
        <v>2094</v>
      </c>
      <c r="BX1" s="62" t="s">
        <v>2095</v>
      </c>
      <c r="BY1" s="62" t="s">
        <v>2096</v>
      </c>
      <c r="BZ1" s="62" t="s">
        <v>2097</v>
      </c>
      <c r="CA1" s="62" t="s">
        <v>2098</v>
      </c>
      <c r="CB1" s="62" t="s">
        <v>2099</v>
      </c>
      <c r="CC1" s="62" t="s">
        <v>71</v>
      </c>
      <c r="CD1" s="62" t="s">
        <v>72</v>
      </c>
      <c r="CE1" s="62" t="s">
        <v>73</v>
      </c>
      <c r="CF1" s="62" t="s">
        <v>74</v>
      </c>
      <c r="CG1" s="64" t="s">
        <v>2100</v>
      </c>
      <c r="CH1" s="64" t="s">
        <v>2101</v>
      </c>
      <c r="CI1" s="64" t="s">
        <v>2102</v>
      </c>
      <c r="CJ1" s="64" t="s">
        <v>2103</v>
      </c>
      <c r="CK1" s="65" t="s">
        <v>77</v>
      </c>
      <c r="CL1" s="64" t="s">
        <v>78</v>
      </c>
      <c r="CM1" s="64" t="s">
        <v>79</v>
      </c>
      <c r="CN1" s="64" t="s">
        <v>2104</v>
      </c>
      <c r="CO1" s="64" t="s">
        <v>2105</v>
      </c>
      <c r="CP1" s="64" t="s">
        <v>2106</v>
      </c>
      <c r="CQ1" s="64" t="s">
        <v>2107</v>
      </c>
      <c r="CR1" s="64" t="s">
        <v>2108</v>
      </c>
      <c r="CS1" s="65" t="s">
        <v>83</v>
      </c>
      <c r="CT1" s="64" t="s">
        <v>84</v>
      </c>
      <c r="CU1" s="64" t="s">
        <v>85</v>
      </c>
      <c r="CV1" s="64" t="s">
        <v>2109</v>
      </c>
      <c r="CW1" s="64" t="s">
        <v>2110</v>
      </c>
      <c r="CX1" s="64" t="s">
        <v>2111</v>
      </c>
      <c r="CY1" s="64" t="s">
        <v>2112</v>
      </c>
      <c r="CZ1" s="64" t="s">
        <v>2113</v>
      </c>
      <c r="DA1" s="65" t="s">
        <v>2114</v>
      </c>
      <c r="DB1" s="64" t="s">
        <v>75</v>
      </c>
      <c r="DC1" s="64" t="s">
        <v>76</v>
      </c>
      <c r="DD1" s="64" t="s">
        <v>2115</v>
      </c>
      <c r="DE1" s="64" t="s">
        <v>2116</v>
      </c>
      <c r="DF1" s="64" t="s">
        <v>2117</v>
      </c>
      <c r="DG1" s="64" t="s">
        <v>2118</v>
      </c>
      <c r="DH1" s="64" t="s">
        <v>2119</v>
      </c>
      <c r="DI1" s="65" t="s">
        <v>80</v>
      </c>
      <c r="DJ1" s="64" t="s">
        <v>81</v>
      </c>
      <c r="DK1" s="64" t="s">
        <v>82</v>
      </c>
      <c r="DL1" s="64" t="s">
        <v>2120</v>
      </c>
    </row>
    <row r="2" spans="1:116" s="15" customFormat="1" ht="120.2" customHeight="1" x14ac:dyDescent="0.25">
      <c r="A2" s="117" t="s">
        <v>86</v>
      </c>
      <c r="B2" s="117" t="s">
        <v>2121</v>
      </c>
      <c r="C2" s="117" t="s">
        <v>87</v>
      </c>
      <c r="D2" s="118" t="str">
        <f>"Chemistry 335"</f>
        <v>Chemistry 335</v>
      </c>
      <c r="E2" s="119" t="s">
        <v>2122</v>
      </c>
      <c r="F2" s="117">
        <v>5</v>
      </c>
      <c r="G2" s="117">
        <v>0</v>
      </c>
      <c r="H2" s="117">
        <v>0</v>
      </c>
      <c r="I2" s="117">
        <v>7</v>
      </c>
      <c r="J2" s="117">
        <v>2</v>
      </c>
      <c r="K2" s="117">
        <v>1</v>
      </c>
      <c r="L2" s="117">
        <v>1</v>
      </c>
      <c r="M2" s="117">
        <v>1</v>
      </c>
      <c r="N2" s="117">
        <v>1</v>
      </c>
      <c r="O2" s="117">
        <v>0</v>
      </c>
      <c r="P2" s="117">
        <v>1.59</v>
      </c>
      <c r="Q2" s="117">
        <v>12.89</v>
      </c>
      <c r="R2" s="117">
        <v>0</v>
      </c>
      <c r="S2" s="117">
        <v>0</v>
      </c>
      <c r="T2" s="117">
        <v>0</v>
      </c>
      <c r="U2" s="117">
        <v>1</v>
      </c>
      <c r="V2" s="117">
        <v>0</v>
      </c>
      <c r="W2" s="117">
        <v>0</v>
      </c>
      <c r="X2" s="117">
        <v>1</v>
      </c>
      <c r="Y2" s="117">
        <v>0</v>
      </c>
      <c r="Z2" s="117">
        <v>0</v>
      </c>
      <c r="AA2" s="117">
        <v>1</v>
      </c>
      <c r="AB2" s="117">
        <v>0</v>
      </c>
      <c r="AC2" s="117">
        <v>1</v>
      </c>
      <c r="AD2" s="117">
        <v>0</v>
      </c>
      <c r="AE2" s="117">
        <v>1</v>
      </c>
      <c r="AF2" s="117">
        <v>0</v>
      </c>
      <c r="AG2" s="117">
        <v>0</v>
      </c>
      <c r="AH2" s="117">
        <v>1</v>
      </c>
      <c r="AI2" s="117">
        <v>0</v>
      </c>
      <c r="AJ2" s="117">
        <v>0</v>
      </c>
      <c r="AK2" s="117">
        <v>0</v>
      </c>
      <c r="AL2" s="117">
        <v>0</v>
      </c>
      <c r="AM2" s="117">
        <v>0</v>
      </c>
      <c r="AN2" s="117">
        <v>0</v>
      </c>
      <c r="AO2" s="117">
        <v>1</v>
      </c>
      <c r="AP2" s="117">
        <v>0</v>
      </c>
      <c r="AQ2" s="117">
        <v>0</v>
      </c>
      <c r="AR2" s="117">
        <v>0</v>
      </c>
      <c r="AS2" s="117">
        <v>0</v>
      </c>
      <c r="AT2" s="117">
        <v>0</v>
      </c>
      <c r="AU2" s="117">
        <v>0</v>
      </c>
      <c r="AV2" s="117">
        <v>0</v>
      </c>
      <c r="AW2" s="117">
        <v>0</v>
      </c>
      <c r="AX2" s="117">
        <v>0</v>
      </c>
      <c r="AY2" s="117">
        <v>0</v>
      </c>
      <c r="AZ2" s="117">
        <v>0</v>
      </c>
      <c r="BA2" s="117">
        <v>0</v>
      </c>
      <c r="BB2" s="117">
        <v>0</v>
      </c>
      <c r="BC2" s="117">
        <v>0</v>
      </c>
      <c r="BD2" s="117">
        <v>0</v>
      </c>
      <c r="BE2" s="117">
        <v>0</v>
      </c>
      <c r="BF2" s="117">
        <v>0</v>
      </c>
      <c r="BG2" s="117">
        <v>0</v>
      </c>
      <c r="BH2" s="117">
        <v>0</v>
      </c>
      <c r="BI2" s="117">
        <v>0</v>
      </c>
      <c r="BJ2" s="117">
        <v>0</v>
      </c>
      <c r="BK2" s="117">
        <v>0</v>
      </c>
      <c r="BL2" s="117">
        <v>0</v>
      </c>
      <c r="BM2" s="117">
        <v>0</v>
      </c>
      <c r="BN2" s="117">
        <v>0</v>
      </c>
      <c r="BO2" s="117">
        <v>1</v>
      </c>
      <c r="BP2" s="117">
        <v>0</v>
      </c>
      <c r="BQ2" s="117">
        <v>0</v>
      </c>
      <c r="BR2" s="117">
        <v>0</v>
      </c>
      <c r="BS2" s="117">
        <v>0</v>
      </c>
      <c r="BT2" s="117">
        <v>0</v>
      </c>
      <c r="BU2" s="117">
        <v>0</v>
      </c>
      <c r="BV2" s="117">
        <v>0</v>
      </c>
      <c r="BW2" s="117">
        <v>0</v>
      </c>
      <c r="BX2" s="117">
        <v>0</v>
      </c>
      <c r="BY2" s="117">
        <v>0</v>
      </c>
      <c r="BZ2" s="117">
        <v>0</v>
      </c>
      <c r="CA2" s="117">
        <v>0</v>
      </c>
      <c r="CB2" s="117" t="s">
        <v>2090</v>
      </c>
      <c r="CC2" s="117">
        <v>0</v>
      </c>
      <c r="CD2" s="117">
        <v>0</v>
      </c>
      <c r="CE2" s="117">
        <v>0</v>
      </c>
      <c r="CF2" s="117">
        <v>0</v>
      </c>
      <c r="CG2" s="120">
        <v>224581.90038000001</v>
      </c>
      <c r="CH2" s="120">
        <v>36.57</v>
      </c>
      <c r="CI2" s="120">
        <v>3708143.6426499998</v>
      </c>
      <c r="CJ2" s="120">
        <v>33.020000000000003</v>
      </c>
      <c r="CK2" s="120">
        <f t="shared" ref="CK2:CK65" si="0">CJ2*CH2</f>
        <v>1207.5414000000001</v>
      </c>
      <c r="CL2" s="120">
        <v>346500.1</v>
      </c>
      <c r="CM2" s="120">
        <v>910741.6</v>
      </c>
      <c r="CN2" s="121">
        <v>0.38045928724459277</v>
      </c>
      <c r="CO2" s="120">
        <v>81210.413910000003</v>
      </c>
      <c r="CP2" s="120">
        <v>12.16</v>
      </c>
      <c r="CQ2" s="120">
        <v>1288791.22111</v>
      </c>
      <c r="CR2" s="120">
        <v>13.24</v>
      </c>
      <c r="CS2" s="120">
        <f t="shared" ref="CS2:CS65" si="1">CR2*CP2</f>
        <v>160.9984</v>
      </c>
      <c r="CT2" s="120">
        <v>142035</v>
      </c>
      <c r="CU2" s="120">
        <v>858334.9</v>
      </c>
      <c r="CV2" s="121">
        <v>0.16547736786655184</v>
      </c>
      <c r="CW2" s="120">
        <v>3857.6018800000002</v>
      </c>
      <c r="CX2" s="120">
        <v>1.86</v>
      </c>
      <c r="CY2" s="120">
        <v>295144.60923</v>
      </c>
      <c r="CZ2" s="120">
        <v>10.622154779969652</v>
      </c>
      <c r="DA2" s="120">
        <f t="shared" ref="DA2:DA65" si="2">CZ2*CX2</f>
        <v>19.757207890743555</v>
      </c>
      <c r="DB2" s="120">
        <v>285912.7</v>
      </c>
      <c r="DC2" s="120">
        <v>1034236</v>
      </c>
      <c r="DD2" s="121">
        <v>0.27644821878178677</v>
      </c>
      <c r="DE2" s="120">
        <v>17059.00979</v>
      </c>
      <c r="DF2" s="120">
        <v>2</v>
      </c>
      <c r="DG2" s="120">
        <v>1282602.56568</v>
      </c>
      <c r="DH2" s="120">
        <v>7.31</v>
      </c>
      <c r="DI2" s="120">
        <f t="shared" ref="DI2:DI65" si="3">DH2*DF2</f>
        <v>14.62</v>
      </c>
      <c r="DJ2" s="120">
        <v>17798.8</v>
      </c>
      <c r="DK2" s="120">
        <v>515354.6</v>
      </c>
      <c r="DL2" s="121">
        <v>3.4536996468062964E-2</v>
      </c>
    </row>
    <row r="3" spans="1:116" s="15" customFormat="1" ht="129.19999999999999" customHeight="1" x14ac:dyDescent="0.25">
      <c r="A3" s="100" t="s">
        <v>88</v>
      </c>
      <c r="B3" s="100" t="s">
        <v>2123</v>
      </c>
      <c r="C3" s="100" t="s">
        <v>87</v>
      </c>
      <c r="D3" s="101" t="str">
        <f>"Chemistry 379"</f>
        <v>Chemistry 379</v>
      </c>
      <c r="E3" s="102" t="s">
        <v>2124</v>
      </c>
      <c r="F3" s="100">
        <v>5</v>
      </c>
      <c r="G3" s="100">
        <v>0</v>
      </c>
      <c r="H3" s="100">
        <v>0</v>
      </c>
      <c r="I3" s="100">
        <v>7</v>
      </c>
      <c r="J3" s="100">
        <v>2</v>
      </c>
      <c r="K3" s="100">
        <v>1</v>
      </c>
      <c r="L3" s="100">
        <v>1</v>
      </c>
      <c r="M3" s="100">
        <v>1</v>
      </c>
      <c r="N3" s="100">
        <v>1</v>
      </c>
      <c r="O3" s="100">
        <v>0</v>
      </c>
      <c r="P3" s="100">
        <v>1.59</v>
      </c>
      <c r="Q3" s="100">
        <v>12.89</v>
      </c>
      <c r="R3" s="100">
        <v>0</v>
      </c>
      <c r="S3" s="100">
        <v>0</v>
      </c>
      <c r="T3" s="100">
        <v>0</v>
      </c>
      <c r="U3" s="100">
        <v>1</v>
      </c>
      <c r="V3" s="100">
        <v>0</v>
      </c>
      <c r="W3" s="100">
        <v>0</v>
      </c>
      <c r="X3" s="100">
        <v>1</v>
      </c>
      <c r="Y3" s="100">
        <v>0</v>
      </c>
      <c r="Z3" s="100">
        <v>0</v>
      </c>
      <c r="AA3" s="100">
        <v>1</v>
      </c>
      <c r="AB3" s="100">
        <v>0</v>
      </c>
      <c r="AC3" s="100">
        <v>1</v>
      </c>
      <c r="AD3" s="100">
        <v>0</v>
      </c>
      <c r="AE3" s="100">
        <v>1</v>
      </c>
      <c r="AF3" s="100">
        <v>0</v>
      </c>
      <c r="AG3" s="100">
        <v>0</v>
      </c>
      <c r="AH3" s="100">
        <v>1</v>
      </c>
      <c r="AI3" s="100">
        <v>0</v>
      </c>
      <c r="AJ3" s="100">
        <v>0</v>
      </c>
      <c r="AK3" s="100">
        <v>0</v>
      </c>
      <c r="AL3" s="100">
        <v>0</v>
      </c>
      <c r="AM3" s="100">
        <v>0</v>
      </c>
      <c r="AN3" s="100">
        <v>0</v>
      </c>
      <c r="AO3" s="100">
        <v>1</v>
      </c>
      <c r="AP3" s="100">
        <v>0</v>
      </c>
      <c r="AQ3" s="100">
        <v>0</v>
      </c>
      <c r="AR3" s="100">
        <v>0</v>
      </c>
      <c r="AS3" s="100">
        <v>0</v>
      </c>
      <c r="AT3" s="100">
        <v>0</v>
      </c>
      <c r="AU3" s="100">
        <v>0</v>
      </c>
      <c r="AV3" s="100">
        <v>0</v>
      </c>
      <c r="AW3" s="100">
        <v>0</v>
      </c>
      <c r="AX3" s="100">
        <v>0</v>
      </c>
      <c r="AY3" s="100">
        <v>0</v>
      </c>
      <c r="AZ3" s="100">
        <v>0</v>
      </c>
      <c r="BA3" s="100">
        <v>0</v>
      </c>
      <c r="BB3" s="100">
        <v>0</v>
      </c>
      <c r="BC3" s="100">
        <v>0</v>
      </c>
      <c r="BD3" s="100">
        <v>0</v>
      </c>
      <c r="BE3" s="100">
        <v>0</v>
      </c>
      <c r="BF3" s="100">
        <v>0</v>
      </c>
      <c r="BG3" s="100">
        <v>0</v>
      </c>
      <c r="BH3" s="100">
        <v>0</v>
      </c>
      <c r="BI3" s="100">
        <v>0</v>
      </c>
      <c r="BJ3" s="100">
        <v>0</v>
      </c>
      <c r="BK3" s="100">
        <v>0</v>
      </c>
      <c r="BL3" s="100">
        <v>0</v>
      </c>
      <c r="BM3" s="100">
        <v>0</v>
      </c>
      <c r="BN3" s="100">
        <v>0</v>
      </c>
      <c r="BO3" s="100">
        <v>0</v>
      </c>
      <c r="BP3" s="100">
        <v>1</v>
      </c>
      <c r="BQ3" s="100">
        <v>0</v>
      </c>
      <c r="BR3" s="100">
        <v>0</v>
      </c>
      <c r="BS3" s="100">
        <v>0</v>
      </c>
      <c r="BT3" s="100">
        <v>0</v>
      </c>
      <c r="BU3" s="100">
        <v>0</v>
      </c>
      <c r="BV3" s="100">
        <v>0</v>
      </c>
      <c r="BW3" s="100">
        <v>0</v>
      </c>
      <c r="BX3" s="100">
        <v>0</v>
      </c>
      <c r="BY3" s="100">
        <v>0</v>
      </c>
      <c r="BZ3" s="100">
        <v>0</v>
      </c>
      <c r="CA3" s="100">
        <v>0</v>
      </c>
      <c r="CB3" s="100" t="s">
        <v>2090</v>
      </c>
      <c r="CC3" s="100">
        <v>0</v>
      </c>
      <c r="CD3" s="100">
        <v>0</v>
      </c>
      <c r="CE3" s="100">
        <v>0</v>
      </c>
      <c r="CF3" s="100">
        <v>0</v>
      </c>
      <c r="CG3" s="103">
        <v>212025.54882</v>
      </c>
      <c r="CH3" s="103">
        <v>36.82</v>
      </c>
      <c r="CI3" s="103">
        <v>3638314.00868</v>
      </c>
      <c r="CJ3" s="103">
        <v>44.81</v>
      </c>
      <c r="CK3" s="103">
        <f t="shared" si="0"/>
        <v>1649.9042000000002</v>
      </c>
      <c r="CL3" s="103">
        <v>182610.5</v>
      </c>
      <c r="CM3" s="103">
        <v>320089.40000000002</v>
      </c>
      <c r="CN3" s="104">
        <v>0.57049842950125806</v>
      </c>
      <c r="CO3" s="103">
        <v>228279.24377999999</v>
      </c>
      <c r="CP3" s="103">
        <v>30.48</v>
      </c>
      <c r="CQ3" s="103">
        <v>3608007.99504</v>
      </c>
      <c r="CR3" s="103">
        <v>37.18</v>
      </c>
      <c r="CS3" s="103">
        <f t="shared" si="1"/>
        <v>1133.2464</v>
      </c>
      <c r="CT3" s="103">
        <v>729144.5</v>
      </c>
      <c r="CU3" s="103">
        <v>931494.9</v>
      </c>
      <c r="CV3" s="104">
        <v>0.78276810747970815</v>
      </c>
      <c r="CW3" s="103">
        <v>530626.35225</v>
      </c>
      <c r="CX3" s="103">
        <v>55.3</v>
      </c>
      <c r="CY3" s="103">
        <v>4649440.7174699996</v>
      </c>
      <c r="CZ3" s="103">
        <v>42.575970585054613</v>
      </c>
      <c r="DA3" s="103">
        <f t="shared" si="2"/>
        <v>2354.4511733535201</v>
      </c>
      <c r="DB3" s="103">
        <v>456166.9</v>
      </c>
      <c r="DC3" s="103">
        <v>629798</v>
      </c>
      <c r="DD3" s="104">
        <v>0.72430668246009045</v>
      </c>
      <c r="DE3" s="103">
        <v>207708.10808000001</v>
      </c>
      <c r="DF3" s="103">
        <v>24.45</v>
      </c>
      <c r="DG3" s="103">
        <v>4287042.5115</v>
      </c>
      <c r="DH3" s="103">
        <v>28.12</v>
      </c>
      <c r="DI3" s="103">
        <f t="shared" si="3"/>
        <v>687.53399999999999</v>
      </c>
      <c r="DJ3" s="103">
        <v>450740</v>
      </c>
      <c r="DK3" s="103">
        <v>916261.3</v>
      </c>
      <c r="DL3" s="104">
        <v>0.49193390575374074</v>
      </c>
    </row>
    <row r="4" spans="1:116" s="15" customFormat="1" ht="129.19999999999999" customHeight="1" x14ac:dyDescent="0.25">
      <c r="A4" s="100" t="s">
        <v>89</v>
      </c>
      <c r="B4" s="100" t="s">
        <v>2125</v>
      </c>
      <c r="C4" s="100" t="s">
        <v>87</v>
      </c>
      <c r="D4" s="101" t="str">
        <f>"Chemistry 312"</f>
        <v>Chemistry 312</v>
      </c>
      <c r="E4" s="102" t="s">
        <v>2126</v>
      </c>
      <c r="F4" s="100">
        <v>4</v>
      </c>
      <c r="G4" s="100">
        <v>0</v>
      </c>
      <c r="H4" s="100">
        <v>0</v>
      </c>
      <c r="I4" s="100">
        <v>7</v>
      </c>
      <c r="J4" s="100">
        <v>3</v>
      </c>
      <c r="K4" s="100">
        <v>2</v>
      </c>
      <c r="L4" s="100">
        <v>2</v>
      </c>
      <c r="M4" s="100">
        <v>1</v>
      </c>
      <c r="N4" s="100">
        <v>2</v>
      </c>
      <c r="O4" s="100">
        <v>0</v>
      </c>
      <c r="P4" s="100">
        <v>0.59</v>
      </c>
      <c r="Q4" s="100">
        <v>25.78</v>
      </c>
      <c r="R4" s="100">
        <v>0</v>
      </c>
      <c r="S4" s="100">
        <v>0</v>
      </c>
      <c r="T4" s="100">
        <v>0</v>
      </c>
      <c r="U4" s="100">
        <v>1</v>
      </c>
      <c r="V4" s="100">
        <v>0</v>
      </c>
      <c r="W4" s="100">
        <v>1</v>
      </c>
      <c r="X4" s="100">
        <v>0</v>
      </c>
      <c r="Y4" s="100">
        <v>0</v>
      </c>
      <c r="Z4" s="100">
        <v>0</v>
      </c>
      <c r="AA4" s="100">
        <v>1</v>
      </c>
      <c r="AB4" s="100">
        <v>0</v>
      </c>
      <c r="AC4" s="100">
        <v>1</v>
      </c>
      <c r="AD4" s="100">
        <v>0</v>
      </c>
      <c r="AE4" s="100">
        <v>1</v>
      </c>
      <c r="AF4" s="100">
        <v>0</v>
      </c>
      <c r="AG4" s="100">
        <v>0</v>
      </c>
      <c r="AH4" s="100">
        <v>1</v>
      </c>
      <c r="AI4" s="100">
        <v>0</v>
      </c>
      <c r="AJ4" s="100">
        <v>0</v>
      </c>
      <c r="AK4" s="100">
        <v>0</v>
      </c>
      <c r="AL4" s="100">
        <v>0</v>
      </c>
      <c r="AM4" s="100">
        <v>0</v>
      </c>
      <c r="AN4" s="100">
        <v>0</v>
      </c>
      <c r="AO4" s="100">
        <v>1</v>
      </c>
      <c r="AP4" s="100">
        <v>0</v>
      </c>
      <c r="AQ4" s="100">
        <v>0</v>
      </c>
      <c r="AR4" s="100">
        <v>0</v>
      </c>
      <c r="AS4" s="100">
        <v>0</v>
      </c>
      <c r="AT4" s="100">
        <v>0</v>
      </c>
      <c r="AU4" s="100">
        <v>0</v>
      </c>
      <c r="AV4" s="100">
        <v>0</v>
      </c>
      <c r="AW4" s="100">
        <v>0</v>
      </c>
      <c r="AX4" s="100">
        <v>0</v>
      </c>
      <c r="AY4" s="100">
        <v>0</v>
      </c>
      <c r="AZ4" s="100">
        <v>0</v>
      </c>
      <c r="BA4" s="100">
        <v>0</v>
      </c>
      <c r="BB4" s="100">
        <v>0</v>
      </c>
      <c r="BC4" s="100">
        <v>0</v>
      </c>
      <c r="BD4" s="100">
        <v>0</v>
      </c>
      <c r="BE4" s="100">
        <v>0</v>
      </c>
      <c r="BF4" s="100">
        <v>0</v>
      </c>
      <c r="BG4" s="100">
        <v>0</v>
      </c>
      <c r="BH4" s="100">
        <v>0</v>
      </c>
      <c r="BI4" s="100">
        <v>0</v>
      </c>
      <c r="BJ4" s="100">
        <v>0</v>
      </c>
      <c r="BK4" s="100">
        <v>0</v>
      </c>
      <c r="BL4" s="100">
        <v>0</v>
      </c>
      <c r="BM4" s="100">
        <v>0</v>
      </c>
      <c r="BN4" s="100">
        <v>0</v>
      </c>
      <c r="BO4" s="100">
        <v>0</v>
      </c>
      <c r="BP4" s="100">
        <v>1</v>
      </c>
      <c r="BQ4" s="100">
        <v>0</v>
      </c>
      <c r="BR4" s="100">
        <v>0</v>
      </c>
      <c r="BS4" s="100">
        <v>0</v>
      </c>
      <c r="BT4" s="100">
        <v>0</v>
      </c>
      <c r="BU4" s="100">
        <v>0</v>
      </c>
      <c r="BV4" s="100">
        <v>0</v>
      </c>
      <c r="BW4" s="100">
        <v>0</v>
      </c>
      <c r="BX4" s="100">
        <v>0</v>
      </c>
      <c r="BY4" s="100">
        <v>0</v>
      </c>
      <c r="BZ4" s="100">
        <v>0</v>
      </c>
      <c r="CA4" s="100">
        <v>0</v>
      </c>
      <c r="CB4" s="100" t="s">
        <v>2090</v>
      </c>
      <c r="CC4" s="100">
        <v>0</v>
      </c>
      <c r="CD4" s="100">
        <v>0</v>
      </c>
      <c r="CE4" s="100">
        <v>0</v>
      </c>
      <c r="CF4" s="100">
        <v>0</v>
      </c>
      <c r="CG4" s="103">
        <v>173938.65474</v>
      </c>
      <c r="CH4" s="103">
        <v>31.74</v>
      </c>
      <c r="CI4" s="103">
        <v>2126466.3599700001</v>
      </c>
      <c r="CJ4" s="103">
        <v>30.1</v>
      </c>
      <c r="CK4" s="103">
        <f t="shared" si="0"/>
        <v>955.37400000000002</v>
      </c>
      <c r="CL4" s="103">
        <v>132731.79999999999</v>
      </c>
      <c r="CM4" s="103">
        <v>498156.4</v>
      </c>
      <c r="CN4" s="104">
        <v>0.26644603983809095</v>
      </c>
      <c r="CO4" s="103">
        <v>462380.12799000001</v>
      </c>
      <c r="CP4" s="103">
        <v>50.26</v>
      </c>
      <c r="CQ4" s="103">
        <v>3077241.9539800002</v>
      </c>
      <c r="CR4" s="103">
        <v>36.15</v>
      </c>
      <c r="CS4" s="103">
        <f t="shared" si="1"/>
        <v>1816.8989999999999</v>
      </c>
      <c r="CT4" s="103">
        <v>226643.8</v>
      </c>
      <c r="CU4" s="103">
        <v>723182.4</v>
      </c>
      <c r="CV4" s="104">
        <v>0.31339783711550501</v>
      </c>
      <c r="CW4" s="103">
        <v>395207.55291000003</v>
      </c>
      <c r="CX4" s="103">
        <v>50.72</v>
      </c>
      <c r="CY4" s="103">
        <v>2969125.1934000002</v>
      </c>
      <c r="CZ4" s="103">
        <v>31.861548702019082</v>
      </c>
      <c r="DA4" s="103">
        <f t="shared" si="2"/>
        <v>1616.0177501664077</v>
      </c>
      <c r="DB4" s="103">
        <v>194435.1</v>
      </c>
      <c r="DC4" s="103">
        <v>779354.3</v>
      </c>
      <c r="DD4" s="104">
        <v>0.24948229579281206</v>
      </c>
      <c r="DE4" s="103">
        <v>520212.59470000002</v>
      </c>
      <c r="DF4" s="103">
        <v>39.54</v>
      </c>
      <c r="DG4" s="103">
        <v>3834431.0857199999</v>
      </c>
      <c r="DH4" s="103">
        <v>25.02</v>
      </c>
      <c r="DI4" s="103">
        <f t="shared" si="3"/>
        <v>989.29079999999999</v>
      </c>
      <c r="DJ4" s="103">
        <v>99433.8</v>
      </c>
      <c r="DK4" s="103">
        <v>514572</v>
      </c>
      <c r="DL4" s="104">
        <v>0.19323593199785452</v>
      </c>
    </row>
    <row r="5" spans="1:116" s="15" customFormat="1" ht="135.19999999999999" customHeight="1" x14ac:dyDescent="0.25">
      <c r="A5" s="100" t="s">
        <v>90</v>
      </c>
      <c r="B5" s="100" t="s">
        <v>2127</v>
      </c>
      <c r="C5" s="100" t="s">
        <v>87</v>
      </c>
      <c r="D5" s="101" t="str">
        <f>"Chemistry 272"</f>
        <v>Chemistry 272</v>
      </c>
      <c r="E5" s="102" t="s">
        <v>2128</v>
      </c>
      <c r="F5" s="100">
        <v>5</v>
      </c>
      <c r="G5" s="100">
        <v>1</v>
      </c>
      <c r="H5" s="100">
        <v>0.2</v>
      </c>
      <c r="I5" s="100">
        <v>7</v>
      </c>
      <c r="J5" s="100">
        <v>2</v>
      </c>
      <c r="K5" s="100">
        <v>1</v>
      </c>
      <c r="L5" s="100">
        <v>1</v>
      </c>
      <c r="M5" s="100">
        <v>1</v>
      </c>
      <c r="N5" s="100">
        <v>0</v>
      </c>
      <c r="O5" s="100">
        <v>0</v>
      </c>
      <c r="P5" s="100">
        <v>2.13</v>
      </c>
      <c r="Q5" s="100">
        <v>4.93</v>
      </c>
      <c r="R5" s="100">
        <v>0</v>
      </c>
      <c r="S5" s="100">
        <v>0</v>
      </c>
      <c r="T5" s="100">
        <v>0</v>
      </c>
      <c r="U5" s="100">
        <v>1</v>
      </c>
      <c r="V5" s="100">
        <v>0</v>
      </c>
      <c r="W5" s="100">
        <v>0</v>
      </c>
      <c r="X5" s="100">
        <v>1</v>
      </c>
      <c r="Y5" s="100">
        <v>0</v>
      </c>
      <c r="Z5" s="100">
        <v>0</v>
      </c>
      <c r="AA5" s="100">
        <v>1</v>
      </c>
      <c r="AB5" s="100">
        <v>0</v>
      </c>
      <c r="AC5" s="100">
        <v>0</v>
      </c>
      <c r="AD5" s="100">
        <v>1</v>
      </c>
      <c r="AE5" s="100">
        <v>0</v>
      </c>
      <c r="AF5" s="100">
        <v>1</v>
      </c>
      <c r="AG5" s="100">
        <v>0</v>
      </c>
      <c r="AH5" s="100">
        <v>1</v>
      </c>
      <c r="AI5" s="100">
        <v>0</v>
      </c>
      <c r="AJ5" s="100">
        <v>0</v>
      </c>
      <c r="AK5" s="100">
        <v>1</v>
      </c>
      <c r="AL5" s="100">
        <v>0</v>
      </c>
      <c r="AM5" s="100">
        <v>1</v>
      </c>
      <c r="AN5" s="100">
        <v>1</v>
      </c>
      <c r="AO5" s="100">
        <v>0</v>
      </c>
      <c r="AP5" s="100">
        <v>0</v>
      </c>
      <c r="AQ5" s="100">
        <v>0</v>
      </c>
      <c r="AR5" s="100">
        <v>0</v>
      </c>
      <c r="AS5" s="100">
        <v>0</v>
      </c>
      <c r="AT5" s="100">
        <v>0</v>
      </c>
      <c r="AU5" s="100">
        <v>0</v>
      </c>
      <c r="AV5" s="100">
        <v>0</v>
      </c>
      <c r="AW5" s="100">
        <v>0</v>
      </c>
      <c r="AX5" s="100">
        <v>0</v>
      </c>
      <c r="AY5" s="100">
        <v>0</v>
      </c>
      <c r="AZ5" s="100">
        <v>0</v>
      </c>
      <c r="BA5" s="100">
        <v>0</v>
      </c>
      <c r="BB5" s="100">
        <v>0</v>
      </c>
      <c r="BC5" s="100">
        <v>0</v>
      </c>
      <c r="BD5" s="100">
        <v>0</v>
      </c>
      <c r="BE5" s="100">
        <v>0</v>
      </c>
      <c r="BF5" s="100">
        <v>0</v>
      </c>
      <c r="BG5" s="100">
        <v>0</v>
      </c>
      <c r="BH5" s="100">
        <v>0</v>
      </c>
      <c r="BI5" s="100">
        <v>0</v>
      </c>
      <c r="BJ5" s="100">
        <v>0</v>
      </c>
      <c r="BK5" s="100">
        <v>0</v>
      </c>
      <c r="BL5" s="100">
        <v>0</v>
      </c>
      <c r="BM5" s="100">
        <v>0</v>
      </c>
      <c r="BN5" s="100">
        <v>0</v>
      </c>
      <c r="BO5" s="100">
        <v>0</v>
      </c>
      <c r="BP5" s="100">
        <v>0</v>
      </c>
      <c r="BQ5" s="100">
        <v>0</v>
      </c>
      <c r="BR5" s="100">
        <v>0</v>
      </c>
      <c r="BS5" s="100">
        <v>0</v>
      </c>
      <c r="BT5" s="100">
        <v>0</v>
      </c>
      <c r="BU5" s="100">
        <v>0</v>
      </c>
      <c r="BV5" s="100">
        <v>1</v>
      </c>
      <c r="BW5" s="100">
        <v>0</v>
      </c>
      <c r="BX5" s="100">
        <v>0</v>
      </c>
      <c r="BY5" s="100">
        <v>0</v>
      </c>
      <c r="BZ5" s="100">
        <v>0</v>
      </c>
      <c r="CA5" s="100">
        <v>0</v>
      </c>
      <c r="CB5" s="100" t="s">
        <v>2090</v>
      </c>
      <c r="CC5" s="100">
        <v>0</v>
      </c>
      <c r="CD5" s="100">
        <v>0</v>
      </c>
      <c r="CE5" s="100">
        <v>0</v>
      </c>
      <c r="CF5" s="100">
        <v>0</v>
      </c>
      <c r="CG5" s="103">
        <v>0</v>
      </c>
      <c r="CH5" s="103">
        <v>0</v>
      </c>
      <c r="CI5" s="103">
        <v>0</v>
      </c>
      <c r="CJ5" s="103">
        <v>0</v>
      </c>
      <c r="CK5" s="103">
        <f t="shared" si="0"/>
        <v>0</v>
      </c>
      <c r="CL5" s="103">
        <v>5218.2</v>
      </c>
      <c r="CM5" s="103">
        <v>240920.3</v>
      </c>
      <c r="CN5" s="104">
        <v>2.1659445052990552E-2</v>
      </c>
      <c r="CO5" s="103">
        <v>0</v>
      </c>
      <c r="CP5" s="103">
        <v>0</v>
      </c>
      <c r="CQ5" s="103">
        <v>32788.008329999997</v>
      </c>
      <c r="CR5" s="103">
        <v>0</v>
      </c>
      <c r="CS5" s="103">
        <f t="shared" si="1"/>
        <v>0</v>
      </c>
      <c r="CT5" s="103">
        <v>14473.2</v>
      </c>
      <c r="CU5" s="103">
        <v>687378.8</v>
      </c>
      <c r="CV5" s="104">
        <v>2.1055639190501657E-2</v>
      </c>
      <c r="CW5" s="103">
        <v>15825.86241</v>
      </c>
      <c r="CX5" s="103">
        <v>4.22</v>
      </c>
      <c r="CY5" s="103">
        <v>78091.662939999995</v>
      </c>
      <c r="CZ5" s="103">
        <v>5.9549825174825175</v>
      </c>
      <c r="DA5" s="103">
        <f t="shared" si="2"/>
        <v>25.130026223776223</v>
      </c>
      <c r="DB5" s="103">
        <v>26242.7</v>
      </c>
      <c r="DC5" s="103">
        <v>773075.3</v>
      </c>
      <c r="DD5" s="104">
        <v>3.3945852363928844E-2</v>
      </c>
      <c r="DE5" s="103">
        <v>0</v>
      </c>
      <c r="DF5" s="103">
        <v>0</v>
      </c>
      <c r="DG5" s="103">
        <v>69291.546230000007</v>
      </c>
      <c r="DH5" s="103">
        <v>1.08</v>
      </c>
      <c r="DI5" s="103">
        <f t="shared" si="3"/>
        <v>0</v>
      </c>
      <c r="DJ5" s="103">
        <v>5482.7</v>
      </c>
      <c r="DK5" s="103">
        <v>573911.6</v>
      </c>
      <c r="DL5" s="104">
        <v>9.5532134217186059E-3</v>
      </c>
    </row>
    <row r="6" spans="1:116" s="15" customFormat="1" ht="144.94999999999999" customHeight="1" x14ac:dyDescent="0.25">
      <c r="A6" s="100" t="s">
        <v>91</v>
      </c>
      <c r="B6" s="100" t="s">
        <v>2129</v>
      </c>
      <c r="C6" s="100" t="s">
        <v>87</v>
      </c>
      <c r="D6" s="101" t="str">
        <f>"Chemistry 324"</f>
        <v>Chemistry 324</v>
      </c>
      <c r="E6" s="102" t="s">
        <v>2130</v>
      </c>
      <c r="F6" s="100">
        <v>4</v>
      </c>
      <c r="G6" s="100">
        <v>1</v>
      </c>
      <c r="H6" s="100">
        <v>0.25</v>
      </c>
      <c r="I6" s="100">
        <v>7</v>
      </c>
      <c r="J6" s="100">
        <v>3</v>
      </c>
      <c r="K6" s="100">
        <v>2</v>
      </c>
      <c r="L6" s="100">
        <v>2</v>
      </c>
      <c r="M6" s="100">
        <v>1</v>
      </c>
      <c r="N6" s="100">
        <v>1</v>
      </c>
      <c r="O6" s="100">
        <v>0</v>
      </c>
      <c r="P6" s="100">
        <v>1.21</v>
      </c>
      <c r="Q6" s="100">
        <v>17.82</v>
      </c>
      <c r="R6" s="100">
        <v>0</v>
      </c>
      <c r="S6" s="100">
        <v>0</v>
      </c>
      <c r="T6" s="100">
        <v>0</v>
      </c>
      <c r="U6" s="100">
        <v>1</v>
      </c>
      <c r="V6" s="100">
        <v>0</v>
      </c>
      <c r="W6" s="100">
        <v>1</v>
      </c>
      <c r="X6" s="100">
        <v>0</v>
      </c>
      <c r="Y6" s="100">
        <v>0</v>
      </c>
      <c r="Z6" s="100">
        <v>0</v>
      </c>
      <c r="AA6" s="100">
        <v>1</v>
      </c>
      <c r="AB6" s="100">
        <v>0</v>
      </c>
      <c r="AC6" s="100">
        <v>1</v>
      </c>
      <c r="AD6" s="100">
        <v>0</v>
      </c>
      <c r="AE6" s="100">
        <v>1</v>
      </c>
      <c r="AF6" s="100">
        <v>0</v>
      </c>
      <c r="AG6" s="100">
        <v>0</v>
      </c>
      <c r="AH6" s="100">
        <v>1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1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0</v>
      </c>
      <c r="BD6" s="100">
        <v>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1</v>
      </c>
      <c r="BW6" s="100">
        <v>0</v>
      </c>
      <c r="BX6" s="100">
        <v>0</v>
      </c>
      <c r="BY6" s="100">
        <v>0</v>
      </c>
      <c r="BZ6" s="100">
        <v>0</v>
      </c>
      <c r="CA6" s="100">
        <v>0</v>
      </c>
      <c r="CB6" s="100" t="s">
        <v>2090</v>
      </c>
      <c r="CC6" s="100">
        <v>0</v>
      </c>
      <c r="CD6" s="100">
        <v>0</v>
      </c>
      <c r="CE6" s="100">
        <v>0</v>
      </c>
      <c r="CF6" s="100">
        <v>0</v>
      </c>
      <c r="CG6" s="103">
        <v>106758.51403999999</v>
      </c>
      <c r="CH6" s="103">
        <v>19.579999999999998</v>
      </c>
      <c r="CI6" s="103">
        <v>2568431.5490899999</v>
      </c>
      <c r="CJ6" s="103">
        <v>29.2</v>
      </c>
      <c r="CK6" s="103">
        <f t="shared" si="0"/>
        <v>571.73599999999999</v>
      </c>
      <c r="CL6" s="103">
        <v>5745</v>
      </c>
      <c r="CM6" s="103">
        <v>252752.9</v>
      </c>
      <c r="CN6" s="104">
        <v>2.2729709530533576E-2</v>
      </c>
      <c r="CO6" s="103">
        <v>0</v>
      </c>
      <c r="CP6" s="103">
        <v>0</v>
      </c>
      <c r="CQ6" s="103">
        <v>15688.475619999999</v>
      </c>
      <c r="CR6" s="103">
        <v>0</v>
      </c>
      <c r="CS6" s="103">
        <f t="shared" si="1"/>
        <v>0</v>
      </c>
      <c r="CT6" s="103">
        <v>9317.7000000000007</v>
      </c>
      <c r="CU6" s="103">
        <v>678728.5</v>
      </c>
      <c r="CV6" s="104">
        <v>1.3728169658412753E-2</v>
      </c>
      <c r="CW6" s="103">
        <v>0</v>
      </c>
      <c r="CX6" s="103">
        <v>0</v>
      </c>
      <c r="CY6" s="103">
        <v>9132.2751499999995</v>
      </c>
      <c r="CZ6" s="103">
        <v>1.3345500171096154</v>
      </c>
      <c r="DA6" s="103">
        <f t="shared" si="2"/>
        <v>0</v>
      </c>
      <c r="DB6" s="103">
        <v>25178.2</v>
      </c>
      <c r="DC6" s="103">
        <v>779290.4</v>
      </c>
      <c r="DD6" s="104">
        <v>3.2309136619673488E-2</v>
      </c>
      <c r="DE6" s="103">
        <v>0</v>
      </c>
      <c r="DF6" s="103">
        <v>0</v>
      </c>
      <c r="DG6" s="103">
        <v>47079.708079999997</v>
      </c>
      <c r="DH6" s="103">
        <v>1.1000000000000001</v>
      </c>
      <c r="DI6" s="103">
        <f t="shared" si="3"/>
        <v>0</v>
      </c>
      <c r="DJ6" s="103">
        <v>7556.7</v>
      </c>
      <c r="DK6" s="103">
        <v>594244.80000000005</v>
      </c>
      <c r="DL6" s="104">
        <v>1.2716476442031969E-2</v>
      </c>
    </row>
    <row r="7" spans="1:116" s="15" customFormat="1" ht="135.19999999999999" customHeight="1" x14ac:dyDescent="0.25">
      <c r="A7" s="100" t="s">
        <v>92</v>
      </c>
      <c r="B7" s="100" t="s">
        <v>2131</v>
      </c>
      <c r="C7" s="100" t="s">
        <v>87</v>
      </c>
      <c r="D7" s="101" t="str">
        <f>"Chemistry 214"</f>
        <v>Chemistry 214</v>
      </c>
      <c r="E7" s="102" t="s">
        <v>2132</v>
      </c>
      <c r="F7" s="100">
        <v>4</v>
      </c>
      <c r="G7" s="100">
        <v>1</v>
      </c>
      <c r="H7" s="100">
        <v>0.25</v>
      </c>
      <c r="I7" s="100">
        <v>7</v>
      </c>
      <c r="J7" s="100">
        <v>3</v>
      </c>
      <c r="K7" s="100">
        <v>2</v>
      </c>
      <c r="L7" s="100">
        <v>2</v>
      </c>
      <c r="M7" s="100">
        <v>1</v>
      </c>
      <c r="N7" s="100">
        <v>1</v>
      </c>
      <c r="O7" s="100">
        <v>0</v>
      </c>
      <c r="P7" s="100">
        <v>0.89</v>
      </c>
      <c r="Q7" s="100">
        <v>17.82</v>
      </c>
      <c r="R7" s="100">
        <v>0</v>
      </c>
      <c r="S7" s="100">
        <v>0</v>
      </c>
      <c r="T7" s="100">
        <v>0</v>
      </c>
      <c r="U7" s="100">
        <v>1</v>
      </c>
      <c r="V7" s="100">
        <v>0</v>
      </c>
      <c r="W7" s="100">
        <v>1</v>
      </c>
      <c r="X7" s="100">
        <v>0</v>
      </c>
      <c r="Y7" s="100">
        <v>0</v>
      </c>
      <c r="Z7" s="100">
        <v>0</v>
      </c>
      <c r="AA7" s="100">
        <v>1</v>
      </c>
      <c r="AB7" s="100">
        <v>0</v>
      </c>
      <c r="AC7" s="100">
        <v>1</v>
      </c>
      <c r="AD7" s="100">
        <v>0</v>
      </c>
      <c r="AE7" s="100">
        <v>1</v>
      </c>
      <c r="AF7" s="100">
        <v>0</v>
      </c>
      <c r="AG7" s="100">
        <v>0</v>
      </c>
      <c r="AH7" s="100">
        <v>1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1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0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0</v>
      </c>
      <c r="BI7" s="100">
        <v>0</v>
      </c>
      <c r="BJ7" s="100">
        <v>0</v>
      </c>
      <c r="BK7" s="100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1</v>
      </c>
      <c r="BW7" s="100">
        <v>0</v>
      </c>
      <c r="BX7" s="100">
        <v>0</v>
      </c>
      <c r="BY7" s="100">
        <v>0</v>
      </c>
      <c r="BZ7" s="100">
        <v>0</v>
      </c>
      <c r="CA7" s="100">
        <v>0</v>
      </c>
      <c r="CB7" s="100" t="s">
        <v>2090</v>
      </c>
      <c r="CC7" s="100">
        <v>0</v>
      </c>
      <c r="CD7" s="100">
        <v>0</v>
      </c>
      <c r="CE7" s="100">
        <v>0</v>
      </c>
      <c r="CF7" s="100">
        <v>0</v>
      </c>
      <c r="CG7" s="103">
        <v>0</v>
      </c>
      <c r="CH7" s="103">
        <v>0</v>
      </c>
      <c r="CI7" s="103">
        <v>25816.87657</v>
      </c>
      <c r="CJ7" s="103">
        <v>0</v>
      </c>
      <c r="CK7" s="103">
        <f t="shared" si="0"/>
        <v>0</v>
      </c>
      <c r="CL7" s="103">
        <v>835.3</v>
      </c>
      <c r="CM7" s="103">
        <v>95216</v>
      </c>
      <c r="CN7" s="104">
        <v>8.7726852629810108E-3</v>
      </c>
      <c r="CO7" s="103">
        <v>0</v>
      </c>
      <c r="CP7" s="103">
        <v>0</v>
      </c>
      <c r="CQ7" s="103">
        <v>20346.899880000001</v>
      </c>
      <c r="CR7" s="103">
        <v>0</v>
      </c>
      <c r="CS7" s="103">
        <f t="shared" si="1"/>
        <v>0</v>
      </c>
      <c r="CT7" s="103">
        <v>11776.7</v>
      </c>
      <c r="CU7" s="103">
        <v>777428.3</v>
      </c>
      <c r="CV7" s="104">
        <v>1.5148277982676988E-2</v>
      </c>
      <c r="CW7" s="103">
        <v>0</v>
      </c>
      <c r="CX7" s="103">
        <v>0</v>
      </c>
      <c r="CY7" s="103">
        <v>7467.3597799999998</v>
      </c>
      <c r="CZ7" s="103">
        <v>0</v>
      </c>
      <c r="DA7" s="103">
        <f t="shared" si="2"/>
        <v>0</v>
      </c>
      <c r="DB7" s="103">
        <v>4747</v>
      </c>
      <c r="DC7" s="103">
        <v>408645.8</v>
      </c>
      <c r="DD7" s="104">
        <v>1.1616416955710789E-2</v>
      </c>
      <c r="DE7" s="103">
        <v>7643.9950200000003</v>
      </c>
      <c r="DF7" s="103">
        <v>0.62</v>
      </c>
      <c r="DG7" s="103">
        <v>147155.32501999999</v>
      </c>
      <c r="DH7" s="103">
        <v>1.9300000000000002</v>
      </c>
      <c r="DI7" s="103">
        <f t="shared" si="3"/>
        <v>1.1966000000000001</v>
      </c>
      <c r="DJ7" s="103">
        <v>8791.7000000000007</v>
      </c>
      <c r="DK7" s="103">
        <v>667690</v>
      </c>
      <c r="DL7" s="104">
        <v>1.31673381359613E-2</v>
      </c>
    </row>
    <row r="8" spans="1:116" s="15" customFormat="1" ht="144.94999999999999" customHeight="1" x14ac:dyDescent="0.25">
      <c r="A8" s="100" t="s">
        <v>93</v>
      </c>
      <c r="B8" s="100" t="s">
        <v>2133</v>
      </c>
      <c r="C8" s="100" t="s">
        <v>87</v>
      </c>
      <c r="D8" s="101" t="str">
        <f>"Chemistry 326"</f>
        <v>Chemistry 326</v>
      </c>
      <c r="E8" s="102" t="s">
        <v>2134</v>
      </c>
      <c r="F8" s="100">
        <v>4</v>
      </c>
      <c r="G8" s="100">
        <v>1</v>
      </c>
      <c r="H8" s="100">
        <v>0.25</v>
      </c>
      <c r="I8" s="100">
        <v>7</v>
      </c>
      <c r="J8" s="100">
        <v>3</v>
      </c>
      <c r="K8" s="100">
        <v>2</v>
      </c>
      <c r="L8" s="100">
        <v>2</v>
      </c>
      <c r="M8" s="100">
        <v>1</v>
      </c>
      <c r="N8" s="100">
        <v>1</v>
      </c>
      <c r="O8" s="100">
        <v>1</v>
      </c>
      <c r="P8" s="100">
        <v>1.21</v>
      </c>
      <c r="Q8" s="100">
        <v>28.68</v>
      </c>
      <c r="R8" s="100">
        <v>0</v>
      </c>
      <c r="S8" s="100">
        <v>0</v>
      </c>
      <c r="T8" s="100">
        <v>0</v>
      </c>
      <c r="U8" s="100">
        <v>1</v>
      </c>
      <c r="V8" s="100">
        <v>0</v>
      </c>
      <c r="W8" s="100">
        <v>1</v>
      </c>
      <c r="X8" s="100">
        <v>0</v>
      </c>
      <c r="Y8" s="100">
        <v>0</v>
      </c>
      <c r="Z8" s="100">
        <v>1</v>
      </c>
      <c r="AA8" s="100">
        <v>0</v>
      </c>
      <c r="AB8" s="100">
        <v>0</v>
      </c>
      <c r="AC8" s="100">
        <v>1</v>
      </c>
      <c r="AD8" s="100">
        <v>0</v>
      </c>
      <c r="AE8" s="100">
        <v>1</v>
      </c>
      <c r="AF8" s="100">
        <v>0</v>
      </c>
      <c r="AG8" s="100">
        <v>0</v>
      </c>
      <c r="AH8" s="100">
        <v>1</v>
      </c>
      <c r="AI8" s="100">
        <v>0</v>
      </c>
      <c r="AJ8" s="100">
        <v>0</v>
      </c>
      <c r="AK8" s="100">
        <v>1</v>
      </c>
      <c r="AL8" s="100">
        <v>0</v>
      </c>
      <c r="AM8" s="100">
        <v>1</v>
      </c>
      <c r="AN8" s="100">
        <v>1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1</v>
      </c>
      <c r="BS8" s="100">
        <v>0</v>
      </c>
      <c r="BT8" s="100">
        <v>1</v>
      </c>
      <c r="BU8" s="100">
        <v>0</v>
      </c>
      <c r="BV8" s="100">
        <v>0</v>
      </c>
      <c r="BW8" s="100">
        <v>0</v>
      </c>
      <c r="BX8" s="100">
        <v>0</v>
      </c>
      <c r="BY8" s="100">
        <v>0</v>
      </c>
      <c r="BZ8" s="100">
        <v>0</v>
      </c>
      <c r="CA8" s="100">
        <v>0</v>
      </c>
      <c r="CB8" s="100" t="s">
        <v>2090</v>
      </c>
      <c r="CC8" s="100">
        <v>0</v>
      </c>
      <c r="CD8" s="100">
        <v>0</v>
      </c>
      <c r="CE8" s="100">
        <v>0</v>
      </c>
      <c r="CF8" s="100">
        <v>0</v>
      </c>
      <c r="CG8" s="103">
        <v>0</v>
      </c>
      <c r="CH8" s="103">
        <v>0</v>
      </c>
      <c r="CI8" s="103">
        <v>28342.115379999999</v>
      </c>
      <c r="CJ8" s="103">
        <v>0.73</v>
      </c>
      <c r="CK8" s="103">
        <f t="shared" si="0"/>
        <v>0</v>
      </c>
      <c r="CL8" s="103">
        <v>7201.7</v>
      </c>
      <c r="CM8" s="103">
        <v>589330.69999999995</v>
      </c>
      <c r="CN8" s="104">
        <v>1.2220133789059352E-2</v>
      </c>
      <c r="CO8" s="103">
        <v>0</v>
      </c>
      <c r="CP8" s="103">
        <v>0</v>
      </c>
      <c r="CQ8" s="103">
        <v>17765.296340000001</v>
      </c>
      <c r="CR8" s="103">
        <v>0</v>
      </c>
      <c r="CS8" s="103">
        <f t="shared" si="1"/>
        <v>0</v>
      </c>
      <c r="CT8" s="103">
        <v>6160.1</v>
      </c>
      <c r="CU8" s="103">
        <v>402679.6</v>
      </c>
      <c r="CV8" s="104">
        <v>1.5297770237181126E-2</v>
      </c>
      <c r="CW8" s="103">
        <v>0</v>
      </c>
      <c r="CX8" s="103">
        <v>0</v>
      </c>
      <c r="CY8" s="103">
        <v>7543.8242099999998</v>
      </c>
      <c r="CZ8" s="103">
        <v>1.4528126452812646</v>
      </c>
      <c r="DA8" s="103">
        <f t="shared" si="2"/>
        <v>0</v>
      </c>
      <c r="DB8" s="103">
        <v>13108.8</v>
      </c>
      <c r="DC8" s="103">
        <v>808314</v>
      </c>
      <c r="DD8" s="104">
        <v>1.621746004646709E-2</v>
      </c>
      <c r="DE8" s="103">
        <v>0</v>
      </c>
      <c r="DF8" s="103">
        <v>0</v>
      </c>
      <c r="DG8" s="103">
        <v>205997.85542000001</v>
      </c>
      <c r="DH8" s="103">
        <v>3.22</v>
      </c>
      <c r="DI8" s="103">
        <f t="shared" si="3"/>
        <v>0</v>
      </c>
      <c r="DJ8" s="103">
        <v>13208.8</v>
      </c>
      <c r="DK8" s="103">
        <v>784369.8</v>
      </c>
      <c r="DL8" s="104">
        <v>1.6840016023054429E-2</v>
      </c>
    </row>
    <row r="9" spans="1:116" s="15" customFormat="1" ht="144.94999999999999" customHeight="1" x14ac:dyDescent="0.25">
      <c r="A9" s="100" t="s">
        <v>94</v>
      </c>
      <c r="B9" s="100" t="s">
        <v>2135</v>
      </c>
      <c r="C9" s="100" t="s">
        <v>87</v>
      </c>
      <c r="D9" s="101" t="str">
        <f>"Chemistry 213"</f>
        <v>Chemistry 213</v>
      </c>
      <c r="E9" s="102" t="s">
        <v>2136</v>
      </c>
      <c r="F9" s="100">
        <v>4</v>
      </c>
      <c r="G9" s="100">
        <v>1</v>
      </c>
      <c r="H9" s="100">
        <v>0.25</v>
      </c>
      <c r="I9" s="100">
        <v>7</v>
      </c>
      <c r="J9" s="100">
        <v>3</v>
      </c>
      <c r="K9" s="100">
        <v>2</v>
      </c>
      <c r="L9" s="100">
        <v>2</v>
      </c>
      <c r="M9" s="100">
        <v>1</v>
      </c>
      <c r="N9" s="100">
        <v>1</v>
      </c>
      <c r="O9" s="100">
        <v>1</v>
      </c>
      <c r="P9" s="100">
        <v>1.6</v>
      </c>
      <c r="Q9" s="100">
        <v>28.68</v>
      </c>
      <c r="R9" s="100">
        <v>0</v>
      </c>
      <c r="S9" s="100">
        <v>0</v>
      </c>
      <c r="T9" s="100">
        <v>0</v>
      </c>
      <c r="U9" s="100">
        <v>1</v>
      </c>
      <c r="V9" s="100">
        <v>0</v>
      </c>
      <c r="W9" s="100">
        <v>1</v>
      </c>
      <c r="X9" s="100">
        <v>0</v>
      </c>
      <c r="Y9" s="100">
        <v>0</v>
      </c>
      <c r="Z9" s="100">
        <v>1</v>
      </c>
      <c r="AA9" s="100">
        <v>0</v>
      </c>
      <c r="AB9" s="100">
        <v>0</v>
      </c>
      <c r="AC9" s="100">
        <v>1</v>
      </c>
      <c r="AD9" s="100">
        <v>0</v>
      </c>
      <c r="AE9" s="100">
        <v>1</v>
      </c>
      <c r="AF9" s="100">
        <v>0</v>
      </c>
      <c r="AG9" s="100">
        <v>0</v>
      </c>
      <c r="AH9" s="100">
        <v>1</v>
      </c>
      <c r="AI9" s="100">
        <v>0</v>
      </c>
      <c r="AJ9" s="100">
        <v>0</v>
      </c>
      <c r="AK9" s="100">
        <v>1</v>
      </c>
      <c r="AL9" s="100">
        <v>0</v>
      </c>
      <c r="AM9" s="100">
        <v>1</v>
      </c>
      <c r="AN9" s="100">
        <v>1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1</v>
      </c>
      <c r="BS9" s="100">
        <v>0</v>
      </c>
      <c r="BT9" s="100">
        <v>1</v>
      </c>
      <c r="BU9" s="100">
        <v>0</v>
      </c>
      <c r="BV9" s="100">
        <v>0</v>
      </c>
      <c r="BW9" s="100">
        <v>0</v>
      </c>
      <c r="BX9" s="100">
        <v>0</v>
      </c>
      <c r="BY9" s="100">
        <v>0</v>
      </c>
      <c r="BZ9" s="100">
        <v>0</v>
      </c>
      <c r="CA9" s="100">
        <v>0</v>
      </c>
      <c r="CB9" s="100" t="s">
        <v>2090</v>
      </c>
      <c r="CC9" s="100">
        <v>0</v>
      </c>
      <c r="CD9" s="100">
        <v>0</v>
      </c>
      <c r="CE9" s="100">
        <v>0</v>
      </c>
      <c r="CF9" s="100">
        <v>0</v>
      </c>
      <c r="CG9" s="103">
        <v>16038.40677</v>
      </c>
      <c r="CH9" s="103">
        <v>3.2</v>
      </c>
      <c r="CI9" s="103">
        <v>1574072.4313099999</v>
      </c>
      <c r="CJ9" s="103">
        <v>23.88</v>
      </c>
      <c r="CK9" s="103">
        <f t="shared" si="0"/>
        <v>76.415999999999997</v>
      </c>
      <c r="CL9" s="103">
        <v>49969.9</v>
      </c>
      <c r="CM9" s="103">
        <v>849249.2</v>
      </c>
      <c r="CN9" s="104">
        <v>5.8840090753102862E-2</v>
      </c>
      <c r="CO9" s="103">
        <v>0</v>
      </c>
      <c r="CP9" s="103">
        <v>0</v>
      </c>
      <c r="CQ9" s="103">
        <v>15252.039559999999</v>
      </c>
      <c r="CR9" s="103">
        <v>0</v>
      </c>
      <c r="CS9" s="103">
        <f t="shared" si="1"/>
        <v>0</v>
      </c>
      <c r="CT9" s="103">
        <v>12349.2</v>
      </c>
      <c r="CU9" s="103">
        <v>840862.7</v>
      </c>
      <c r="CV9" s="104">
        <v>1.4686345345084282E-2</v>
      </c>
      <c r="CW9" s="103">
        <v>0</v>
      </c>
      <c r="CX9" s="103">
        <v>0</v>
      </c>
      <c r="CY9" s="103">
        <v>0</v>
      </c>
      <c r="CZ9" s="103">
        <v>0</v>
      </c>
      <c r="DA9" s="103">
        <f t="shared" si="2"/>
        <v>0</v>
      </c>
      <c r="DB9" s="103">
        <v>16809.7</v>
      </c>
      <c r="DC9" s="103">
        <v>836624.4</v>
      </c>
      <c r="DD9" s="104">
        <v>2.0092289921259769E-2</v>
      </c>
      <c r="DE9" s="103">
        <v>7774.77441</v>
      </c>
      <c r="DF9" s="103">
        <v>0.95</v>
      </c>
      <c r="DG9" s="103">
        <v>45995.787559999997</v>
      </c>
      <c r="DH9" s="103">
        <v>1.74</v>
      </c>
      <c r="DI9" s="103">
        <f t="shared" si="3"/>
        <v>1.653</v>
      </c>
      <c r="DJ9" s="103">
        <v>14153.8</v>
      </c>
      <c r="DK9" s="103">
        <v>902381</v>
      </c>
      <c r="DL9" s="104">
        <v>1.5684949040372081E-2</v>
      </c>
    </row>
    <row r="10" spans="1:116" s="15" customFormat="1" ht="144.94999999999999" customHeight="1" x14ac:dyDescent="0.25">
      <c r="A10" s="100" t="s">
        <v>95</v>
      </c>
      <c r="B10" s="100" t="s">
        <v>2137</v>
      </c>
      <c r="C10" s="100" t="s">
        <v>87</v>
      </c>
      <c r="D10" s="101" t="str">
        <f>"Chemistry 288"</f>
        <v>Chemistry 288</v>
      </c>
      <c r="E10" s="102" t="s">
        <v>2138</v>
      </c>
      <c r="F10" s="100">
        <v>3</v>
      </c>
      <c r="G10" s="100">
        <v>1</v>
      </c>
      <c r="H10" s="100">
        <v>0.33</v>
      </c>
      <c r="I10" s="100">
        <v>7</v>
      </c>
      <c r="J10" s="100">
        <v>4</v>
      </c>
      <c r="K10" s="100">
        <v>3</v>
      </c>
      <c r="L10" s="100">
        <v>3</v>
      </c>
      <c r="M10" s="100">
        <v>1</v>
      </c>
      <c r="N10" s="100">
        <v>2</v>
      </c>
      <c r="O10" s="100">
        <v>1</v>
      </c>
      <c r="P10" s="100">
        <v>0.94</v>
      </c>
      <c r="Q10" s="100">
        <v>41.57</v>
      </c>
      <c r="R10" s="100">
        <v>0</v>
      </c>
      <c r="S10" s="100">
        <v>0</v>
      </c>
      <c r="T10" s="100">
        <v>0</v>
      </c>
      <c r="U10" s="100">
        <v>1</v>
      </c>
      <c r="V10" s="100">
        <v>0</v>
      </c>
      <c r="W10" s="100">
        <v>1</v>
      </c>
      <c r="X10" s="100">
        <v>0</v>
      </c>
      <c r="Y10" s="100">
        <v>0</v>
      </c>
      <c r="Z10" s="100">
        <v>1</v>
      </c>
      <c r="AA10" s="100">
        <v>0</v>
      </c>
      <c r="AB10" s="100">
        <v>0</v>
      </c>
      <c r="AC10" s="100">
        <v>1</v>
      </c>
      <c r="AD10" s="100">
        <v>0</v>
      </c>
      <c r="AE10" s="100">
        <v>1</v>
      </c>
      <c r="AF10" s="100">
        <v>0</v>
      </c>
      <c r="AG10" s="100">
        <v>0</v>
      </c>
      <c r="AH10" s="100">
        <v>0</v>
      </c>
      <c r="AI10" s="100">
        <v>1</v>
      </c>
      <c r="AJ10" s="100">
        <v>0</v>
      </c>
      <c r="AK10" s="100">
        <v>0</v>
      </c>
      <c r="AL10" s="100">
        <v>0</v>
      </c>
      <c r="AM10" s="100">
        <v>0</v>
      </c>
      <c r="AN10" s="100">
        <v>1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1</v>
      </c>
      <c r="BS10" s="100">
        <v>0</v>
      </c>
      <c r="BT10" s="100">
        <v>1</v>
      </c>
      <c r="BU10" s="100">
        <v>0</v>
      </c>
      <c r="BV10" s="100">
        <v>0</v>
      </c>
      <c r="BW10" s="100">
        <v>0</v>
      </c>
      <c r="BX10" s="100">
        <v>0</v>
      </c>
      <c r="BY10" s="100">
        <v>0</v>
      </c>
      <c r="BZ10" s="100">
        <v>0</v>
      </c>
      <c r="CA10" s="100">
        <v>0</v>
      </c>
      <c r="CB10" s="100" t="s">
        <v>2090</v>
      </c>
      <c r="CC10" s="100">
        <v>0</v>
      </c>
      <c r="CD10" s="100">
        <v>0</v>
      </c>
      <c r="CE10" s="100">
        <v>0</v>
      </c>
      <c r="CF10" s="100">
        <v>0</v>
      </c>
      <c r="CG10" s="103">
        <v>0</v>
      </c>
      <c r="CH10" s="103">
        <v>0</v>
      </c>
      <c r="CI10" s="103">
        <v>400901.18829999998</v>
      </c>
      <c r="CJ10" s="103">
        <v>5.88</v>
      </c>
      <c r="CK10" s="103">
        <f t="shared" si="0"/>
        <v>0</v>
      </c>
      <c r="CL10" s="103">
        <v>15397.6</v>
      </c>
      <c r="CM10" s="103">
        <v>575742</v>
      </c>
      <c r="CN10" s="104">
        <v>2.6743923493509247E-2</v>
      </c>
      <c r="CO10" s="103">
        <v>0</v>
      </c>
      <c r="CP10" s="103">
        <v>0</v>
      </c>
      <c r="CQ10" s="103">
        <v>232492.29662000001</v>
      </c>
      <c r="CR10" s="103">
        <v>3.24</v>
      </c>
      <c r="CS10" s="103">
        <f t="shared" si="1"/>
        <v>0</v>
      </c>
      <c r="CT10" s="103">
        <v>17976.599999999999</v>
      </c>
      <c r="CU10" s="103">
        <v>549532.9</v>
      </c>
      <c r="CV10" s="104">
        <v>3.2712509114558926E-2</v>
      </c>
      <c r="CW10" s="103">
        <v>0</v>
      </c>
      <c r="CX10" s="103">
        <v>0</v>
      </c>
      <c r="CY10" s="103">
        <v>22924.450120000001</v>
      </c>
      <c r="CZ10" s="103">
        <v>0.7670419398738092</v>
      </c>
      <c r="DA10" s="103">
        <f t="shared" si="2"/>
        <v>0</v>
      </c>
      <c r="DB10" s="103">
        <v>31891.8</v>
      </c>
      <c r="DC10" s="103">
        <v>995597.7</v>
      </c>
      <c r="DD10" s="104">
        <v>3.2032818075011626E-2</v>
      </c>
      <c r="DE10" s="103">
        <v>3866.0243500000001</v>
      </c>
      <c r="DF10" s="103">
        <v>0.56999999999999995</v>
      </c>
      <c r="DG10" s="103">
        <v>385507.47213000001</v>
      </c>
      <c r="DH10" s="103">
        <v>2.38</v>
      </c>
      <c r="DI10" s="103">
        <f t="shared" si="3"/>
        <v>1.3565999999999998</v>
      </c>
      <c r="DJ10" s="103">
        <v>31561.7</v>
      </c>
      <c r="DK10" s="103">
        <v>815155.1</v>
      </c>
      <c r="DL10" s="104">
        <v>3.8718643850722399E-2</v>
      </c>
    </row>
    <row r="11" spans="1:116" s="15" customFormat="1" ht="106.7" customHeight="1" x14ac:dyDescent="0.25">
      <c r="A11" s="100" t="s">
        <v>96</v>
      </c>
      <c r="B11" s="100" t="s">
        <v>2139</v>
      </c>
      <c r="C11" s="100" t="s">
        <v>87</v>
      </c>
      <c r="D11" s="101" t="str">
        <f>"Chemistry 205"</f>
        <v>Chemistry 205</v>
      </c>
      <c r="E11" s="102" t="s">
        <v>2140</v>
      </c>
      <c r="F11" s="100">
        <v>3</v>
      </c>
      <c r="G11" s="100">
        <v>1</v>
      </c>
      <c r="H11" s="100">
        <v>0.33</v>
      </c>
      <c r="I11" s="100">
        <v>7</v>
      </c>
      <c r="J11" s="100">
        <v>4</v>
      </c>
      <c r="K11" s="100">
        <v>3</v>
      </c>
      <c r="L11" s="100">
        <v>3</v>
      </c>
      <c r="M11" s="100">
        <v>1</v>
      </c>
      <c r="N11" s="100">
        <v>2</v>
      </c>
      <c r="O11" s="100">
        <v>0</v>
      </c>
      <c r="P11" s="100">
        <v>0.52</v>
      </c>
      <c r="Q11" s="100">
        <v>30.71</v>
      </c>
      <c r="R11" s="100">
        <v>0</v>
      </c>
      <c r="S11" s="100">
        <v>0</v>
      </c>
      <c r="T11" s="100">
        <v>0</v>
      </c>
      <c r="U11" s="100">
        <v>1</v>
      </c>
      <c r="V11" s="100">
        <v>0</v>
      </c>
      <c r="W11" s="100">
        <v>1</v>
      </c>
      <c r="X11" s="100">
        <v>0</v>
      </c>
      <c r="Y11" s="100">
        <v>0</v>
      </c>
      <c r="Z11" s="100">
        <v>0</v>
      </c>
      <c r="AA11" s="100">
        <v>1</v>
      </c>
      <c r="AB11" s="100">
        <v>0</v>
      </c>
      <c r="AC11" s="100">
        <v>1</v>
      </c>
      <c r="AD11" s="100">
        <v>0</v>
      </c>
      <c r="AE11" s="100">
        <v>1</v>
      </c>
      <c r="AF11" s="100">
        <v>0</v>
      </c>
      <c r="AG11" s="100">
        <v>0</v>
      </c>
      <c r="AH11" s="100">
        <v>0</v>
      </c>
      <c r="AI11" s="100">
        <v>1</v>
      </c>
      <c r="AJ11" s="100">
        <v>0</v>
      </c>
      <c r="AK11" s="100">
        <v>0</v>
      </c>
      <c r="AL11" s="100">
        <v>0</v>
      </c>
      <c r="AM11" s="100">
        <v>0</v>
      </c>
      <c r="AN11" s="100">
        <v>1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1</v>
      </c>
      <c r="BW11" s="100">
        <v>0</v>
      </c>
      <c r="BX11" s="100">
        <v>0</v>
      </c>
      <c r="BY11" s="100">
        <v>0</v>
      </c>
      <c r="BZ11" s="100">
        <v>0</v>
      </c>
      <c r="CA11" s="100">
        <v>0</v>
      </c>
      <c r="CB11" s="100" t="s">
        <v>2090</v>
      </c>
      <c r="CC11" s="100">
        <v>0</v>
      </c>
      <c r="CD11" s="100">
        <v>0</v>
      </c>
      <c r="CE11" s="100">
        <v>0</v>
      </c>
      <c r="CF11" s="100">
        <v>0</v>
      </c>
      <c r="CG11" s="103">
        <v>46674.742819999999</v>
      </c>
      <c r="CH11" s="103">
        <v>8.9600000000000009</v>
      </c>
      <c r="CI11" s="103">
        <v>2567235.1170800002</v>
      </c>
      <c r="CJ11" s="103">
        <v>36</v>
      </c>
      <c r="CK11" s="103">
        <f t="shared" si="0"/>
        <v>322.56000000000006</v>
      </c>
      <c r="CL11" s="103">
        <v>87690.7</v>
      </c>
      <c r="CM11" s="103">
        <v>812883.2</v>
      </c>
      <c r="CN11" s="104">
        <v>0.10787613767882027</v>
      </c>
      <c r="CO11" s="103">
        <v>4122.47642</v>
      </c>
      <c r="CP11" s="103">
        <v>0.63</v>
      </c>
      <c r="CQ11" s="103">
        <v>488371.95314</v>
      </c>
      <c r="CR11" s="103">
        <v>7.17</v>
      </c>
      <c r="CS11" s="103">
        <f t="shared" si="1"/>
        <v>4.5171000000000001</v>
      </c>
      <c r="CT11" s="103">
        <v>8363.2000000000007</v>
      </c>
      <c r="CU11" s="103">
        <v>391581.3</v>
      </c>
      <c r="CV11" s="104">
        <v>2.1357506091327652E-2</v>
      </c>
      <c r="CW11" s="103">
        <v>2860.6534499999998</v>
      </c>
      <c r="CX11" s="103">
        <v>0.55000000000000004</v>
      </c>
      <c r="CY11" s="103">
        <v>2308.8901999999998</v>
      </c>
      <c r="CZ11" s="103">
        <v>0</v>
      </c>
      <c r="DA11" s="103">
        <f t="shared" si="2"/>
        <v>0</v>
      </c>
      <c r="DB11" s="103">
        <v>10540</v>
      </c>
      <c r="DC11" s="103">
        <v>658488.9</v>
      </c>
      <c r="DD11" s="104">
        <v>1.6006344222355154E-2</v>
      </c>
      <c r="DE11" s="103">
        <v>0</v>
      </c>
      <c r="DF11" s="103">
        <v>0</v>
      </c>
      <c r="DG11" s="103">
        <v>638308.47600000002</v>
      </c>
      <c r="DH11" s="103">
        <v>9.09</v>
      </c>
      <c r="DI11" s="103">
        <f t="shared" si="3"/>
        <v>0</v>
      </c>
      <c r="DJ11" s="103">
        <v>33559.199999999997</v>
      </c>
      <c r="DK11" s="103">
        <v>842206.1</v>
      </c>
      <c r="DL11" s="104">
        <v>3.9846778597305337E-2</v>
      </c>
    </row>
    <row r="12" spans="1:116" s="15" customFormat="1" ht="144.94999999999999" customHeight="1" x14ac:dyDescent="0.25">
      <c r="A12" s="100" t="s">
        <v>97</v>
      </c>
      <c r="B12" s="100" t="s">
        <v>2141</v>
      </c>
      <c r="C12" s="100" t="s">
        <v>87</v>
      </c>
      <c r="D12" s="101" t="str">
        <f>"Chemistry 356"</f>
        <v>Chemistry 356</v>
      </c>
      <c r="E12" s="102" t="s">
        <v>2142</v>
      </c>
      <c r="F12" s="100">
        <v>3</v>
      </c>
      <c r="G12" s="100">
        <v>1</v>
      </c>
      <c r="H12" s="100">
        <v>0.33</v>
      </c>
      <c r="I12" s="100">
        <v>7</v>
      </c>
      <c r="J12" s="100">
        <v>4</v>
      </c>
      <c r="K12" s="100">
        <v>3</v>
      </c>
      <c r="L12" s="100">
        <v>2</v>
      </c>
      <c r="M12" s="100">
        <v>1</v>
      </c>
      <c r="N12" s="100">
        <v>2</v>
      </c>
      <c r="O12" s="100">
        <v>0</v>
      </c>
      <c r="P12" s="100">
        <v>0.65</v>
      </c>
      <c r="Q12" s="100">
        <v>38.92</v>
      </c>
      <c r="R12" s="100">
        <v>0</v>
      </c>
      <c r="S12" s="100">
        <v>0</v>
      </c>
      <c r="T12" s="100">
        <v>0</v>
      </c>
      <c r="U12" s="100">
        <v>1</v>
      </c>
      <c r="V12" s="100">
        <v>0</v>
      </c>
      <c r="W12" s="100">
        <v>1</v>
      </c>
      <c r="X12" s="100">
        <v>0</v>
      </c>
      <c r="Y12" s="100">
        <v>0</v>
      </c>
      <c r="Z12" s="100">
        <v>0</v>
      </c>
      <c r="AA12" s="100">
        <v>1</v>
      </c>
      <c r="AB12" s="100">
        <v>0</v>
      </c>
      <c r="AC12" s="100">
        <v>1</v>
      </c>
      <c r="AD12" s="100">
        <v>0</v>
      </c>
      <c r="AE12" s="100">
        <v>1</v>
      </c>
      <c r="AF12" s="100">
        <v>0</v>
      </c>
      <c r="AG12" s="100">
        <v>0</v>
      </c>
      <c r="AH12" s="100">
        <v>0</v>
      </c>
      <c r="AI12" s="100">
        <v>1</v>
      </c>
      <c r="AJ12" s="100">
        <v>0</v>
      </c>
      <c r="AK12" s="100">
        <v>0</v>
      </c>
      <c r="AL12" s="100">
        <v>0</v>
      </c>
      <c r="AM12" s="100">
        <v>0</v>
      </c>
      <c r="AN12" s="100">
        <v>1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1</v>
      </c>
      <c r="BR12" s="100">
        <v>0</v>
      </c>
      <c r="BS12" s="100">
        <v>0</v>
      </c>
      <c r="BT12" s="100">
        <v>0</v>
      </c>
      <c r="BU12" s="100">
        <v>1</v>
      </c>
      <c r="BV12" s="100">
        <v>0</v>
      </c>
      <c r="BW12" s="100">
        <v>0</v>
      </c>
      <c r="BX12" s="100">
        <v>0</v>
      </c>
      <c r="BY12" s="100">
        <v>0</v>
      </c>
      <c r="BZ12" s="100">
        <v>0</v>
      </c>
      <c r="CA12" s="100">
        <v>0</v>
      </c>
      <c r="CB12" s="100" t="s">
        <v>2090</v>
      </c>
      <c r="CC12" s="100">
        <v>0</v>
      </c>
      <c r="CD12" s="100">
        <v>0</v>
      </c>
      <c r="CE12" s="100">
        <v>0</v>
      </c>
      <c r="CF12" s="100">
        <v>0</v>
      </c>
      <c r="CG12" s="103">
        <v>95985.894220000002</v>
      </c>
      <c r="CH12" s="103">
        <v>17.73</v>
      </c>
      <c r="CI12" s="103">
        <v>1522809.92591</v>
      </c>
      <c r="CJ12" s="103">
        <v>14.24</v>
      </c>
      <c r="CK12" s="103">
        <f t="shared" si="0"/>
        <v>252.4752</v>
      </c>
      <c r="CL12" s="103">
        <v>46420.7</v>
      </c>
      <c r="CM12" s="103">
        <v>785696.4</v>
      </c>
      <c r="CN12" s="104">
        <v>5.9082235835623019E-2</v>
      </c>
      <c r="CO12" s="103">
        <v>39383.366699999999</v>
      </c>
      <c r="CP12" s="103">
        <v>6.17</v>
      </c>
      <c r="CQ12" s="103">
        <v>791935.99595000001</v>
      </c>
      <c r="CR12" s="103">
        <v>5.23</v>
      </c>
      <c r="CS12" s="103">
        <f t="shared" si="1"/>
        <v>32.269100000000002</v>
      </c>
      <c r="CT12" s="103">
        <v>30535.1</v>
      </c>
      <c r="CU12" s="103">
        <v>766491.6</v>
      </c>
      <c r="CV12" s="104">
        <v>3.9837488108154087E-2</v>
      </c>
      <c r="CW12" s="103">
        <v>38431.30932</v>
      </c>
      <c r="CX12" s="103">
        <v>8.0500000000000007</v>
      </c>
      <c r="CY12" s="103">
        <v>950889.33938999998</v>
      </c>
      <c r="CZ12" s="103">
        <v>12.587498464939211</v>
      </c>
      <c r="DA12" s="103">
        <f t="shared" si="2"/>
        <v>101.32936264276066</v>
      </c>
      <c r="DB12" s="103">
        <v>81743.199999999997</v>
      </c>
      <c r="DC12" s="103">
        <v>898519.6</v>
      </c>
      <c r="DD12" s="104">
        <v>9.0975422238980655E-2</v>
      </c>
      <c r="DE12" s="103">
        <v>7180.6174300000002</v>
      </c>
      <c r="DF12" s="103">
        <v>0.76</v>
      </c>
      <c r="DG12" s="103">
        <v>190977.85013000001</v>
      </c>
      <c r="DH12" s="103">
        <v>1.7</v>
      </c>
      <c r="DI12" s="103">
        <f t="shared" si="3"/>
        <v>1.292</v>
      </c>
      <c r="DJ12" s="103">
        <v>20623.599999999999</v>
      </c>
      <c r="DK12" s="103">
        <v>664973.5</v>
      </c>
      <c r="DL12" s="104">
        <v>3.1014168233771719E-2</v>
      </c>
    </row>
    <row r="13" spans="1:116" s="15" customFormat="1" ht="135.19999999999999" customHeight="1" x14ac:dyDescent="0.25">
      <c r="A13" s="100" t="s">
        <v>98</v>
      </c>
      <c r="B13" s="100" t="s">
        <v>2143</v>
      </c>
      <c r="C13" s="100" t="s">
        <v>87</v>
      </c>
      <c r="D13" s="101" t="str">
        <f>"Chemistry 376"</f>
        <v>Chemistry 376</v>
      </c>
      <c r="E13" s="102" t="s">
        <v>2144</v>
      </c>
      <c r="F13" s="100">
        <v>2</v>
      </c>
      <c r="G13" s="100">
        <v>1</v>
      </c>
      <c r="H13" s="100">
        <v>0.5</v>
      </c>
      <c r="I13" s="100">
        <v>7</v>
      </c>
      <c r="J13" s="100">
        <v>5</v>
      </c>
      <c r="K13" s="100">
        <v>4</v>
      </c>
      <c r="L13" s="100">
        <v>4</v>
      </c>
      <c r="M13" s="100">
        <v>1</v>
      </c>
      <c r="N13" s="100">
        <v>3</v>
      </c>
      <c r="O13" s="100">
        <v>0</v>
      </c>
      <c r="P13" s="100">
        <v>0.14000000000000001</v>
      </c>
      <c r="Q13" s="100">
        <v>43.6</v>
      </c>
      <c r="R13" s="100">
        <v>0</v>
      </c>
      <c r="S13" s="100">
        <v>0</v>
      </c>
      <c r="T13" s="100">
        <v>0</v>
      </c>
      <c r="U13" s="100">
        <v>1</v>
      </c>
      <c r="V13" s="100">
        <v>1</v>
      </c>
      <c r="W13" s="100">
        <v>1</v>
      </c>
      <c r="X13" s="100">
        <v>0</v>
      </c>
      <c r="Y13" s="100">
        <v>0</v>
      </c>
      <c r="Z13" s="100">
        <v>0</v>
      </c>
      <c r="AA13" s="100">
        <v>1</v>
      </c>
      <c r="AB13" s="100">
        <v>0</v>
      </c>
      <c r="AC13" s="100">
        <v>1</v>
      </c>
      <c r="AD13" s="100">
        <v>0</v>
      </c>
      <c r="AE13" s="100">
        <v>1</v>
      </c>
      <c r="AF13" s="100">
        <v>0</v>
      </c>
      <c r="AG13" s="100">
        <v>0</v>
      </c>
      <c r="AH13" s="100">
        <v>0</v>
      </c>
      <c r="AI13" s="100">
        <v>1</v>
      </c>
      <c r="AJ13" s="100">
        <v>0</v>
      </c>
      <c r="AK13" s="100">
        <v>1</v>
      </c>
      <c r="AL13" s="100">
        <v>0</v>
      </c>
      <c r="AM13" s="100">
        <v>1</v>
      </c>
      <c r="AN13" s="100">
        <v>1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1</v>
      </c>
      <c r="BW13" s="100">
        <v>0</v>
      </c>
      <c r="BX13" s="100">
        <v>0</v>
      </c>
      <c r="BY13" s="100">
        <v>0</v>
      </c>
      <c r="BZ13" s="100">
        <v>0</v>
      </c>
      <c r="CA13" s="100">
        <v>0</v>
      </c>
      <c r="CB13" s="100" t="s">
        <v>2090</v>
      </c>
      <c r="CC13" s="100">
        <v>0</v>
      </c>
      <c r="CD13" s="100">
        <v>0</v>
      </c>
      <c r="CE13" s="100">
        <v>0</v>
      </c>
      <c r="CF13" s="100">
        <v>0</v>
      </c>
      <c r="CG13" s="103">
        <v>293285.83471000002</v>
      </c>
      <c r="CH13" s="103">
        <v>51.62</v>
      </c>
      <c r="CI13" s="103">
        <v>3661415.94411</v>
      </c>
      <c r="CJ13" s="103">
        <v>60.31</v>
      </c>
      <c r="CK13" s="103">
        <f t="shared" si="0"/>
        <v>3113.2022000000002</v>
      </c>
      <c r="CL13" s="103">
        <v>398929.3</v>
      </c>
      <c r="CM13" s="103">
        <v>959042.7</v>
      </c>
      <c r="CN13" s="104">
        <v>0.41596615041228091</v>
      </c>
      <c r="CO13" s="103">
        <v>171259.51149999999</v>
      </c>
      <c r="CP13" s="103">
        <v>24.82</v>
      </c>
      <c r="CQ13" s="103">
        <v>2747060.03535</v>
      </c>
      <c r="CR13" s="103">
        <v>27.23</v>
      </c>
      <c r="CS13" s="103">
        <f t="shared" si="1"/>
        <v>675.84860000000003</v>
      </c>
      <c r="CT13" s="103">
        <v>95190.5</v>
      </c>
      <c r="CU13" s="103">
        <v>626522.9</v>
      </c>
      <c r="CV13" s="104">
        <v>0.1519345901003778</v>
      </c>
      <c r="CW13" s="103">
        <v>107559.28107</v>
      </c>
      <c r="CX13" s="103">
        <v>22.82</v>
      </c>
      <c r="CY13" s="103">
        <v>1850945.3844000001</v>
      </c>
      <c r="CZ13" s="103">
        <v>21.296086858176881</v>
      </c>
      <c r="DA13" s="103">
        <f t="shared" si="2"/>
        <v>485.97670210359644</v>
      </c>
      <c r="DB13" s="103">
        <v>209344.1</v>
      </c>
      <c r="DC13" s="103">
        <v>718309</v>
      </c>
      <c r="DD13" s="104">
        <v>0.29144017407550232</v>
      </c>
      <c r="DE13" s="103">
        <v>140706.97602</v>
      </c>
      <c r="DF13" s="103">
        <v>16.739999999999998</v>
      </c>
      <c r="DG13" s="103">
        <v>2624443.9392400002</v>
      </c>
      <c r="DH13" s="103">
        <v>20.8</v>
      </c>
      <c r="DI13" s="103">
        <f t="shared" si="3"/>
        <v>348.19200000000001</v>
      </c>
      <c r="DJ13" s="103">
        <v>51473.8</v>
      </c>
      <c r="DK13" s="103">
        <v>424558.6</v>
      </c>
      <c r="DL13" s="104">
        <v>0.12124074273845827</v>
      </c>
    </row>
    <row r="14" spans="1:116" s="15" customFormat="1" ht="132.94999999999999" customHeight="1" x14ac:dyDescent="0.25">
      <c r="A14" s="100" t="s">
        <v>99</v>
      </c>
      <c r="B14" s="100" t="s">
        <v>2145</v>
      </c>
      <c r="C14" s="100" t="s">
        <v>87</v>
      </c>
      <c r="D14" s="101" t="str">
        <f>"Chemistry 227"</f>
        <v>Chemistry 227</v>
      </c>
      <c r="E14" s="102" t="s">
        <v>2146</v>
      </c>
      <c r="F14" s="100">
        <v>4</v>
      </c>
      <c r="G14" s="100">
        <v>0</v>
      </c>
      <c r="H14" s="100">
        <v>0</v>
      </c>
      <c r="I14" s="100">
        <v>6</v>
      </c>
      <c r="J14" s="100">
        <v>2</v>
      </c>
      <c r="K14" s="100">
        <v>1</v>
      </c>
      <c r="L14" s="100">
        <v>0</v>
      </c>
      <c r="M14" s="100">
        <v>1</v>
      </c>
      <c r="N14" s="100">
        <v>0</v>
      </c>
      <c r="O14" s="100">
        <v>0</v>
      </c>
      <c r="P14" s="100">
        <v>2.69</v>
      </c>
      <c r="Q14" s="100">
        <v>0</v>
      </c>
      <c r="R14" s="100">
        <v>0</v>
      </c>
      <c r="S14" s="100">
        <v>0</v>
      </c>
      <c r="T14" s="100">
        <v>0</v>
      </c>
      <c r="U14" s="100">
        <v>1</v>
      </c>
      <c r="V14" s="100">
        <v>0</v>
      </c>
      <c r="W14" s="100">
        <v>0</v>
      </c>
      <c r="X14" s="100">
        <v>1</v>
      </c>
      <c r="Y14" s="100">
        <v>0</v>
      </c>
      <c r="Z14" s="100">
        <v>0</v>
      </c>
      <c r="AA14" s="100">
        <v>1</v>
      </c>
      <c r="AB14" s="100">
        <v>0</v>
      </c>
      <c r="AC14" s="100">
        <v>0</v>
      </c>
      <c r="AD14" s="100">
        <v>1</v>
      </c>
      <c r="AE14" s="100">
        <v>0</v>
      </c>
      <c r="AF14" s="100">
        <v>1</v>
      </c>
      <c r="AG14" s="100">
        <v>0</v>
      </c>
      <c r="AH14" s="100">
        <v>1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1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1</v>
      </c>
      <c r="BW14" s="100">
        <v>0</v>
      </c>
      <c r="BX14" s="100">
        <v>0</v>
      </c>
      <c r="BY14" s="100">
        <v>0</v>
      </c>
      <c r="BZ14" s="100">
        <v>0</v>
      </c>
      <c r="CA14" s="100">
        <v>0</v>
      </c>
      <c r="CB14" s="100" t="s">
        <v>2090</v>
      </c>
      <c r="CC14" s="100">
        <v>0</v>
      </c>
      <c r="CD14" s="100">
        <v>0</v>
      </c>
      <c r="CE14" s="100">
        <v>0</v>
      </c>
      <c r="CF14" s="100">
        <v>0</v>
      </c>
      <c r="CG14" s="103">
        <v>27789.58842</v>
      </c>
      <c r="CH14" s="103">
        <v>6.66</v>
      </c>
      <c r="CI14" s="103">
        <v>363963.59168000001</v>
      </c>
      <c r="CJ14" s="103">
        <v>5.65</v>
      </c>
      <c r="CK14" s="103">
        <f t="shared" si="0"/>
        <v>37.629000000000005</v>
      </c>
      <c r="CL14" s="103">
        <v>113159.2</v>
      </c>
      <c r="CM14" s="103">
        <v>1015905.7</v>
      </c>
      <c r="CN14" s="104">
        <v>0.11138750378110882</v>
      </c>
      <c r="CO14" s="103">
        <v>30442.906500000001</v>
      </c>
      <c r="CP14" s="103">
        <v>5.9399999999999995</v>
      </c>
      <c r="CQ14" s="103">
        <v>221621.90006000001</v>
      </c>
      <c r="CR14" s="103">
        <v>3.41</v>
      </c>
      <c r="CS14" s="103">
        <f t="shared" si="1"/>
        <v>20.255399999999998</v>
      </c>
      <c r="CT14" s="103">
        <v>12815.7</v>
      </c>
      <c r="CU14" s="103">
        <v>498174.5</v>
      </c>
      <c r="CV14" s="104">
        <v>2.5725323154838317E-2</v>
      </c>
      <c r="CW14" s="103">
        <v>75030.882500000007</v>
      </c>
      <c r="CX14" s="103">
        <v>21.75</v>
      </c>
      <c r="CY14" s="103">
        <v>80002.914309999993</v>
      </c>
      <c r="CZ14" s="103">
        <v>11.633663366336634</v>
      </c>
      <c r="DA14" s="103">
        <f t="shared" si="2"/>
        <v>253.03217821782181</v>
      </c>
      <c r="DB14" s="103">
        <v>29878.400000000001</v>
      </c>
      <c r="DC14" s="103">
        <v>598898.6</v>
      </c>
      <c r="DD14" s="104">
        <v>4.9888912747500166E-2</v>
      </c>
      <c r="DE14" s="103">
        <v>5361.33259</v>
      </c>
      <c r="DF14" s="103">
        <v>0.87</v>
      </c>
      <c r="DG14" s="103">
        <v>504.84361000000001</v>
      </c>
      <c r="DH14" s="103">
        <v>2.48</v>
      </c>
      <c r="DI14" s="103">
        <f t="shared" si="3"/>
        <v>2.1576</v>
      </c>
      <c r="DJ14" s="103">
        <v>34573.800000000003</v>
      </c>
      <c r="DK14" s="103">
        <v>868570.8</v>
      </c>
      <c r="DL14" s="104">
        <v>3.9805390648637973E-2</v>
      </c>
    </row>
    <row r="15" spans="1:116" s="15" customFormat="1" ht="141.94999999999999" customHeight="1" x14ac:dyDescent="0.25">
      <c r="A15" s="100" t="s">
        <v>100</v>
      </c>
      <c r="B15" s="100" t="s">
        <v>2147</v>
      </c>
      <c r="C15" s="100" t="s">
        <v>87</v>
      </c>
      <c r="D15" s="101" t="str">
        <f>"Chemistry 206"</f>
        <v>Chemistry 206</v>
      </c>
      <c r="E15" s="102" t="s">
        <v>2148</v>
      </c>
      <c r="F15" s="100">
        <v>4</v>
      </c>
      <c r="G15" s="100">
        <v>0</v>
      </c>
      <c r="H15" s="100">
        <v>0</v>
      </c>
      <c r="I15" s="100">
        <v>6</v>
      </c>
      <c r="J15" s="100">
        <v>2</v>
      </c>
      <c r="K15" s="100">
        <v>1</v>
      </c>
      <c r="L15" s="100">
        <v>0</v>
      </c>
      <c r="M15" s="100">
        <v>1</v>
      </c>
      <c r="N15" s="100">
        <v>0</v>
      </c>
      <c r="O15" s="100">
        <v>0</v>
      </c>
      <c r="P15" s="100">
        <v>2.69</v>
      </c>
      <c r="Q15" s="100">
        <v>0</v>
      </c>
      <c r="R15" s="100">
        <v>0</v>
      </c>
      <c r="S15" s="100">
        <v>0</v>
      </c>
      <c r="T15" s="100">
        <v>0</v>
      </c>
      <c r="U15" s="100">
        <v>1</v>
      </c>
      <c r="V15" s="100">
        <v>0</v>
      </c>
      <c r="W15" s="100">
        <v>0</v>
      </c>
      <c r="X15" s="100">
        <v>1</v>
      </c>
      <c r="Y15" s="100">
        <v>0</v>
      </c>
      <c r="Z15" s="100">
        <v>0</v>
      </c>
      <c r="AA15" s="100">
        <v>1</v>
      </c>
      <c r="AB15" s="100">
        <v>0</v>
      </c>
      <c r="AC15" s="100">
        <v>0</v>
      </c>
      <c r="AD15" s="100">
        <v>1</v>
      </c>
      <c r="AE15" s="100">
        <v>0</v>
      </c>
      <c r="AF15" s="100">
        <v>1</v>
      </c>
      <c r="AG15" s="100">
        <v>0</v>
      </c>
      <c r="AH15" s="100">
        <v>1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1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1</v>
      </c>
      <c r="BW15" s="100">
        <v>0</v>
      </c>
      <c r="BX15" s="100">
        <v>0</v>
      </c>
      <c r="BY15" s="100">
        <v>0</v>
      </c>
      <c r="BZ15" s="100">
        <v>0</v>
      </c>
      <c r="CA15" s="100">
        <v>0</v>
      </c>
      <c r="CB15" s="100" t="s">
        <v>2090</v>
      </c>
      <c r="CC15" s="100">
        <v>0</v>
      </c>
      <c r="CD15" s="100">
        <v>0</v>
      </c>
      <c r="CE15" s="100">
        <v>0</v>
      </c>
      <c r="CF15" s="100">
        <v>0</v>
      </c>
      <c r="CG15" s="103">
        <v>130601.27571</v>
      </c>
      <c r="CH15" s="103">
        <v>25.75</v>
      </c>
      <c r="CI15" s="103">
        <v>2993712.38723</v>
      </c>
      <c r="CJ15" s="103">
        <v>37.76</v>
      </c>
      <c r="CK15" s="103">
        <f t="shared" si="0"/>
        <v>972.31999999999994</v>
      </c>
      <c r="CL15" s="103">
        <v>33696.199999999997</v>
      </c>
      <c r="CM15" s="103">
        <v>764080.1</v>
      </c>
      <c r="CN15" s="104">
        <v>4.4100350211973845E-2</v>
      </c>
      <c r="CO15" s="103">
        <v>9269.59908</v>
      </c>
      <c r="CP15" s="103">
        <v>1.85</v>
      </c>
      <c r="CQ15" s="103">
        <v>180522.74255</v>
      </c>
      <c r="CR15" s="103">
        <v>3.13</v>
      </c>
      <c r="CS15" s="103">
        <f t="shared" si="1"/>
        <v>5.7904999999999998</v>
      </c>
      <c r="CT15" s="103">
        <v>17668.5</v>
      </c>
      <c r="CU15" s="103">
        <v>371077</v>
      </c>
      <c r="CV15" s="104">
        <v>4.7614107045168524E-2</v>
      </c>
      <c r="CW15" s="103">
        <v>14935.214819999999</v>
      </c>
      <c r="CX15" s="103">
        <v>3.4</v>
      </c>
      <c r="CY15" s="103">
        <v>869267.89236000006</v>
      </c>
      <c r="CZ15" s="103">
        <v>11.925184655706458</v>
      </c>
      <c r="DA15" s="103">
        <f t="shared" si="2"/>
        <v>40.545627829401958</v>
      </c>
      <c r="DB15" s="103">
        <v>52889.2</v>
      </c>
      <c r="DC15" s="103">
        <v>885012.2</v>
      </c>
      <c r="DD15" s="104">
        <v>5.97609840858691E-2</v>
      </c>
      <c r="DE15" s="103">
        <v>0</v>
      </c>
      <c r="DF15" s="103">
        <v>0</v>
      </c>
      <c r="DG15" s="103">
        <v>0</v>
      </c>
      <c r="DH15" s="103">
        <v>0</v>
      </c>
      <c r="DI15" s="103">
        <f t="shared" si="3"/>
        <v>0</v>
      </c>
      <c r="DJ15" s="103">
        <v>24603.9</v>
      </c>
      <c r="DK15" s="103">
        <v>552032.6</v>
      </c>
      <c r="DL15" s="104">
        <v>4.4569650415573286E-2</v>
      </c>
    </row>
    <row r="16" spans="1:116" s="15" customFormat="1" ht="148.69999999999999" customHeight="1" x14ac:dyDescent="0.25">
      <c r="A16" s="100" t="s">
        <v>101</v>
      </c>
      <c r="B16" s="100" t="s">
        <v>2149</v>
      </c>
      <c r="C16" s="100" t="s">
        <v>87</v>
      </c>
      <c r="D16" s="101" t="str">
        <f>"Chemistry 279"</f>
        <v>Chemistry 279</v>
      </c>
      <c r="E16" s="102" t="s">
        <v>2150</v>
      </c>
      <c r="F16" s="100">
        <v>3</v>
      </c>
      <c r="G16" s="100">
        <v>0</v>
      </c>
      <c r="H16" s="100">
        <v>0</v>
      </c>
      <c r="I16" s="100">
        <v>6</v>
      </c>
      <c r="J16" s="100">
        <v>3</v>
      </c>
      <c r="K16" s="100">
        <v>2</v>
      </c>
      <c r="L16" s="100">
        <v>1</v>
      </c>
      <c r="M16" s="100">
        <v>1</v>
      </c>
      <c r="N16" s="100">
        <v>1</v>
      </c>
      <c r="O16" s="100">
        <v>0</v>
      </c>
      <c r="P16" s="100">
        <v>1.79</v>
      </c>
      <c r="Q16" s="100">
        <v>12.89</v>
      </c>
      <c r="R16" s="100">
        <v>0</v>
      </c>
      <c r="S16" s="100">
        <v>0</v>
      </c>
      <c r="T16" s="100">
        <v>0</v>
      </c>
      <c r="U16" s="100">
        <v>1</v>
      </c>
      <c r="V16" s="100">
        <v>0</v>
      </c>
      <c r="W16" s="100">
        <v>0</v>
      </c>
      <c r="X16" s="100">
        <v>1</v>
      </c>
      <c r="Y16" s="100">
        <v>0</v>
      </c>
      <c r="Z16" s="100">
        <v>0</v>
      </c>
      <c r="AA16" s="100">
        <v>1</v>
      </c>
      <c r="AB16" s="100">
        <v>0</v>
      </c>
      <c r="AC16" s="100">
        <v>1</v>
      </c>
      <c r="AD16" s="100">
        <v>0</v>
      </c>
      <c r="AE16" s="100">
        <v>1</v>
      </c>
      <c r="AF16" s="100">
        <v>0</v>
      </c>
      <c r="AG16" s="100">
        <v>0</v>
      </c>
      <c r="AH16" s="100">
        <v>1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1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1</v>
      </c>
      <c r="BR16" s="100">
        <v>0</v>
      </c>
      <c r="BS16" s="100">
        <v>0</v>
      </c>
      <c r="BT16" s="100">
        <v>0</v>
      </c>
      <c r="BU16" s="100">
        <v>1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 t="s">
        <v>2090</v>
      </c>
      <c r="CC16" s="100">
        <v>0</v>
      </c>
      <c r="CD16" s="100">
        <v>0</v>
      </c>
      <c r="CE16" s="100">
        <v>0</v>
      </c>
      <c r="CF16" s="100">
        <v>0</v>
      </c>
      <c r="CG16" s="103">
        <v>93456.189010000002</v>
      </c>
      <c r="CH16" s="103">
        <v>19.48</v>
      </c>
      <c r="CI16" s="103">
        <v>1496799.81223</v>
      </c>
      <c r="CJ16" s="103">
        <v>21.81</v>
      </c>
      <c r="CK16" s="103">
        <f t="shared" si="0"/>
        <v>424.85879999999997</v>
      </c>
      <c r="CL16" s="103">
        <v>63487.199999999997</v>
      </c>
      <c r="CM16" s="103">
        <v>890773.4</v>
      </c>
      <c r="CN16" s="104">
        <v>7.1271998018800284E-2</v>
      </c>
      <c r="CO16" s="103">
        <v>80806.675770000002</v>
      </c>
      <c r="CP16" s="103">
        <v>13.21</v>
      </c>
      <c r="CQ16" s="103">
        <v>1402740.25764</v>
      </c>
      <c r="CR16" s="103">
        <v>19.600000000000001</v>
      </c>
      <c r="CS16" s="103">
        <f t="shared" si="1"/>
        <v>258.91600000000005</v>
      </c>
      <c r="CT16" s="103">
        <v>44426.3</v>
      </c>
      <c r="CU16" s="103">
        <v>722609</v>
      </c>
      <c r="CV16" s="104">
        <v>6.1480413335565989E-2</v>
      </c>
      <c r="CW16" s="103">
        <v>3796.6370999999999</v>
      </c>
      <c r="CX16" s="103">
        <v>1.26</v>
      </c>
      <c r="CY16" s="103">
        <v>30951.55804</v>
      </c>
      <c r="CZ16" s="103">
        <v>1.761846901579587</v>
      </c>
      <c r="DA16" s="103">
        <f t="shared" si="2"/>
        <v>2.2199270959902795</v>
      </c>
      <c r="DB16" s="103">
        <v>14971.2</v>
      </c>
      <c r="DC16" s="103">
        <v>377539.1</v>
      </c>
      <c r="DD16" s="104">
        <v>3.9654700665441016E-2</v>
      </c>
      <c r="DE16" s="103">
        <v>87111.220249999998</v>
      </c>
      <c r="DF16" s="103">
        <v>11.73</v>
      </c>
      <c r="DG16" s="103">
        <v>1664066.53831</v>
      </c>
      <c r="DH16" s="103">
        <v>15.23</v>
      </c>
      <c r="DI16" s="103">
        <f t="shared" si="3"/>
        <v>178.64790000000002</v>
      </c>
      <c r="DJ16" s="103">
        <v>34205.5</v>
      </c>
      <c r="DK16" s="103">
        <v>846299.1</v>
      </c>
      <c r="DL16" s="104">
        <v>4.0417743561348467E-2</v>
      </c>
    </row>
    <row r="17" spans="1:116" s="15" customFormat="1" ht="141.94999999999999" customHeight="1" x14ac:dyDescent="0.25">
      <c r="A17" s="100" t="s">
        <v>102</v>
      </c>
      <c r="B17" s="100" t="s">
        <v>2151</v>
      </c>
      <c r="C17" s="100" t="s">
        <v>87</v>
      </c>
      <c r="D17" s="101" t="str">
        <f>"Chemistry 241"</f>
        <v>Chemistry 241</v>
      </c>
      <c r="E17" s="102" t="s">
        <v>2152</v>
      </c>
      <c r="F17" s="100">
        <v>3</v>
      </c>
      <c r="G17" s="100">
        <v>0</v>
      </c>
      <c r="H17" s="100">
        <v>0</v>
      </c>
      <c r="I17" s="100">
        <v>6</v>
      </c>
      <c r="J17" s="100">
        <v>3</v>
      </c>
      <c r="K17" s="100">
        <v>2</v>
      </c>
      <c r="L17" s="100">
        <v>1</v>
      </c>
      <c r="M17" s="100">
        <v>1</v>
      </c>
      <c r="N17" s="100">
        <v>1</v>
      </c>
      <c r="O17" s="100">
        <v>0</v>
      </c>
      <c r="P17" s="100">
        <v>1.4</v>
      </c>
      <c r="Q17" s="100">
        <v>12.89</v>
      </c>
      <c r="R17" s="100">
        <v>0</v>
      </c>
      <c r="S17" s="100">
        <v>0</v>
      </c>
      <c r="T17" s="100">
        <v>0</v>
      </c>
      <c r="U17" s="100">
        <v>1</v>
      </c>
      <c r="V17" s="100">
        <v>0</v>
      </c>
      <c r="W17" s="100">
        <v>0</v>
      </c>
      <c r="X17" s="100">
        <v>1</v>
      </c>
      <c r="Y17" s="100">
        <v>0</v>
      </c>
      <c r="Z17" s="100">
        <v>0</v>
      </c>
      <c r="AA17" s="100">
        <v>1</v>
      </c>
      <c r="AB17" s="100">
        <v>0</v>
      </c>
      <c r="AC17" s="100">
        <v>1</v>
      </c>
      <c r="AD17" s="100">
        <v>0</v>
      </c>
      <c r="AE17" s="100">
        <v>1</v>
      </c>
      <c r="AF17" s="100">
        <v>0</v>
      </c>
      <c r="AG17" s="100">
        <v>0</v>
      </c>
      <c r="AH17" s="100">
        <v>1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1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1</v>
      </c>
      <c r="BW17" s="100">
        <v>0</v>
      </c>
      <c r="BX17" s="100">
        <v>0</v>
      </c>
      <c r="BY17" s="100">
        <v>0</v>
      </c>
      <c r="BZ17" s="100">
        <v>0</v>
      </c>
      <c r="CA17" s="100">
        <v>0</v>
      </c>
      <c r="CB17" s="100" t="s">
        <v>2090</v>
      </c>
      <c r="CC17" s="100">
        <v>0</v>
      </c>
      <c r="CD17" s="100">
        <v>0</v>
      </c>
      <c r="CE17" s="100">
        <v>0</v>
      </c>
      <c r="CF17" s="100">
        <v>0</v>
      </c>
      <c r="CG17" s="103">
        <v>29976.463769999998</v>
      </c>
      <c r="CH17" s="103">
        <v>6.27</v>
      </c>
      <c r="CI17" s="103">
        <v>863580.40079999994</v>
      </c>
      <c r="CJ17" s="103">
        <v>12.49</v>
      </c>
      <c r="CK17" s="103">
        <f t="shared" si="0"/>
        <v>78.312299999999993</v>
      </c>
      <c r="CL17" s="103">
        <v>19033</v>
      </c>
      <c r="CM17" s="103">
        <v>569841.5</v>
      </c>
      <c r="CN17" s="104">
        <v>3.340051575745185E-2</v>
      </c>
      <c r="CO17" s="103">
        <v>10689.600710000001</v>
      </c>
      <c r="CP17" s="103">
        <v>1.7</v>
      </c>
      <c r="CQ17" s="103">
        <v>315847.52772999997</v>
      </c>
      <c r="CR17" s="103">
        <v>4.43</v>
      </c>
      <c r="CS17" s="103">
        <f t="shared" si="1"/>
        <v>7.5309999999999997</v>
      </c>
      <c r="CT17" s="103">
        <v>21328</v>
      </c>
      <c r="CU17" s="103">
        <v>567690.30000000005</v>
      </c>
      <c r="CV17" s="104">
        <v>3.7569780565213109E-2</v>
      </c>
      <c r="CW17" s="103">
        <v>0</v>
      </c>
      <c r="CX17" s="103">
        <v>0</v>
      </c>
      <c r="CY17" s="103">
        <v>35146.65999</v>
      </c>
      <c r="CZ17" s="103">
        <v>0.71214392803598203</v>
      </c>
      <c r="DA17" s="103">
        <f t="shared" si="2"/>
        <v>0</v>
      </c>
      <c r="DB17" s="103">
        <v>83567.3</v>
      </c>
      <c r="DC17" s="103">
        <v>767819.9</v>
      </c>
      <c r="DD17" s="104">
        <v>0.10883711141115254</v>
      </c>
      <c r="DE17" s="103">
        <v>2831.3094700000001</v>
      </c>
      <c r="DF17" s="103">
        <v>0.35</v>
      </c>
      <c r="DG17" s="103">
        <v>73081.087199999994</v>
      </c>
      <c r="DH17" s="103">
        <v>4.6399999999999997</v>
      </c>
      <c r="DI17" s="103">
        <f t="shared" si="3"/>
        <v>1.6239999999999999</v>
      </c>
      <c r="DJ17" s="103">
        <v>22236.400000000001</v>
      </c>
      <c r="DK17" s="103">
        <v>532134.30000000005</v>
      </c>
      <c r="DL17" s="104">
        <v>4.1787195450471805E-2</v>
      </c>
    </row>
    <row r="18" spans="1:116" s="15" customFormat="1" ht="114.2" customHeight="1" x14ac:dyDescent="0.25">
      <c r="A18" s="100" t="s">
        <v>103</v>
      </c>
      <c r="B18" s="100" t="s">
        <v>2153</v>
      </c>
      <c r="C18" s="100" t="s">
        <v>87</v>
      </c>
      <c r="D18" s="101" t="str">
        <f>"Chemistry 210"</f>
        <v>Chemistry 210</v>
      </c>
      <c r="E18" s="102" t="s">
        <v>2154</v>
      </c>
      <c r="F18" s="100">
        <v>2</v>
      </c>
      <c r="G18" s="100">
        <v>0</v>
      </c>
      <c r="H18" s="100">
        <v>0</v>
      </c>
      <c r="I18" s="100">
        <v>6</v>
      </c>
      <c r="J18" s="100">
        <v>4</v>
      </c>
      <c r="K18" s="100">
        <v>3</v>
      </c>
      <c r="L18" s="100">
        <v>2</v>
      </c>
      <c r="M18" s="100">
        <v>1</v>
      </c>
      <c r="N18" s="100">
        <v>2</v>
      </c>
      <c r="O18" s="100">
        <v>0</v>
      </c>
      <c r="P18" s="100">
        <v>1.56</v>
      </c>
      <c r="Q18" s="100">
        <v>25.78</v>
      </c>
      <c r="R18" s="100">
        <v>0</v>
      </c>
      <c r="S18" s="100">
        <v>0</v>
      </c>
      <c r="T18" s="100">
        <v>0</v>
      </c>
      <c r="U18" s="100">
        <v>1</v>
      </c>
      <c r="V18" s="100">
        <v>0</v>
      </c>
      <c r="W18" s="100">
        <v>1</v>
      </c>
      <c r="X18" s="100">
        <v>0</v>
      </c>
      <c r="Y18" s="100">
        <v>0</v>
      </c>
      <c r="Z18" s="100">
        <v>0</v>
      </c>
      <c r="AA18" s="100">
        <v>1</v>
      </c>
      <c r="AB18" s="100">
        <v>0</v>
      </c>
      <c r="AC18" s="100">
        <v>1</v>
      </c>
      <c r="AD18" s="100">
        <v>0</v>
      </c>
      <c r="AE18" s="100">
        <v>1</v>
      </c>
      <c r="AF18" s="100">
        <v>0</v>
      </c>
      <c r="AG18" s="100">
        <v>0</v>
      </c>
      <c r="AH18" s="100">
        <v>1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1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1</v>
      </c>
      <c r="BR18" s="100">
        <v>0</v>
      </c>
      <c r="BS18" s="100">
        <v>0</v>
      </c>
      <c r="BT18" s="100">
        <v>0</v>
      </c>
      <c r="BU18" s="100">
        <v>1</v>
      </c>
      <c r="BV18" s="100">
        <v>0</v>
      </c>
      <c r="BW18" s="100">
        <v>0</v>
      </c>
      <c r="BX18" s="100">
        <v>0</v>
      </c>
      <c r="BY18" s="100">
        <v>0</v>
      </c>
      <c r="BZ18" s="100">
        <v>0</v>
      </c>
      <c r="CA18" s="100">
        <v>0</v>
      </c>
      <c r="CB18" s="100" t="s">
        <v>2090</v>
      </c>
      <c r="CC18" s="100">
        <v>0</v>
      </c>
      <c r="CD18" s="100">
        <v>0</v>
      </c>
      <c r="CE18" s="100">
        <v>0</v>
      </c>
      <c r="CF18" s="100">
        <v>0</v>
      </c>
      <c r="CG18" s="103">
        <v>3975.5282999999999</v>
      </c>
      <c r="CH18" s="103">
        <v>0.79</v>
      </c>
      <c r="CI18" s="103">
        <v>115127.70806999999</v>
      </c>
      <c r="CJ18" s="103">
        <v>3.57</v>
      </c>
      <c r="CK18" s="103">
        <f t="shared" si="0"/>
        <v>2.8203</v>
      </c>
      <c r="CL18" s="103">
        <v>67653.399999999994</v>
      </c>
      <c r="CM18" s="103">
        <v>773988</v>
      </c>
      <c r="CN18" s="104">
        <v>8.7408848716000756E-2</v>
      </c>
      <c r="CO18" s="103">
        <v>5345.4450999999999</v>
      </c>
      <c r="CP18" s="103">
        <v>0.63</v>
      </c>
      <c r="CQ18" s="103">
        <v>87549.989809999999</v>
      </c>
      <c r="CR18" s="103">
        <v>1.6800000000000002</v>
      </c>
      <c r="CS18" s="103">
        <f t="shared" si="1"/>
        <v>1.0584</v>
      </c>
      <c r="CT18" s="103">
        <v>45845.9</v>
      </c>
      <c r="CU18" s="103">
        <v>635687.9</v>
      </c>
      <c r="CV18" s="104">
        <v>7.2120139458372576E-2</v>
      </c>
      <c r="CW18" s="103">
        <v>34.566809999999997</v>
      </c>
      <c r="CX18" s="103">
        <v>0.01</v>
      </c>
      <c r="CY18" s="103">
        <v>35225.591800000002</v>
      </c>
      <c r="CZ18" s="103">
        <v>3.5169860627177703</v>
      </c>
      <c r="DA18" s="103">
        <f t="shared" si="2"/>
        <v>3.5169860627177703E-2</v>
      </c>
      <c r="DB18" s="103">
        <v>73639.199999999997</v>
      </c>
      <c r="DC18" s="103">
        <v>687941.3</v>
      </c>
      <c r="DD18" s="104">
        <v>0.10704285380162522</v>
      </c>
      <c r="DE18" s="103">
        <v>2783.3917499999998</v>
      </c>
      <c r="DF18" s="103">
        <v>0.28999999999999998</v>
      </c>
      <c r="DG18" s="103">
        <v>144087.37460000001</v>
      </c>
      <c r="DH18" s="103">
        <v>2.3199999999999998</v>
      </c>
      <c r="DI18" s="103">
        <f t="shared" si="3"/>
        <v>0.67279999999999995</v>
      </c>
      <c r="DJ18" s="103">
        <v>23725.4</v>
      </c>
      <c r="DK18" s="103">
        <v>475168.7</v>
      </c>
      <c r="DL18" s="104">
        <v>4.9930477323106508E-2</v>
      </c>
    </row>
    <row r="19" spans="1:116" s="15" customFormat="1" ht="171.2" customHeight="1" x14ac:dyDescent="0.25">
      <c r="A19" s="100" t="s">
        <v>104</v>
      </c>
      <c r="B19" s="100" t="s">
        <v>2155</v>
      </c>
      <c r="C19" s="100" t="s">
        <v>87</v>
      </c>
      <c r="D19" s="101" t="str">
        <f>"Chemistry 380"</f>
        <v>Chemistry 380</v>
      </c>
      <c r="E19" s="102" t="s">
        <v>2156</v>
      </c>
      <c r="F19" s="100">
        <v>6</v>
      </c>
      <c r="G19" s="100">
        <v>1</v>
      </c>
      <c r="H19" s="100">
        <v>0.17</v>
      </c>
      <c r="I19" s="100">
        <v>8</v>
      </c>
      <c r="J19" s="100">
        <v>2</v>
      </c>
      <c r="K19" s="100">
        <v>1</v>
      </c>
      <c r="L19" s="100">
        <v>1</v>
      </c>
      <c r="M19" s="100">
        <v>1</v>
      </c>
      <c r="N19" s="100">
        <v>1</v>
      </c>
      <c r="O19" s="100">
        <v>0</v>
      </c>
      <c r="P19" s="100">
        <v>2.09</v>
      </c>
      <c r="Q19" s="100">
        <v>12.89</v>
      </c>
      <c r="R19" s="100">
        <v>0</v>
      </c>
      <c r="S19" s="100">
        <v>0</v>
      </c>
      <c r="T19" s="100">
        <v>0</v>
      </c>
      <c r="U19" s="100">
        <v>1</v>
      </c>
      <c r="V19" s="100">
        <v>0</v>
      </c>
      <c r="W19" s="100">
        <v>0</v>
      </c>
      <c r="X19" s="100">
        <v>1</v>
      </c>
      <c r="Y19" s="100">
        <v>0</v>
      </c>
      <c r="Z19" s="100">
        <v>0</v>
      </c>
      <c r="AA19" s="100">
        <v>1</v>
      </c>
      <c r="AB19" s="100">
        <v>0</v>
      </c>
      <c r="AC19" s="100">
        <v>1</v>
      </c>
      <c r="AD19" s="100">
        <v>0</v>
      </c>
      <c r="AE19" s="100">
        <v>0</v>
      </c>
      <c r="AF19" s="100">
        <v>1</v>
      </c>
      <c r="AG19" s="100">
        <v>0</v>
      </c>
      <c r="AH19" s="100">
        <v>1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1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1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0">
        <v>0</v>
      </c>
      <c r="BY19" s="100">
        <v>0</v>
      </c>
      <c r="BZ19" s="100">
        <v>0</v>
      </c>
      <c r="CA19" s="100">
        <v>0</v>
      </c>
      <c r="CB19" s="100" t="s">
        <v>2090</v>
      </c>
      <c r="CC19" s="100">
        <v>0</v>
      </c>
      <c r="CD19" s="100">
        <v>0</v>
      </c>
      <c r="CE19" s="100">
        <v>0</v>
      </c>
      <c r="CF19" s="100">
        <v>0</v>
      </c>
      <c r="CG19" s="103">
        <v>596925.82770999998</v>
      </c>
      <c r="CH19" s="103">
        <v>66.38</v>
      </c>
      <c r="CI19" s="103">
        <v>5381331.9955000002</v>
      </c>
      <c r="CJ19" s="103">
        <v>52.85</v>
      </c>
      <c r="CK19" s="103">
        <f t="shared" si="0"/>
        <v>3508.183</v>
      </c>
      <c r="CL19" s="103">
        <v>602864.4</v>
      </c>
      <c r="CM19" s="103">
        <v>196003.20000000001</v>
      </c>
      <c r="CN19" s="104">
        <v>3.0757885585541458</v>
      </c>
      <c r="CO19" s="103">
        <v>708015.04388000001</v>
      </c>
      <c r="CP19" s="103">
        <v>59.09</v>
      </c>
      <c r="CQ19" s="103">
        <v>5987760.1935999999</v>
      </c>
      <c r="CR19" s="103">
        <v>50.77</v>
      </c>
      <c r="CS19" s="103">
        <f t="shared" si="1"/>
        <v>2999.9993000000004</v>
      </c>
      <c r="CT19" s="103">
        <v>933237.5</v>
      </c>
      <c r="CU19" s="103">
        <v>250428</v>
      </c>
      <c r="CV19" s="104">
        <v>3.7265701119683103</v>
      </c>
      <c r="CW19" s="103">
        <v>1000258.42235</v>
      </c>
      <c r="CX19" s="103">
        <v>71.72</v>
      </c>
      <c r="CY19" s="103">
        <v>6714596.4605200002</v>
      </c>
      <c r="CZ19" s="103">
        <v>49.576837416481069</v>
      </c>
      <c r="DA19" s="103">
        <f t="shared" si="2"/>
        <v>3555.6507795100224</v>
      </c>
      <c r="DB19" s="103">
        <v>863983.1</v>
      </c>
      <c r="DC19" s="103">
        <v>160635</v>
      </c>
      <c r="DD19" s="104">
        <v>5.3785482615868272</v>
      </c>
      <c r="DE19" s="103">
        <v>687156.42458999995</v>
      </c>
      <c r="DF19" s="103">
        <v>50.04</v>
      </c>
      <c r="DG19" s="103">
        <v>6460093.7559099998</v>
      </c>
      <c r="DH19" s="103">
        <v>43.51</v>
      </c>
      <c r="DI19" s="103">
        <f t="shared" si="3"/>
        <v>2177.2403999999997</v>
      </c>
      <c r="DJ19" s="103">
        <v>994764.4</v>
      </c>
      <c r="DK19" s="103">
        <v>305868.40000000002</v>
      </c>
      <c r="DL19" s="104">
        <v>3.2522627378310407</v>
      </c>
    </row>
    <row r="20" spans="1:116" s="15" customFormat="1" ht="157.69999999999999" customHeight="1" x14ac:dyDescent="0.25">
      <c r="A20" s="100" t="s">
        <v>105</v>
      </c>
      <c r="B20" s="100" t="s">
        <v>2157</v>
      </c>
      <c r="C20" s="100" t="s">
        <v>87</v>
      </c>
      <c r="D20" s="101" t="str">
        <f>"Chemistry 269"</f>
        <v>Chemistry 269</v>
      </c>
      <c r="E20" s="102" t="s">
        <v>2158</v>
      </c>
      <c r="F20" s="100">
        <v>6</v>
      </c>
      <c r="G20" s="100">
        <v>1</v>
      </c>
      <c r="H20" s="100">
        <v>0.17</v>
      </c>
      <c r="I20" s="100">
        <v>8</v>
      </c>
      <c r="J20" s="100">
        <v>2</v>
      </c>
      <c r="K20" s="100">
        <v>1</v>
      </c>
      <c r="L20" s="100">
        <v>1</v>
      </c>
      <c r="M20" s="100">
        <v>1</v>
      </c>
      <c r="N20" s="100">
        <v>1</v>
      </c>
      <c r="O20" s="100">
        <v>0</v>
      </c>
      <c r="P20" s="100">
        <v>2.09</v>
      </c>
      <c r="Q20" s="100">
        <v>12.89</v>
      </c>
      <c r="R20" s="100">
        <v>0</v>
      </c>
      <c r="S20" s="100">
        <v>0</v>
      </c>
      <c r="T20" s="100">
        <v>0</v>
      </c>
      <c r="U20" s="100">
        <v>1</v>
      </c>
      <c r="V20" s="100">
        <v>0</v>
      </c>
      <c r="W20" s="100">
        <v>0</v>
      </c>
      <c r="X20" s="100">
        <v>1</v>
      </c>
      <c r="Y20" s="100">
        <v>0</v>
      </c>
      <c r="Z20" s="100">
        <v>0</v>
      </c>
      <c r="AA20" s="100">
        <v>1</v>
      </c>
      <c r="AB20" s="100">
        <v>0</v>
      </c>
      <c r="AC20" s="100">
        <v>1</v>
      </c>
      <c r="AD20" s="100">
        <v>0</v>
      </c>
      <c r="AE20" s="100">
        <v>0</v>
      </c>
      <c r="AF20" s="100">
        <v>1</v>
      </c>
      <c r="AG20" s="100">
        <v>0</v>
      </c>
      <c r="AH20" s="100">
        <v>1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1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1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0">
        <v>0</v>
      </c>
      <c r="BY20" s="100">
        <v>0</v>
      </c>
      <c r="BZ20" s="100">
        <v>0</v>
      </c>
      <c r="CA20" s="100">
        <v>0</v>
      </c>
      <c r="CB20" s="100" t="s">
        <v>2090</v>
      </c>
      <c r="CC20" s="100">
        <v>0</v>
      </c>
      <c r="CD20" s="100">
        <v>0</v>
      </c>
      <c r="CE20" s="100">
        <v>0</v>
      </c>
      <c r="CF20" s="100">
        <v>0</v>
      </c>
      <c r="CG20" s="103">
        <v>340856.33441000001</v>
      </c>
      <c r="CH20" s="103">
        <v>38.270000000000003</v>
      </c>
      <c r="CI20" s="103">
        <v>4772898.4667999996</v>
      </c>
      <c r="CJ20" s="103">
        <v>38.619999999999997</v>
      </c>
      <c r="CK20" s="103">
        <f t="shared" si="0"/>
        <v>1477.9874</v>
      </c>
      <c r="CL20" s="103">
        <v>349721.5</v>
      </c>
      <c r="CM20" s="103">
        <v>663237.80000000005</v>
      </c>
      <c r="CN20" s="104">
        <v>0.52729428268412926</v>
      </c>
      <c r="CO20" s="103">
        <v>44000.820500000002</v>
      </c>
      <c r="CP20" s="103">
        <v>4.82</v>
      </c>
      <c r="CQ20" s="103">
        <v>2207647.9049800001</v>
      </c>
      <c r="CR20" s="103">
        <v>17.579999999999998</v>
      </c>
      <c r="CS20" s="103">
        <f t="shared" si="1"/>
        <v>84.735599999999991</v>
      </c>
      <c r="CT20" s="103">
        <v>28924.5</v>
      </c>
      <c r="CU20" s="103">
        <v>721972.6</v>
      </c>
      <c r="CV20" s="104">
        <v>4.0063154751302198E-2</v>
      </c>
      <c r="CW20" s="103">
        <v>268308.90071000002</v>
      </c>
      <c r="CX20" s="103">
        <v>42.29</v>
      </c>
      <c r="CY20" s="103">
        <v>4431879.4573299997</v>
      </c>
      <c r="CZ20" s="103">
        <v>35.222451865549871</v>
      </c>
      <c r="DA20" s="103">
        <f t="shared" si="2"/>
        <v>1489.5574893941041</v>
      </c>
      <c r="DB20" s="103">
        <v>570466.9</v>
      </c>
      <c r="DC20" s="103">
        <v>729859.5</v>
      </c>
      <c r="DD20" s="104">
        <v>0.78161194038030612</v>
      </c>
      <c r="DE20" s="103">
        <v>31757.263660000001</v>
      </c>
      <c r="DF20" s="103">
        <v>3.38</v>
      </c>
      <c r="DG20" s="103">
        <v>2158131.1871000002</v>
      </c>
      <c r="DH20" s="103">
        <v>13.43</v>
      </c>
      <c r="DI20" s="103">
        <f t="shared" si="3"/>
        <v>45.3934</v>
      </c>
      <c r="DJ20" s="103">
        <v>62578.6</v>
      </c>
      <c r="DK20" s="103">
        <v>4152.8999999999996</v>
      </c>
      <c r="DL20" s="104">
        <v>15.068650822316936</v>
      </c>
    </row>
    <row r="21" spans="1:116" s="15" customFormat="1" ht="152.44999999999999" customHeight="1" x14ac:dyDescent="0.25">
      <c r="A21" s="100" t="s">
        <v>106</v>
      </c>
      <c r="B21" s="100" t="s">
        <v>2159</v>
      </c>
      <c r="C21" s="100" t="s">
        <v>87</v>
      </c>
      <c r="D21" s="101" t="str">
        <f>"Chemistry 327"</f>
        <v>Chemistry 327</v>
      </c>
      <c r="E21" s="102" t="s">
        <v>2160</v>
      </c>
      <c r="F21" s="100">
        <v>6</v>
      </c>
      <c r="G21" s="100">
        <v>1</v>
      </c>
      <c r="H21" s="100">
        <v>0.17</v>
      </c>
      <c r="I21" s="100">
        <v>8</v>
      </c>
      <c r="J21" s="100">
        <v>2</v>
      </c>
      <c r="K21" s="100">
        <v>1</v>
      </c>
      <c r="L21" s="100">
        <v>1</v>
      </c>
      <c r="M21" s="100">
        <v>1</v>
      </c>
      <c r="N21" s="100">
        <v>1</v>
      </c>
      <c r="O21" s="100">
        <v>0</v>
      </c>
      <c r="P21" s="100">
        <v>2.09</v>
      </c>
      <c r="Q21" s="100">
        <v>12.89</v>
      </c>
      <c r="R21" s="100">
        <v>0</v>
      </c>
      <c r="S21" s="100">
        <v>0</v>
      </c>
      <c r="T21" s="100">
        <v>0</v>
      </c>
      <c r="U21" s="100">
        <v>1</v>
      </c>
      <c r="V21" s="100">
        <v>0</v>
      </c>
      <c r="W21" s="100">
        <v>0</v>
      </c>
      <c r="X21" s="100">
        <v>1</v>
      </c>
      <c r="Y21" s="100">
        <v>0</v>
      </c>
      <c r="Z21" s="100">
        <v>0</v>
      </c>
      <c r="AA21" s="100">
        <v>1</v>
      </c>
      <c r="AB21" s="100">
        <v>0</v>
      </c>
      <c r="AC21" s="100">
        <v>1</v>
      </c>
      <c r="AD21" s="100">
        <v>0</v>
      </c>
      <c r="AE21" s="100">
        <v>0</v>
      </c>
      <c r="AF21" s="100">
        <v>1</v>
      </c>
      <c r="AG21" s="100">
        <v>0</v>
      </c>
      <c r="AH21" s="100">
        <v>1</v>
      </c>
      <c r="AI21" s="100">
        <v>0</v>
      </c>
      <c r="AJ21" s="100">
        <v>0</v>
      </c>
      <c r="AK21" s="100">
        <v>1</v>
      </c>
      <c r="AL21" s="100">
        <v>0</v>
      </c>
      <c r="AM21" s="100">
        <v>1</v>
      </c>
      <c r="AN21" s="100">
        <v>0</v>
      </c>
      <c r="AO21" s="100">
        <v>1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1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0">
        <v>0</v>
      </c>
      <c r="BY21" s="100">
        <v>0</v>
      </c>
      <c r="BZ21" s="100">
        <v>0</v>
      </c>
      <c r="CA21" s="100">
        <v>0</v>
      </c>
      <c r="CB21" s="100" t="s">
        <v>2090</v>
      </c>
      <c r="CC21" s="100">
        <v>0</v>
      </c>
      <c r="CD21" s="100">
        <v>0</v>
      </c>
      <c r="CE21" s="100">
        <v>0</v>
      </c>
      <c r="CF21" s="100">
        <v>0</v>
      </c>
      <c r="CG21" s="103">
        <v>81410.269199999995</v>
      </c>
      <c r="CH21" s="103">
        <v>19.46</v>
      </c>
      <c r="CI21" s="103">
        <v>3214337.1364799999</v>
      </c>
      <c r="CJ21" s="103">
        <v>32.96</v>
      </c>
      <c r="CK21" s="103">
        <f t="shared" si="0"/>
        <v>641.40160000000003</v>
      </c>
      <c r="CL21" s="103">
        <v>67148.2</v>
      </c>
      <c r="CM21" s="103">
        <v>737710.1</v>
      </c>
      <c r="CN21" s="104">
        <v>9.1022476173228478E-2</v>
      </c>
      <c r="CO21" s="103">
        <v>44810.998180000002</v>
      </c>
      <c r="CP21" s="103">
        <v>6.2</v>
      </c>
      <c r="CQ21" s="103">
        <v>2540842.2181299999</v>
      </c>
      <c r="CR21" s="103">
        <v>20.89</v>
      </c>
      <c r="CS21" s="103">
        <f t="shared" si="1"/>
        <v>129.518</v>
      </c>
      <c r="CT21" s="103">
        <v>14545.7</v>
      </c>
      <c r="CU21" s="103">
        <v>506155.2</v>
      </c>
      <c r="CV21" s="104">
        <v>2.8737628300568679E-2</v>
      </c>
      <c r="CW21" s="103">
        <v>26873.91001</v>
      </c>
      <c r="CX21" s="103">
        <v>10.47</v>
      </c>
      <c r="CY21" s="103">
        <v>2061251.9381299999</v>
      </c>
      <c r="CZ21" s="103">
        <v>27.669902912621357</v>
      </c>
      <c r="DA21" s="103">
        <f t="shared" si="2"/>
        <v>289.70388349514565</v>
      </c>
      <c r="DB21" s="103">
        <v>105778.7</v>
      </c>
      <c r="DC21" s="103">
        <v>505933</v>
      </c>
      <c r="DD21" s="104">
        <v>0.20907649827151026</v>
      </c>
      <c r="DE21" s="103">
        <v>53107.654490000001</v>
      </c>
      <c r="DF21" s="103">
        <v>6.26</v>
      </c>
      <c r="DG21" s="103">
        <v>2415480.81501</v>
      </c>
      <c r="DH21" s="103">
        <v>21.49</v>
      </c>
      <c r="DI21" s="103">
        <f t="shared" si="3"/>
        <v>134.52739999999997</v>
      </c>
      <c r="DJ21" s="103">
        <v>24805.599999999999</v>
      </c>
      <c r="DK21" s="103">
        <v>464267.3</v>
      </c>
      <c r="DL21" s="104">
        <v>5.3429565252603402E-2</v>
      </c>
    </row>
    <row r="22" spans="1:116" s="15" customFormat="1" ht="197.45" customHeight="1" x14ac:dyDescent="0.25">
      <c r="A22" s="100" t="s">
        <v>107</v>
      </c>
      <c r="B22" s="100" t="s">
        <v>2161</v>
      </c>
      <c r="C22" s="100" t="s">
        <v>87</v>
      </c>
      <c r="D22" s="101" t="str">
        <f>"Chemistry 225"</f>
        <v>Chemistry 225</v>
      </c>
      <c r="E22" s="102" t="s">
        <v>2162</v>
      </c>
      <c r="F22" s="100">
        <v>5</v>
      </c>
      <c r="G22" s="100">
        <v>1</v>
      </c>
      <c r="H22" s="100">
        <v>0.2</v>
      </c>
      <c r="I22" s="100">
        <v>8</v>
      </c>
      <c r="J22" s="100">
        <v>3</v>
      </c>
      <c r="K22" s="100">
        <v>2</v>
      </c>
      <c r="L22" s="100">
        <v>2</v>
      </c>
      <c r="M22" s="100">
        <v>1</v>
      </c>
      <c r="N22" s="100">
        <v>2</v>
      </c>
      <c r="O22" s="100">
        <v>0</v>
      </c>
      <c r="P22" s="100">
        <v>1.0900000000000001</v>
      </c>
      <c r="Q22" s="100">
        <v>25.78</v>
      </c>
      <c r="R22" s="100">
        <v>0</v>
      </c>
      <c r="S22" s="100">
        <v>0</v>
      </c>
      <c r="T22" s="100">
        <v>0</v>
      </c>
      <c r="U22" s="100">
        <v>1</v>
      </c>
      <c r="V22" s="100">
        <v>0</v>
      </c>
      <c r="W22" s="100">
        <v>1</v>
      </c>
      <c r="X22" s="100">
        <v>0</v>
      </c>
      <c r="Y22" s="100">
        <v>0</v>
      </c>
      <c r="Z22" s="100">
        <v>0</v>
      </c>
      <c r="AA22" s="100">
        <v>1</v>
      </c>
      <c r="AB22" s="100">
        <v>0</v>
      </c>
      <c r="AC22" s="100">
        <v>1</v>
      </c>
      <c r="AD22" s="100">
        <v>0</v>
      </c>
      <c r="AE22" s="100">
        <v>1</v>
      </c>
      <c r="AF22" s="100">
        <v>0</v>
      </c>
      <c r="AG22" s="100">
        <v>0</v>
      </c>
      <c r="AH22" s="100">
        <v>1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1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1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0">
        <v>0</v>
      </c>
      <c r="BY22" s="100">
        <v>0</v>
      </c>
      <c r="BZ22" s="100">
        <v>0</v>
      </c>
      <c r="CA22" s="100">
        <v>0</v>
      </c>
      <c r="CB22" s="100" t="s">
        <v>2090</v>
      </c>
      <c r="CC22" s="100">
        <v>0</v>
      </c>
      <c r="CD22" s="100">
        <v>0</v>
      </c>
      <c r="CE22" s="100">
        <v>0</v>
      </c>
      <c r="CF22" s="100">
        <v>0</v>
      </c>
      <c r="CG22" s="103">
        <v>0</v>
      </c>
      <c r="CH22" s="103">
        <v>0</v>
      </c>
      <c r="CI22" s="103">
        <v>1411.11706</v>
      </c>
      <c r="CJ22" s="103">
        <v>0</v>
      </c>
      <c r="CK22" s="103">
        <f t="shared" si="0"/>
        <v>0</v>
      </c>
      <c r="CL22" s="103">
        <v>16186.8</v>
      </c>
      <c r="CM22" s="103">
        <v>596152.4</v>
      </c>
      <c r="CN22" s="104">
        <v>2.7152117478684977E-2</v>
      </c>
      <c r="CO22" s="103">
        <v>0</v>
      </c>
      <c r="CP22" s="103">
        <v>0</v>
      </c>
      <c r="CQ22" s="103">
        <v>665.19068000000004</v>
      </c>
      <c r="CR22" s="103">
        <v>0</v>
      </c>
      <c r="CS22" s="103">
        <f t="shared" si="1"/>
        <v>0</v>
      </c>
      <c r="CT22" s="103">
        <v>14222.1</v>
      </c>
      <c r="CU22" s="103">
        <v>744574.8</v>
      </c>
      <c r="CV22" s="104">
        <v>1.9100968767677876E-2</v>
      </c>
      <c r="CW22" s="103">
        <v>9394.8752800000002</v>
      </c>
      <c r="CX22" s="103">
        <v>7.55</v>
      </c>
      <c r="CY22" s="103">
        <v>317953.70481999998</v>
      </c>
      <c r="CZ22" s="103">
        <v>9.9777565935811889</v>
      </c>
      <c r="DA22" s="103">
        <f t="shared" si="2"/>
        <v>75.332062281537972</v>
      </c>
      <c r="DB22" s="103">
        <v>68247</v>
      </c>
      <c r="DC22" s="103">
        <v>473219.5</v>
      </c>
      <c r="DD22" s="104">
        <v>0.14421848634724477</v>
      </c>
      <c r="DE22" s="103">
        <v>0</v>
      </c>
      <c r="DF22" s="103">
        <v>0</v>
      </c>
      <c r="DG22" s="103">
        <v>424.79638</v>
      </c>
      <c r="DH22" s="103">
        <v>2.19</v>
      </c>
      <c r="DI22" s="103">
        <f t="shared" si="3"/>
        <v>0</v>
      </c>
      <c r="DJ22" s="103">
        <v>11897.4</v>
      </c>
      <c r="DK22" s="103">
        <v>610562.9</v>
      </c>
      <c r="DL22" s="104">
        <v>1.9485953044313695E-2</v>
      </c>
    </row>
    <row r="23" spans="1:116" s="15" customFormat="1" ht="135.94999999999999" customHeight="1" x14ac:dyDescent="0.25">
      <c r="A23" s="100" t="s">
        <v>108</v>
      </c>
      <c r="B23" s="100" t="s">
        <v>2163</v>
      </c>
      <c r="C23" s="100" t="s">
        <v>87</v>
      </c>
      <c r="D23" s="101" t="str">
        <f>"Chemistry 298"</f>
        <v>Chemistry 298</v>
      </c>
      <c r="E23" s="102" t="s">
        <v>2164</v>
      </c>
      <c r="F23" s="100">
        <v>5</v>
      </c>
      <c r="G23" s="100">
        <v>1</v>
      </c>
      <c r="H23" s="100">
        <v>0.2</v>
      </c>
      <c r="I23" s="100">
        <v>8</v>
      </c>
      <c r="J23" s="100">
        <v>3</v>
      </c>
      <c r="K23" s="100">
        <v>2</v>
      </c>
      <c r="L23" s="100">
        <v>2</v>
      </c>
      <c r="M23" s="100">
        <v>1</v>
      </c>
      <c r="N23" s="100">
        <v>2</v>
      </c>
      <c r="O23" s="100">
        <v>0</v>
      </c>
      <c r="P23" s="100">
        <v>1.0900000000000001</v>
      </c>
      <c r="Q23" s="100">
        <v>25.78</v>
      </c>
      <c r="R23" s="100">
        <v>0</v>
      </c>
      <c r="S23" s="100">
        <v>0</v>
      </c>
      <c r="T23" s="100">
        <v>0</v>
      </c>
      <c r="U23" s="100">
        <v>1</v>
      </c>
      <c r="V23" s="100">
        <v>0</v>
      </c>
      <c r="W23" s="100">
        <v>1</v>
      </c>
      <c r="X23" s="100">
        <v>0</v>
      </c>
      <c r="Y23" s="100">
        <v>0</v>
      </c>
      <c r="Z23" s="100">
        <v>0</v>
      </c>
      <c r="AA23" s="100">
        <v>1</v>
      </c>
      <c r="AB23" s="100">
        <v>0</v>
      </c>
      <c r="AC23" s="100">
        <v>1</v>
      </c>
      <c r="AD23" s="100">
        <v>0</v>
      </c>
      <c r="AE23" s="100">
        <v>1</v>
      </c>
      <c r="AF23" s="100">
        <v>0</v>
      </c>
      <c r="AG23" s="100">
        <v>0</v>
      </c>
      <c r="AH23" s="100">
        <v>1</v>
      </c>
      <c r="AI23" s="100">
        <v>0</v>
      </c>
      <c r="AJ23" s="100">
        <v>0</v>
      </c>
      <c r="AK23" s="100">
        <v>1</v>
      </c>
      <c r="AL23" s="100">
        <v>0</v>
      </c>
      <c r="AM23" s="100">
        <v>1</v>
      </c>
      <c r="AN23" s="100">
        <v>0</v>
      </c>
      <c r="AO23" s="100">
        <v>1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1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0">
        <v>0</v>
      </c>
      <c r="BY23" s="100">
        <v>0</v>
      </c>
      <c r="BZ23" s="100">
        <v>0</v>
      </c>
      <c r="CA23" s="100">
        <v>0</v>
      </c>
      <c r="CB23" s="100" t="s">
        <v>2090</v>
      </c>
      <c r="CC23" s="100">
        <v>0</v>
      </c>
      <c r="CD23" s="100">
        <v>0</v>
      </c>
      <c r="CE23" s="100">
        <v>0</v>
      </c>
      <c r="CF23" s="100">
        <v>0</v>
      </c>
      <c r="CG23" s="103">
        <v>407408.07952999999</v>
      </c>
      <c r="CH23" s="103">
        <v>64.27</v>
      </c>
      <c r="CI23" s="103">
        <v>3421963.4313099999</v>
      </c>
      <c r="CJ23" s="103">
        <v>51.76</v>
      </c>
      <c r="CK23" s="103">
        <f t="shared" si="0"/>
        <v>3326.6151999999997</v>
      </c>
      <c r="CL23" s="103">
        <v>42997.599999999999</v>
      </c>
      <c r="CM23" s="103">
        <v>709099.4</v>
      </c>
      <c r="CN23" s="104">
        <v>6.0636914937454461E-2</v>
      </c>
      <c r="CO23" s="103">
        <v>107016.89625999999</v>
      </c>
      <c r="CP23" s="103">
        <v>11.3</v>
      </c>
      <c r="CQ23" s="103">
        <v>1946287.7291600001</v>
      </c>
      <c r="CR23" s="103">
        <v>17.350000000000001</v>
      </c>
      <c r="CS23" s="103">
        <f t="shared" si="1"/>
        <v>196.05500000000004</v>
      </c>
      <c r="CT23" s="103">
        <v>9112</v>
      </c>
      <c r="CU23" s="103">
        <v>408389</v>
      </c>
      <c r="CV23" s="104">
        <v>2.2312060315042764E-2</v>
      </c>
      <c r="CW23" s="103">
        <v>276307.42054000002</v>
      </c>
      <c r="CX23" s="103">
        <v>41.52</v>
      </c>
      <c r="CY23" s="103">
        <v>2774793.5224600001</v>
      </c>
      <c r="CZ23" s="103">
        <v>37.723362011912648</v>
      </c>
      <c r="DA23" s="103">
        <f t="shared" si="2"/>
        <v>1566.2739907346133</v>
      </c>
      <c r="DB23" s="103">
        <v>62878.9</v>
      </c>
      <c r="DC23" s="103">
        <v>636861.30000000005</v>
      </c>
      <c r="DD23" s="104">
        <v>9.8732486963802005E-2</v>
      </c>
      <c r="DE23" s="103">
        <v>23717.46775</v>
      </c>
      <c r="DF23" s="103">
        <v>2.25</v>
      </c>
      <c r="DG23" s="103">
        <v>825923.68714000005</v>
      </c>
      <c r="DH23" s="103">
        <v>6.73</v>
      </c>
      <c r="DI23" s="103">
        <f t="shared" si="3"/>
        <v>15.142500000000002</v>
      </c>
      <c r="DJ23" s="103">
        <v>21887.3</v>
      </c>
      <c r="DK23" s="103">
        <v>637113.9</v>
      </c>
      <c r="DL23" s="104">
        <v>3.4353825901459689E-2</v>
      </c>
    </row>
    <row r="24" spans="1:116" s="15" customFormat="1" ht="131.44999999999999" customHeight="1" x14ac:dyDescent="0.25">
      <c r="A24" s="100" t="s">
        <v>109</v>
      </c>
      <c r="B24" s="100" t="s">
        <v>2165</v>
      </c>
      <c r="C24" s="100" t="s">
        <v>87</v>
      </c>
      <c r="D24" s="101" t="str">
        <f>"Chemistry 260"</f>
        <v>Chemistry 260</v>
      </c>
      <c r="E24" s="102" t="s">
        <v>2166</v>
      </c>
      <c r="F24" s="100">
        <v>5</v>
      </c>
      <c r="G24" s="100">
        <v>0</v>
      </c>
      <c r="H24" s="100">
        <v>0</v>
      </c>
      <c r="I24" s="100">
        <v>8</v>
      </c>
      <c r="J24" s="100">
        <v>3</v>
      </c>
      <c r="K24" s="100">
        <v>2</v>
      </c>
      <c r="L24" s="100">
        <v>1</v>
      </c>
      <c r="M24" s="100">
        <v>0</v>
      </c>
      <c r="N24" s="100">
        <v>1</v>
      </c>
      <c r="O24" s="100">
        <v>1</v>
      </c>
      <c r="P24" s="100">
        <v>0.49</v>
      </c>
      <c r="Q24" s="100">
        <v>29.1</v>
      </c>
      <c r="R24" s="100">
        <v>0</v>
      </c>
      <c r="S24" s="100">
        <v>0</v>
      </c>
      <c r="T24" s="100">
        <v>0</v>
      </c>
      <c r="U24" s="100">
        <v>1</v>
      </c>
      <c r="V24" s="100">
        <v>0</v>
      </c>
      <c r="W24" s="100">
        <v>0</v>
      </c>
      <c r="X24" s="100">
        <v>1</v>
      </c>
      <c r="Y24" s="100">
        <v>0</v>
      </c>
      <c r="Z24" s="100">
        <v>1</v>
      </c>
      <c r="AA24" s="100">
        <v>0</v>
      </c>
      <c r="AB24" s="100">
        <v>0</v>
      </c>
      <c r="AC24" s="100">
        <v>1</v>
      </c>
      <c r="AD24" s="100">
        <v>0</v>
      </c>
      <c r="AE24" s="100">
        <v>1</v>
      </c>
      <c r="AF24" s="100">
        <v>0</v>
      </c>
      <c r="AG24" s="100">
        <v>0</v>
      </c>
      <c r="AH24" s="100">
        <v>0</v>
      </c>
      <c r="AI24" s="100">
        <v>1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1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1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1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1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0">
        <v>0</v>
      </c>
      <c r="BY24" s="100">
        <v>0</v>
      </c>
      <c r="BZ24" s="100">
        <v>0</v>
      </c>
      <c r="CA24" s="100">
        <v>0</v>
      </c>
      <c r="CB24" s="100" t="s">
        <v>2090</v>
      </c>
      <c r="CC24" s="100">
        <v>0</v>
      </c>
      <c r="CD24" s="100">
        <v>0</v>
      </c>
      <c r="CE24" s="100">
        <v>0</v>
      </c>
      <c r="CF24" s="100">
        <v>0</v>
      </c>
      <c r="CG24" s="103">
        <v>16138.26</v>
      </c>
      <c r="CH24" s="103">
        <v>4.25</v>
      </c>
      <c r="CI24" s="103">
        <v>298101.32938000001</v>
      </c>
      <c r="CJ24" s="103">
        <v>8.3000000000000007</v>
      </c>
      <c r="CK24" s="103">
        <f t="shared" si="0"/>
        <v>35.275000000000006</v>
      </c>
      <c r="CL24" s="103">
        <v>6954.5</v>
      </c>
      <c r="CM24" s="103">
        <v>632172.4</v>
      </c>
      <c r="CN24" s="104">
        <v>1.1000954802835429E-2</v>
      </c>
      <c r="CO24" s="103">
        <v>0</v>
      </c>
      <c r="CP24" s="103">
        <v>0</v>
      </c>
      <c r="CQ24" s="103">
        <v>6140.3669300000001</v>
      </c>
      <c r="CR24" s="103">
        <v>0</v>
      </c>
      <c r="CS24" s="103">
        <f t="shared" si="1"/>
        <v>0</v>
      </c>
      <c r="CT24" s="103">
        <v>10588.3</v>
      </c>
      <c r="CU24" s="103">
        <v>664794.69999999995</v>
      </c>
      <c r="CV24" s="104">
        <v>1.5927172704595871E-2</v>
      </c>
      <c r="CW24" s="103">
        <v>0</v>
      </c>
      <c r="CX24" s="103">
        <v>0</v>
      </c>
      <c r="CY24" s="103">
        <v>4391.0789500000001</v>
      </c>
      <c r="CZ24" s="103">
        <v>0</v>
      </c>
      <c r="DA24" s="103">
        <f t="shared" si="2"/>
        <v>0</v>
      </c>
      <c r="DB24" s="103">
        <v>1781</v>
      </c>
      <c r="DC24" s="103">
        <v>307444.59999999998</v>
      </c>
      <c r="DD24" s="104">
        <v>5.7929135850816708E-3</v>
      </c>
      <c r="DE24" s="103">
        <v>0</v>
      </c>
      <c r="DF24" s="103">
        <v>0</v>
      </c>
      <c r="DG24" s="103">
        <v>3595.17616</v>
      </c>
      <c r="DH24" s="103">
        <v>0</v>
      </c>
      <c r="DI24" s="103">
        <f t="shared" si="3"/>
        <v>0</v>
      </c>
      <c r="DJ24" s="103">
        <v>17307.8</v>
      </c>
      <c r="DK24" s="103">
        <v>715580.7</v>
      </c>
      <c r="DL24" s="104">
        <v>2.4187069327051443E-2</v>
      </c>
    </row>
    <row r="25" spans="1:116" s="15" customFormat="1" ht="166.7" customHeight="1" x14ac:dyDescent="0.25">
      <c r="A25" s="100" t="s">
        <v>110</v>
      </c>
      <c r="B25" s="100" t="s">
        <v>2167</v>
      </c>
      <c r="C25" s="100" t="s">
        <v>87</v>
      </c>
      <c r="D25" s="101" t="str">
        <f>"Chemistry 295"</f>
        <v>Chemistry 295</v>
      </c>
      <c r="E25" s="102" t="s">
        <v>2168</v>
      </c>
      <c r="F25" s="100">
        <v>5</v>
      </c>
      <c r="G25" s="100">
        <v>0</v>
      </c>
      <c r="H25" s="100">
        <v>0</v>
      </c>
      <c r="I25" s="100">
        <v>8</v>
      </c>
      <c r="J25" s="100">
        <v>3</v>
      </c>
      <c r="K25" s="100">
        <v>2</v>
      </c>
      <c r="L25" s="100">
        <v>1</v>
      </c>
      <c r="M25" s="100">
        <v>1</v>
      </c>
      <c r="N25" s="100">
        <v>2</v>
      </c>
      <c r="O25" s="100">
        <v>1</v>
      </c>
      <c r="P25" s="100">
        <v>1.92</v>
      </c>
      <c r="Q25" s="100">
        <v>33.119999999999997</v>
      </c>
      <c r="R25" s="100">
        <v>0</v>
      </c>
      <c r="S25" s="100">
        <v>0</v>
      </c>
      <c r="T25" s="100">
        <v>0</v>
      </c>
      <c r="U25" s="100">
        <v>1</v>
      </c>
      <c r="V25" s="100">
        <v>0</v>
      </c>
      <c r="W25" s="100">
        <v>0</v>
      </c>
      <c r="X25" s="100">
        <v>1</v>
      </c>
      <c r="Y25" s="100">
        <v>0</v>
      </c>
      <c r="Z25" s="100">
        <v>1</v>
      </c>
      <c r="AA25" s="100">
        <v>0</v>
      </c>
      <c r="AB25" s="100">
        <v>0</v>
      </c>
      <c r="AC25" s="100">
        <v>1</v>
      </c>
      <c r="AD25" s="100">
        <v>0</v>
      </c>
      <c r="AE25" s="100">
        <v>0</v>
      </c>
      <c r="AF25" s="100">
        <v>1</v>
      </c>
      <c r="AG25" s="100">
        <v>0</v>
      </c>
      <c r="AH25" s="100">
        <v>0</v>
      </c>
      <c r="AI25" s="100">
        <v>1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1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1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1</v>
      </c>
      <c r="BK25" s="100">
        <v>0</v>
      </c>
      <c r="BL25" s="100">
        <v>0</v>
      </c>
      <c r="BM25" s="100">
        <v>0</v>
      </c>
      <c r="BN25" s="100">
        <v>0</v>
      </c>
      <c r="BO25" s="100">
        <v>1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0">
        <v>0</v>
      </c>
      <c r="BY25" s="100">
        <v>0</v>
      </c>
      <c r="BZ25" s="100">
        <v>0</v>
      </c>
      <c r="CA25" s="100">
        <v>0</v>
      </c>
      <c r="CB25" s="100" t="s">
        <v>2090</v>
      </c>
      <c r="CC25" s="100">
        <v>0</v>
      </c>
      <c r="CD25" s="100">
        <v>0</v>
      </c>
      <c r="CE25" s="100">
        <v>0</v>
      </c>
      <c r="CF25" s="100">
        <v>0</v>
      </c>
      <c r="CG25" s="103">
        <v>24286.022860000001</v>
      </c>
      <c r="CH25" s="103">
        <v>3.6</v>
      </c>
      <c r="CI25" s="103">
        <v>161176.29994</v>
      </c>
      <c r="CJ25" s="103">
        <v>7.62</v>
      </c>
      <c r="CK25" s="103">
        <f t="shared" si="0"/>
        <v>27.432000000000002</v>
      </c>
      <c r="CL25" s="103">
        <v>9215.9</v>
      </c>
      <c r="CM25" s="103">
        <v>581799.9</v>
      </c>
      <c r="CN25" s="104">
        <v>1.5840325857739059E-2</v>
      </c>
      <c r="CO25" s="103">
        <v>15656.15892</v>
      </c>
      <c r="CP25" s="103">
        <v>1.28</v>
      </c>
      <c r="CQ25" s="103">
        <v>238257.00117999999</v>
      </c>
      <c r="CR25" s="103">
        <v>4.25</v>
      </c>
      <c r="CS25" s="103">
        <f t="shared" si="1"/>
        <v>5.44</v>
      </c>
      <c r="CT25" s="103">
        <v>17520.8</v>
      </c>
      <c r="CU25" s="103">
        <v>649922</v>
      </c>
      <c r="CV25" s="104">
        <v>2.6958311920507384E-2</v>
      </c>
      <c r="CW25" s="103">
        <v>0</v>
      </c>
      <c r="CX25" s="103">
        <v>0</v>
      </c>
      <c r="CY25" s="103">
        <v>24556.288410000001</v>
      </c>
      <c r="CZ25" s="103">
        <v>0</v>
      </c>
      <c r="DA25" s="103">
        <f t="shared" si="2"/>
        <v>0</v>
      </c>
      <c r="DB25" s="103">
        <v>8234.2000000000007</v>
      </c>
      <c r="DC25" s="103">
        <v>868887.8</v>
      </c>
      <c r="DD25" s="104">
        <v>9.4767126434506278E-3</v>
      </c>
      <c r="DE25" s="103">
        <v>0</v>
      </c>
      <c r="DF25" s="103">
        <v>0</v>
      </c>
      <c r="DG25" s="103">
        <v>2469.89543</v>
      </c>
      <c r="DH25" s="103">
        <v>0</v>
      </c>
      <c r="DI25" s="103">
        <f t="shared" si="3"/>
        <v>0</v>
      </c>
      <c r="DJ25" s="103">
        <v>11612.1</v>
      </c>
      <c r="DK25" s="103">
        <v>715141.2</v>
      </c>
      <c r="DL25" s="104">
        <v>1.6237492679767297E-2</v>
      </c>
    </row>
    <row r="26" spans="1:116" s="15" customFormat="1" ht="162.19999999999999" customHeight="1" x14ac:dyDescent="0.25">
      <c r="A26" s="100" t="s">
        <v>111</v>
      </c>
      <c r="B26" s="100" t="s">
        <v>2169</v>
      </c>
      <c r="C26" s="100" t="s">
        <v>87</v>
      </c>
      <c r="D26" s="101" t="str">
        <f>"Chemistry 202"</f>
        <v>Chemistry 202</v>
      </c>
      <c r="E26" s="102" t="s">
        <v>2170</v>
      </c>
      <c r="F26" s="100">
        <v>5</v>
      </c>
      <c r="G26" s="100">
        <v>0</v>
      </c>
      <c r="H26" s="100">
        <v>0</v>
      </c>
      <c r="I26" s="100">
        <v>8</v>
      </c>
      <c r="J26" s="100">
        <v>3</v>
      </c>
      <c r="K26" s="100">
        <v>2</v>
      </c>
      <c r="L26" s="100">
        <v>1</v>
      </c>
      <c r="M26" s="100">
        <v>1</v>
      </c>
      <c r="N26" s="100">
        <v>2</v>
      </c>
      <c r="O26" s="100">
        <v>1</v>
      </c>
      <c r="P26" s="100">
        <v>1.64</v>
      </c>
      <c r="Q26" s="100">
        <v>33.119999999999997</v>
      </c>
      <c r="R26" s="100">
        <v>0</v>
      </c>
      <c r="S26" s="100">
        <v>0</v>
      </c>
      <c r="T26" s="100">
        <v>0</v>
      </c>
      <c r="U26" s="100">
        <v>1</v>
      </c>
      <c r="V26" s="100">
        <v>0</v>
      </c>
      <c r="W26" s="100">
        <v>0</v>
      </c>
      <c r="X26" s="100">
        <v>1</v>
      </c>
      <c r="Y26" s="100">
        <v>0</v>
      </c>
      <c r="Z26" s="100">
        <v>1</v>
      </c>
      <c r="AA26" s="100">
        <v>0</v>
      </c>
      <c r="AB26" s="100">
        <v>0</v>
      </c>
      <c r="AC26" s="100">
        <v>1</v>
      </c>
      <c r="AD26" s="100">
        <v>0</v>
      </c>
      <c r="AE26" s="100">
        <v>1</v>
      </c>
      <c r="AF26" s="100">
        <v>0</v>
      </c>
      <c r="AG26" s="100">
        <v>0</v>
      </c>
      <c r="AH26" s="100">
        <v>0</v>
      </c>
      <c r="AI26" s="100">
        <v>1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1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1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1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1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0">
        <v>0</v>
      </c>
      <c r="BY26" s="100">
        <v>0</v>
      </c>
      <c r="BZ26" s="100">
        <v>0</v>
      </c>
      <c r="CA26" s="100">
        <v>0</v>
      </c>
      <c r="CB26" s="100" t="s">
        <v>2090</v>
      </c>
      <c r="CC26" s="100">
        <v>0</v>
      </c>
      <c r="CD26" s="100">
        <v>0</v>
      </c>
      <c r="CE26" s="100">
        <v>0</v>
      </c>
      <c r="CF26" s="100">
        <v>0</v>
      </c>
      <c r="CG26" s="103">
        <v>304013.49770000001</v>
      </c>
      <c r="CH26" s="103">
        <v>32.43</v>
      </c>
      <c r="CI26" s="103">
        <v>2494583.2981599998</v>
      </c>
      <c r="CJ26" s="103">
        <v>37.130000000000003</v>
      </c>
      <c r="CK26" s="103">
        <f t="shared" si="0"/>
        <v>1204.1259</v>
      </c>
      <c r="CL26" s="103">
        <v>72333.2</v>
      </c>
      <c r="CM26" s="103">
        <v>713645.3</v>
      </c>
      <c r="CN26" s="104">
        <v>0.10135735497732556</v>
      </c>
      <c r="CO26" s="103">
        <v>0</v>
      </c>
      <c r="CP26" s="103">
        <v>0</v>
      </c>
      <c r="CQ26" s="103">
        <v>51689.399819999999</v>
      </c>
      <c r="CR26" s="103">
        <v>0</v>
      </c>
      <c r="CS26" s="103">
        <f t="shared" si="1"/>
        <v>0</v>
      </c>
      <c r="CT26" s="103">
        <v>30077.200000000001</v>
      </c>
      <c r="CU26" s="103">
        <v>653867.30000000005</v>
      </c>
      <c r="CV26" s="104">
        <v>4.5998935869709344E-2</v>
      </c>
      <c r="CW26" s="103">
        <v>0</v>
      </c>
      <c r="CX26" s="103">
        <v>0</v>
      </c>
      <c r="CY26" s="103">
        <v>1819.49244</v>
      </c>
      <c r="CZ26" s="103">
        <v>0</v>
      </c>
      <c r="DA26" s="103">
        <f t="shared" si="2"/>
        <v>0</v>
      </c>
      <c r="DB26" s="103">
        <v>2950.5</v>
      </c>
      <c r="DC26" s="103">
        <v>564640.69999999995</v>
      </c>
      <c r="DD26" s="104">
        <v>5.2254469080957149E-3</v>
      </c>
      <c r="DE26" s="103">
        <v>0</v>
      </c>
      <c r="DF26" s="103">
        <v>0</v>
      </c>
      <c r="DG26" s="103">
        <v>43289.303350000002</v>
      </c>
      <c r="DH26" s="103">
        <v>0</v>
      </c>
      <c r="DI26" s="103">
        <f t="shared" si="3"/>
        <v>0</v>
      </c>
      <c r="DJ26" s="103">
        <v>20073</v>
      </c>
      <c r="DK26" s="103">
        <v>805159.1</v>
      </c>
      <c r="DL26" s="104">
        <v>2.4930476473531752E-2</v>
      </c>
    </row>
    <row r="27" spans="1:116" s="15" customFormat="1" ht="174.2" customHeight="1" x14ac:dyDescent="0.25">
      <c r="A27" s="100" t="s">
        <v>112</v>
      </c>
      <c r="B27" s="100" t="s">
        <v>2171</v>
      </c>
      <c r="C27" s="100" t="s">
        <v>87</v>
      </c>
      <c r="D27" s="101" t="str">
        <f>"Chemistry 336"</f>
        <v>Chemistry 336</v>
      </c>
      <c r="E27" s="102" t="s">
        <v>2172</v>
      </c>
      <c r="F27" s="100">
        <v>5</v>
      </c>
      <c r="G27" s="100">
        <v>0</v>
      </c>
      <c r="H27" s="100">
        <v>0</v>
      </c>
      <c r="I27" s="100">
        <v>8</v>
      </c>
      <c r="J27" s="100">
        <v>3</v>
      </c>
      <c r="K27" s="100">
        <v>2</v>
      </c>
      <c r="L27" s="100">
        <v>1</v>
      </c>
      <c r="M27" s="100">
        <v>1</v>
      </c>
      <c r="N27" s="100">
        <v>1</v>
      </c>
      <c r="O27" s="100">
        <v>1</v>
      </c>
      <c r="P27" s="100">
        <v>1.54</v>
      </c>
      <c r="Q27" s="100">
        <v>32.86</v>
      </c>
      <c r="R27" s="100">
        <v>1</v>
      </c>
      <c r="S27" s="100">
        <v>0</v>
      </c>
      <c r="T27" s="100">
        <v>0</v>
      </c>
      <c r="U27" s="100">
        <v>1</v>
      </c>
      <c r="V27" s="100">
        <v>0</v>
      </c>
      <c r="W27" s="100">
        <v>0</v>
      </c>
      <c r="X27" s="100">
        <v>1</v>
      </c>
      <c r="Y27" s="100">
        <v>0</v>
      </c>
      <c r="Z27" s="100">
        <v>1</v>
      </c>
      <c r="AA27" s="100">
        <v>0</v>
      </c>
      <c r="AB27" s="100">
        <v>0</v>
      </c>
      <c r="AC27" s="100">
        <v>1</v>
      </c>
      <c r="AD27" s="100">
        <v>0</v>
      </c>
      <c r="AE27" s="100">
        <v>1</v>
      </c>
      <c r="AF27" s="100">
        <v>0</v>
      </c>
      <c r="AG27" s="100">
        <v>0</v>
      </c>
      <c r="AH27" s="100">
        <v>0</v>
      </c>
      <c r="AI27" s="100">
        <v>1</v>
      </c>
      <c r="AJ27" s="100">
        <v>0</v>
      </c>
      <c r="AK27" s="100">
        <v>0</v>
      </c>
      <c r="AL27" s="100">
        <v>0</v>
      </c>
      <c r="AM27" s="100">
        <v>0</v>
      </c>
      <c r="AN27" s="100">
        <v>1</v>
      </c>
      <c r="AO27" s="100">
        <v>0</v>
      </c>
      <c r="AP27" s="100">
        <v>0</v>
      </c>
      <c r="AQ27" s="100">
        <v>1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1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1</v>
      </c>
      <c r="BS27" s="100">
        <v>1</v>
      </c>
      <c r="BT27" s="100">
        <v>0</v>
      </c>
      <c r="BU27" s="100">
        <v>0</v>
      </c>
      <c r="BV27" s="100">
        <v>0</v>
      </c>
      <c r="BW27" s="100">
        <v>0</v>
      </c>
      <c r="BX27" s="100">
        <v>0</v>
      </c>
      <c r="BY27" s="100">
        <v>0</v>
      </c>
      <c r="BZ27" s="100">
        <v>0</v>
      </c>
      <c r="CA27" s="100">
        <v>0</v>
      </c>
      <c r="CB27" s="100" t="s">
        <v>2090</v>
      </c>
      <c r="CC27" s="100">
        <v>0</v>
      </c>
      <c r="CD27" s="100">
        <v>0</v>
      </c>
      <c r="CE27" s="100">
        <v>0</v>
      </c>
      <c r="CF27" s="100">
        <v>0</v>
      </c>
      <c r="CG27" s="103">
        <v>68069.992899999997</v>
      </c>
      <c r="CH27" s="103">
        <v>10.49</v>
      </c>
      <c r="CI27" s="103">
        <v>95755.767540000001</v>
      </c>
      <c r="CJ27" s="103">
        <v>7.15</v>
      </c>
      <c r="CK27" s="103">
        <f t="shared" si="0"/>
        <v>75.003500000000003</v>
      </c>
      <c r="CL27" s="103">
        <v>3691</v>
      </c>
      <c r="CM27" s="103">
        <v>623553.19999999995</v>
      </c>
      <c r="CN27" s="104">
        <v>5.9193024749131275E-3</v>
      </c>
      <c r="CO27" s="103">
        <v>0</v>
      </c>
      <c r="CP27" s="103">
        <v>0</v>
      </c>
      <c r="CQ27" s="103">
        <v>1103.56385</v>
      </c>
      <c r="CR27" s="103">
        <v>0.52</v>
      </c>
      <c r="CS27" s="103">
        <f t="shared" si="1"/>
        <v>0</v>
      </c>
      <c r="CT27" s="103">
        <v>5618.7</v>
      </c>
      <c r="CU27" s="103">
        <v>698998.5</v>
      </c>
      <c r="CV27" s="104">
        <v>8.0382146742804163E-3</v>
      </c>
      <c r="CW27" s="103">
        <v>0</v>
      </c>
      <c r="CX27" s="103">
        <v>0</v>
      </c>
      <c r="CY27" s="103">
        <v>1803.6569300000001</v>
      </c>
      <c r="CZ27" s="103">
        <v>0</v>
      </c>
      <c r="DA27" s="103">
        <f t="shared" si="2"/>
        <v>0</v>
      </c>
      <c r="DB27" s="103">
        <v>6939.7</v>
      </c>
      <c r="DC27" s="103">
        <v>927076.1</v>
      </c>
      <c r="DD27" s="104">
        <v>7.4855775054496606E-3</v>
      </c>
      <c r="DE27" s="103">
        <v>0</v>
      </c>
      <c r="DF27" s="103">
        <v>0</v>
      </c>
      <c r="DG27" s="103">
        <v>5570.4621200000001</v>
      </c>
      <c r="DH27" s="103">
        <v>2.11</v>
      </c>
      <c r="DI27" s="103">
        <f t="shared" si="3"/>
        <v>0</v>
      </c>
      <c r="DJ27" s="103">
        <v>9759.2999999999993</v>
      </c>
      <c r="DK27" s="103">
        <v>802388.1</v>
      </c>
      <c r="DL27" s="104">
        <v>1.2162817469501354E-2</v>
      </c>
    </row>
    <row r="28" spans="1:116" s="15" customFormat="1" ht="177.2" customHeight="1" x14ac:dyDescent="0.25">
      <c r="A28" s="100" t="s">
        <v>113</v>
      </c>
      <c r="B28" s="100" t="s">
        <v>2173</v>
      </c>
      <c r="C28" s="100" t="s">
        <v>87</v>
      </c>
      <c r="D28" s="101" t="str">
        <f>"Chemistry 283"</f>
        <v>Chemistry 283</v>
      </c>
      <c r="E28" s="102" t="s">
        <v>2174</v>
      </c>
      <c r="F28" s="100">
        <v>4</v>
      </c>
      <c r="G28" s="100">
        <v>0</v>
      </c>
      <c r="H28" s="100">
        <v>0</v>
      </c>
      <c r="I28" s="100">
        <v>8</v>
      </c>
      <c r="J28" s="100">
        <v>4</v>
      </c>
      <c r="K28" s="100">
        <v>3</v>
      </c>
      <c r="L28" s="100">
        <v>2</v>
      </c>
      <c r="M28" s="100">
        <v>1</v>
      </c>
      <c r="N28" s="100">
        <v>2</v>
      </c>
      <c r="O28" s="100">
        <v>1</v>
      </c>
      <c r="P28" s="100">
        <v>0.84</v>
      </c>
      <c r="Q28" s="100">
        <v>45.75</v>
      </c>
      <c r="R28" s="100">
        <v>1</v>
      </c>
      <c r="S28" s="100">
        <v>0</v>
      </c>
      <c r="T28" s="100">
        <v>0</v>
      </c>
      <c r="U28" s="100">
        <v>1</v>
      </c>
      <c r="V28" s="100">
        <v>0</v>
      </c>
      <c r="W28" s="100">
        <v>1</v>
      </c>
      <c r="X28" s="100">
        <v>0</v>
      </c>
      <c r="Y28" s="100">
        <v>0</v>
      </c>
      <c r="Z28" s="100">
        <v>1</v>
      </c>
      <c r="AA28" s="100">
        <v>0</v>
      </c>
      <c r="AB28" s="100">
        <v>0</v>
      </c>
      <c r="AC28" s="100">
        <v>1</v>
      </c>
      <c r="AD28" s="100">
        <v>0</v>
      </c>
      <c r="AE28" s="100">
        <v>1</v>
      </c>
      <c r="AF28" s="100">
        <v>0</v>
      </c>
      <c r="AG28" s="100">
        <v>0</v>
      </c>
      <c r="AH28" s="100">
        <v>0</v>
      </c>
      <c r="AI28" s="100">
        <v>1</v>
      </c>
      <c r="AJ28" s="100">
        <v>0</v>
      </c>
      <c r="AK28" s="100">
        <v>1</v>
      </c>
      <c r="AL28" s="100">
        <v>1</v>
      </c>
      <c r="AM28" s="100">
        <v>0</v>
      </c>
      <c r="AN28" s="100">
        <v>1</v>
      </c>
      <c r="AO28" s="100">
        <v>0</v>
      </c>
      <c r="AP28" s="100">
        <v>0</v>
      </c>
      <c r="AQ28" s="100">
        <v>1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1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1</v>
      </c>
      <c r="BS28" s="100">
        <v>0</v>
      </c>
      <c r="BT28" s="100">
        <v>1</v>
      </c>
      <c r="BU28" s="100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0">
        <v>0</v>
      </c>
      <c r="CB28" s="100" t="s">
        <v>2090</v>
      </c>
      <c r="CC28" s="100">
        <v>0</v>
      </c>
      <c r="CD28" s="100">
        <v>0</v>
      </c>
      <c r="CE28" s="100">
        <v>0</v>
      </c>
      <c r="CF28" s="100">
        <v>0</v>
      </c>
      <c r="CG28" s="103">
        <v>59105.489119999998</v>
      </c>
      <c r="CH28" s="103">
        <v>6.65</v>
      </c>
      <c r="CI28" s="103">
        <v>615094.44221000001</v>
      </c>
      <c r="CJ28" s="103">
        <v>11.95</v>
      </c>
      <c r="CK28" s="103">
        <f t="shared" si="0"/>
        <v>79.467500000000001</v>
      </c>
      <c r="CL28" s="103">
        <v>46573.2</v>
      </c>
      <c r="CM28" s="103">
        <v>816999</v>
      </c>
      <c r="CN28" s="104">
        <v>5.7005210532693425E-2</v>
      </c>
      <c r="CO28" s="103">
        <v>15037.97969</v>
      </c>
      <c r="CP28" s="103">
        <v>1.34</v>
      </c>
      <c r="CQ28" s="103">
        <v>77141.684020000001</v>
      </c>
      <c r="CR28" s="103">
        <v>0</v>
      </c>
      <c r="CS28" s="103">
        <f t="shared" si="1"/>
        <v>0</v>
      </c>
      <c r="CT28" s="103">
        <v>7848.1</v>
      </c>
      <c r="CU28" s="103">
        <v>483323.2</v>
      </c>
      <c r="CV28" s="104">
        <v>1.6237788709501221E-2</v>
      </c>
      <c r="CW28" s="103">
        <v>0</v>
      </c>
      <c r="CX28" s="103">
        <v>0</v>
      </c>
      <c r="CY28" s="103">
        <v>3386.8037399999998</v>
      </c>
      <c r="CZ28" s="103">
        <v>0</v>
      </c>
      <c r="DA28" s="103">
        <f t="shared" si="2"/>
        <v>0</v>
      </c>
      <c r="DB28" s="103">
        <v>12495.6</v>
      </c>
      <c r="DC28" s="103">
        <v>869460</v>
      </c>
      <c r="DD28" s="104">
        <v>1.4371678973155753E-2</v>
      </c>
      <c r="DE28" s="103">
        <v>27820.779579999999</v>
      </c>
      <c r="DF28" s="103">
        <v>2.87</v>
      </c>
      <c r="DG28" s="103">
        <v>295815.43328</v>
      </c>
      <c r="DH28" s="103">
        <v>6.96</v>
      </c>
      <c r="DI28" s="103">
        <f t="shared" si="3"/>
        <v>19.975200000000001</v>
      </c>
      <c r="DJ28" s="103">
        <v>7410.7</v>
      </c>
      <c r="DK28" s="103">
        <v>596067.4</v>
      </c>
      <c r="DL28" s="104">
        <v>1.243265442800596E-2</v>
      </c>
    </row>
    <row r="29" spans="1:116" s="15" customFormat="1" ht="165.95" customHeight="1" x14ac:dyDescent="0.25">
      <c r="A29" s="100" t="s">
        <v>114</v>
      </c>
      <c r="B29" s="100" t="s">
        <v>2175</v>
      </c>
      <c r="C29" s="100" t="s">
        <v>87</v>
      </c>
      <c r="D29" s="101" t="str">
        <f>"Chemistry 232"</f>
        <v>Chemistry 232</v>
      </c>
      <c r="E29" s="102" t="s">
        <v>2176</v>
      </c>
      <c r="F29" s="100">
        <v>4</v>
      </c>
      <c r="G29" s="100">
        <v>0</v>
      </c>
      <c r="H29" s="100">
        <v>0</v>
      </c>
      <c r="I29" s="100">
        <v>8</v>
      </c>
      <c r="J29" s="100">
        <v>4</v>
      </c>
      <c r="K29" s="100">
        <v>3</v>
      </c>
      <c r="L29" s="100">
        <v>1</v>
      </c>
      <c r="M29" s="100">
        <v>1</v>
      </c>
      <c r="N29" s="100">
        <v>2</v>
      </c>
      <c r="O29" s="100">
        <v>0</v>
      </c>
      <c r="P29" s="100">
        <v>1.06</v>
      </c>
      <c r="Q29" s="100">
        <v>43.1</v>
      </c>
      <c r="R29" s="100">
        <v>1</v>
      </c>
      <c r="S29" s="100">
        <v>0</v>
      </c>
      <c r="T29" s="100">
        <v>0</v>
      </c>
      <c r="U29" s="100">
        <v>1</v>
      </c>
      <c r="V29" s="100">
        <v>0</v>
      </c>
      <c r="W29" s="100">
        <v>0</v>
      </c>
      <c r="X29" s="100">
        <v>1</v>
      </c>
      <c r="Y29" s="100">
        <v>0</v>
      </c>
      <c r="Z29" s="100">
        <v>0</v>
      </c>
      <c r="AA29" s="100">
        <v>1</v>
      </c>
      <c r="AB29" s="100">
        <v>0</v>
      </c>
      <c r="AC29" s="100">
        <v>1</v>
      </c>
      <c r="AD29" s="100">
        <v>0</v>
      </c>
      <c r="AE29" s="100">
        <v>1</v>
      </c>
      <c r="AF29" s="100">
        <v>0</v>
      </c>
      <c r="AG29" s="100">
        <v>0</v>
      </c>
      <c r="AH29" s="100">
        <v>0</v>
      </c>
      <c r="AI29" s="100">
        <v>1</v>
      </c>
      <c r="AJ29" s="100">
        <v>0</v>
      </c>
      <c r="AK29" s="100">
        <v>0</v>
      </c>
      <c r="AL29" s="100">
        <v>0</v>
      </c>
      <c r="AM29" s="100">
        <v>0</v>
      </c>
      <c r="AN29" s="100">
        <v>1</v>
      </c>
      <c r="AO29" s="100">
        <v>0</v>
      </c>
      <c r="AP29" s="100">
        <v>0</v>
      </c>
      <c r="AQ29" s="100">
        <v>1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1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1</v>
      </c>
      <c r="BR29" s="100">
        <v>0</v>
      </c>
      <c r="BS29" s="100">
        <v>0</v>
      </c>
      <c r="BT29" s="100">
        <v>0</v>
      </c>
      <c r="BU29" s="100">
        <v>1</v>
      </c>
      <c r="BV29" s="100">
        <v>0</v>
      </c>
      <c r="BW29" s="100">
        <v>0</v>
      </c>
      <c r="BX29" s="100">
        <v>0</v>
      </c>
      <c r="BY29" s="100">
        <v>0</v>
      </c>
      <c r="BZ29" s="100">
        <v>0</v>
      </c>
      <c r="CA29" s="100">
        <v>0</v>
      </c>
      <c r="CB29" s="100" t="s">
        <v>2090</v>
      </c>
      <c r="CC29" s="100">
        <v>0</v>
      </c>
      <c r="CD29" s="100">
        <v>0</v>
      </c>
      <c r="CE29" s="100">
        <v>0</v>
      </c>
      <c r="CF29" s="100">
        <v>0</v>
      </c>
      <c r="CG29" s="103">
        <v>10962.180410000001</v>
      </c>
      <c r="CH29" s="103">
        <v>2.65</v>
      </c>
      <c r="CI29" s="103">
        <v>5500.1576299999997</v>
      </c>
      <c r="CJ29" s="103">
        <v>3.25</v>
      </c>
      <c r="CK29" s="103">
        <f t="shared" si="0"/>
        <v>8.6124999999999989</v>
      </c>
      <c r="CL29" s="103">
        <v>9759.5</v>
      </c>
      <c r="CM29" s="103">
        <v>747230.6</v>
      </c>
      <c r="CN29" s="104">
        <v>1.306089445480418E-2</v>
      </c>
      <c r="CO29" s="103">
        <v>0</v>
      </c>
      <c r="CP29" s="103">
        <v>0</v>
      </c>
      <c r="CQ29" s="103">
        <v>1099.0535299999999</v>
      </c>
      <c r="CR29" s="103">
        <v>0</v>
      </c>
      <c r="CS29" s="103">
        <f t="shared" si="1"/>
        <v>0</v>
      </c>
      <c r="CT29" s="103">
        <v>14931.9</v>
      </c>
      <c r="CU29" s="103">
        <v>838833.7</v>
      </c>
      <c r="CV29" s="104">
        <v>1.7800786973627789E-2</v>
      </c>
      <c r="CW29" s="103">
        <v>0</v>
      </c>
      <c r="CX29" s="103">
        <v>0</v>
      </c>
      <c r="CY29" s="103">
        <v>1824.1506899999999</v>
      </c>
      <c r="CZ29" s="103">
        <v>0</v>
      </c>
      <c r="DA29" s="103">
        <f t="shared" si="2"/>
        <v>0</v>
      </c>
      <c r="DB29" s="103">
        <v>11443.8</v>
      </c>
      <c r="DC29" s="103">
        <v>862349.3</v>
      </c>
      <c r="DD29" s="104">
        <v>1.3270492595053997E-2</v>
      </c>
      <c r="DE29" s="103">
        <v>0</v>
      </c>
      <c r="DF29" s="103">
        <v>0</v>
      </c>
      <c r="DG29" s="103">
        <v>2318.3424</v>
      </c>
      <c r="DH29" s="103">
        <v>0</v>
      </c>
      <c r="DI29" s="103">
        <f t="shared" si="3"/>
        <v>0</v>
      </c>
      <c r="DJ29" s="103">
        <v>15483.1</v>
      </c>
      <c r="DK29" s="103">
        <v>889207.3</v>
      </c>
      <c r="DL29" s="104">
        <v>1.7412250214320104E-2</v>
      </c>
    </row>
    <row r="30" spans="1:116" s="15" customFormat="1" ht="135.19999999999999" customHeight="1" x14ac:dyDescent="0.25">
      <c r="A30" s="100" t="s">
        <v>115</v>
      </c>
      <c r="B30" s="100" t="s">
        <v>2177</v>
      </c>
      <c r="C30" s="100" t="s">
        <v>87</v>
      </c>
      <c r="D30" s="101" t="str">
        <f>"Chemistry 281"</f>
        <v>Chemistry 281</v>
      </c>
      <c r="E30" s="102" t="s">
        <v>2178</v>
      </c>
      <c r="F30" s="100">
        <v>3</v>
      </c>
      <c r="G30" s="100">
        <v>1</v>
      </c>
      <c r="H30" s="100">
        <v>0.33</v>
      </c>
      <c r="I30" s="100">
        <v>7</v>
      </c>
      <c r="J30" s="100">
        <v>4</v>
      </c>
      <c r="K30" s="100">
        <v>3</v>
      </c>
      <c r="L30" s="100">
        <v>2</v>
      </c>
      <c r="M30" s="100">
        <v>1</v>
      </c>
      <c r="N30" s="100">
        <v>2</v>
      </c>
      <c r="O30" s="100">
        <v>0</v>
      </c>
      <c r="P30" s="100">
        <v>1.1100000000000001</v>
      </c>
      <c r="Q30" s="100">
        <v>25.78</v>
      </c>
      <c r="R30" s="100">
        <v>0</v>
      </c>
      <c r="S30" s="100">
        <v>0</v>
      </c>
      <c r="T30" s="100">
        <v>0</v>
      </c>
      <c r="U30" s="100">
        <v>1</v>
      </c>
      <c r="V30" s="100">
        <v>0</v>
      </c>
      <c r="W30" s="100">
        <v>1</v>
      </c>
      <c r="X30" s="100">
        <v>0</v>
      </c>
      <c r="Y30" s="100">
        <v>0</v>
      </c>
      <c r="Z30" s="100">
        <v>0</v>
      </c>
      <c r="AA30" s="100">
        <v>1</v>
      </c>
      <c r="AB30" s="100">
        <v>0</v>
      </c>
      <c r="AC30" s="100">
        <v>1</v>
      </c>
      <c r="AD30" s="100">
        <v>0</v>
      </c>
      <c r="AE30" s="100">
        <v>1</v>
      </c>
      <c r="AF30" s="100">
        <v>0</v>
      </c>
      <c r="AG30" s="100">
        <v>0</v>
      </c>
      <c r="AH30" s="100">
        <v>1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1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1</v>
      </c>
      <c r="BR30" s="100">
        <v>0</v>
      </c>
      <c r="BS30" s="100">
        <v>0</v>
      </c>
      <c r="BT30" s="100">
        <v>0</v>
      </c>
      <c r="BU30" s="100">
        <v>1</v>
      </c>
      <c r="BV30" s="100">
        <v>0</v>
      </c>
      <c r="BW30" s="100">
        <v>0</v>
      </c>
      <c r="BX30" s="100">
        <v>0</v>
      </c>
      <c r="BY30" s="100">
        <v>0</v>
      </c>
      <c r="BZ30" s="100">
        <v>0</v>
      </c>
      <c r="CA30" s="100">
        <v>0</v>
      </c>
      <c r="CB30" s="100" t="s">
        <v>2090</v>
      </c>
      <c r="CC30" s="100">
        <v>0</v>
      </c>
      <c r="CD30" s="100">
        <v>0</v>
      </c>
      <c r="CE30" s="100">
        <v>0</v>
      </c>
      <c r="CF30" s="100">
        <v>0</v>
      </c>
      <c r="CG30" s="103">
        <v>458036.8812</v>
      </c>
      <c r="CH30" s="103">
        <v>65.34</v>
      </c>
      <c r="CI30" s="103">
        <v>4038469.7590700001</v>
      </c>
      <c r="CJ30" s="103">
        <v>73.88</v>
      </c>
      <c r="CK30" s="103">
        <f t="shared" si="0"/>
        <v>4827.3191999999999</v>
      </c>
      <c r="CL30" s="103">
        <v>243551.7</v>
      </c>
      <c r="CM30" s="103">
        <v>984769.6</v>
      </c>
      <c r="CN30" s="104">
        <v>0.24731845905884992</v>
      </c>
      <c r="CO30" s="103">
        <v>128329.79664</v>
      </c>
      <c r="CP30" s="103">
        <v>14.95</v>
      </c>
      <c r="CQ30" s="103">
        <v>2531972.1695400001</v>
      </c>
      <c r="CR30" s="103">
        <v>16.7</v>
      </c>
      <c r="CS30" s="103">
        <f t="shared" si="1"/>
        <v>249.66499999999996</v>
      </c>
      <c r="CT30" s="103">
        <v>19560.2</v>
      </c>
      <c r="CU30" s="103">
        <v>397707.3</v>
      </c>
      <c r="CV30" s="104">
        <v>4.9182401228239969E-2</v>
      </c>
      <c r="CW30" s="103">
        <v>382081.63942999998</v>
      </c>
      <c r="CX30" s="103">
        <v>59.93</v>
      </c>
      <c r="CY30" s="103">
        <v>3598453.3078999999</v>
      </c>
      <c r="CZ30" s="103">
        <v>56.833814067006877</v>
      </c>
      <c r="DA30" s="103">
        <f t="shared" si="2"/>
        <v>3406.050477035722</v>
      </c>
      <c r="DB30" s="103">
        <v>95556.6</v>
      </c>
      <c r="DC30" s="103">
        <v>385287.6</v>
      </c>
      <c r="DD30" s="104">
        <v>0.24801369159038603</v>
      </c>
      <c r="DE30" s="103">
        <v>101798.9414</v>
      </c>
      <c r="DF30" s="103">
        <v>11.62</v>
      </c>
      <c r="DG30" s="103">
        <v>2578944.3615000001</v>
      </c>
      <c r="DH30" s="103">
        <v>14.63</v>
      </c>
      <c r="DI30" s="103">
        <f t="shared" si="3"/>
        <v>170.00059999999999</v>
      </c>
      <c r="DJ30" s="103">
        <v>21842.799999999999</v>
      </c>
      <c r="DK30" s="103">
        <v>546901.30000000005</v>
      </c>
      <c r="DL30" s="104">
        <v>3.9939199266851251E-2</v>
      </c>
    </row>
    <row r="31" spans="1:116" s="15" customFormat="1" ht="161.44999999999999" customHeight="1" x14ac:dyDescent="0.25">
      <c r="A31" s="100" t="s">
        <v>116</v>
      </c>
      <c r="B31" s="100" t="s">
        <v>2179</v>
      </c>
      <c r="C31" s="100" t="s">
        <v>87</v>
      </c>
      <c r="D31" s="101" t="str">
        <f>"Chemistry 377"</f>
        <v>Chemistry 377</v>
      </c>
      <c r="E31" s="102" t="s">
        <v>2180</v>
      </c>
      <c r="F31" s="100">
        <v>6</v>
      </c>
      <c r="G31" s="100">
        <v>0</v>
      </c>
      <c r="H31" s="100">
        <v>0</v>
      </c>
      <c r="I31" s="100">
        <v>9</v>
      </c>
      <c r="J31" s="100">
        <v>3</v>
      </c>
      <c r="K31" s="100">
        <v>2</v>
      </c>
      <c r="L31" s="100">
        <v>2</v>
      </c>
      <c r="M31" s="100">
        <v>1</v>
      </c>
      <c r="N31" s="100">
        <v>2</v>
      </c>
      <c r="O31" s="100">
        <v>0</v>
      </c>
      <c r="P31" s="100">
        <v>1.36</v>
      </c>
      <c r="Q31" s="100">
        <v>36.68</v>
      </c>
      <c r="R31" s="100">
        <v>0</v>
      </c>
      <c r="S31" s="100">
        <v>0</v>
      </c>
      <c r="T31" s="100">
        <v>0</v>
      </c>
      <c r="U31" s="100">
        <v>1</v>
      </c>
      <c r="V31" s="100">
        <v>0</v>
      </c>
      <c r="W31" s="100">
        <v>1</v>
      </c>
      <c r="X31" s="100">
        <v>0</v>
      </c>
      <c r="Y31" s="100">
        <v>0</v>
      </c>
      <c r="Z31" s="100">
        <v>0</v>
      </c>
      <c r="AA31" s="100">
        <v>1</v>
      </c>
      <c r="AB31" s="100">
        <v>0</v>
      </c>
      <c r="AC31" s="100">
        <v>1</v>
      </c>
      <c r="AD31" s="100">
        <v>0</v>
      </c>
      <c r="AE31" s="100">
        <v>1</v>
      </c>
      <c r="AF31" s="100">
        <v>0</v>
      </c>
      <c r="AG31" s="100">
        <v>0</v>
      </c>
      <c r="AH31" s="100">
        <v>0</v>
      </c>
      <c r="AI31" s="100">
        <v>1</v>
      </c>
      <c r="AJ31" s="100">
        <v>0</v>
      </c>
      <c r="AK31" s="100">
        <v>1</v>
      </c>
      <c r="AL31" s="100">
        <v>1</v>
      </c>
      <c r="AM31" s="100">
        <v>0</v>
      </c>
      <c r="AN31" s="100">
        <v>0</v>
      </c>
      <c r="AO31" s="100">
        <v>1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1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1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1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0">
        <v>0</v>
      </c>
      <c r="BY31" s="100">
        <v>0</v>
      </c>
      <c r="BZ31" s="100">
        <v>0</v>
      </c>
      <c r="CA31" s="100">
        <v>0</v>
      </c>
      <c r="CB31" s="100" t="s">
        <v>2090</v>
      </c>
      <c r="CC31" s="100">
        <v>0</v>
      </c>
      <c r="CD31" s="100">
        <v>0</v>
      </c>
      <c r="CE31" s="100">
        <v>0</v>
      </c>
      <c r="CF31" s="100">
        <v>0</v>
      </c>
      <c r="CG31" s="103">
        <v>279165.54089</v>
      </c>
      <c r="CH31" s="103">
        <v>31.87</v>
      </c>
      <c r="CI31" s="103">
        <v>1867075.62925</v>
      </c>
      <c r="CJ31" s="103">
        <v>27.11</v>
      </c>
      <c r="CK31" s="103">
        <f t="shared" si="0"/>
        <v>863.99570000000006</v>
      </c>
      <c r="CL31" s="103">
        <v>796449.9</v>
      </c>
      <c r="CM31" s="103">
        <v>1057634.8</v>
      </c>
      <c r="CN31" s="104">
        <v>0.75304812209280558</v>
      </c>
      <c r="CO31" s="103">
        <v>366534.40672000003</v>
      </c>
      <c r="CP31" s="103">
        <v>26.37</v>
      </c>
      <c r="CQ31" s="103">
        <v>2437478.7839700002</v>
      </c>
      <c r="CR31" s="103">
        <v>17.84</v>
      </c>
      <c r="CS31" s="103">
        <f t="shared" si="1"/>
        <v>470.44080000000002</v>
      </c>
      <c r="CT31" s="103">
        <v>139363.70000000001</v>
      </c>
      <c r="CU31" s="103">
        <v>476325.7</v>
      </c>
      <c r="CV31" s="104">
        <v>0.29258068586263558</v>
      </c>
      <c r="CW31" s="103">
        <v>485670.36469000002</v>
      </c>
      <c r="CX31" s="103">
        <v>49.97</v>
      </c>
      <c r="CY31" s="103">
        <v>2358916.4694099999</v>
      </c>
      <c r="CZ31" s="103">
        <v>36.878704970360239</v>
      </c>
      <c r="DA31" s="103">
        <f t="shared" si="2"/>
        <v>1842.8288873689012</v>
      </c>
      <c r="DB31" s="103">
        <v>80860.3</v>
      </c>
      <c r="DC31" s="103">
        <v>172453.6</v>
      </c>
      <c r="DD31" s="104">
        <v>0.46888148464282564</v>
      </c>
      <c r="DE31" s="103">
        <v>412466.77159999998</v>
      </c>
      <c r="DF31" s="103">
        <v>30.76</v>
      </c>
      <c r="DG31" s="103">
        <v>2385310.4149600002</v>
      </c>
      <c r="DH31" s="103">
        <v>16.04</v>
      </c>
      <c r="DI31" s="103">
        <f t="shared" si="3"/>
        <v>493.3904</v>
      </c>
      <c r="DJ31" s="103">
        <v>325724</v>
      </c>
      <c r="DK31" s="103">
        <v>843864.1</v>
      </c>
      <c r="DL31" s="104">
        <v>0.38599106183092752</v>
      </c>
    </row>
    <row r="32" spans="1:116" s="15" customFormat="1" ht="231.95" customHeight="1" x14ac:dyDescent="0.25">
      <c r="A32" s="100" t="s">
        <v>117</v>
      </c>
      <c r="B32" s="100" t="s">
        <v>2181</v>
      </c>
      <c r="C32" s="100" t="s">
        <v>87</v>
      </c>
      <c r="D32" s="101" t="str">
        <f>"Chemistry 234"</f>
        <v>Chemistry 234</v>
      </c>
      <c r="E32" s="102" t="s">
        <v>2182</v>
      </c>
      <c r="F32" s="100">
        <v>6</v>
      </c>
      <c r="G32" s="100">
        <v>0</v>
      </c>
      <c r="H32" s="100">
        <v>0</v>
      </c>
      <c r="I32" s="100">
        <v>9</v>
      </c>
      <c r="J32" s="100">
        <v>3</v>
      </c>
      <c r="K32" s="100">
        <v>2</v>
      </c>
      <c r="L32" s="100">
        <v>1</v>
      </c>
      <c r="M32" s="100">
        <v>1</v>
      </c>
      <c r="N32" s="100">
        <v>2</v>
      </c>
      <c r="O32" s="100">
        <v>0</v>
      </c>
      <c r="P32" s="100">
        <v>1.48</v>
      </c>
      <c r="Q32" s="100">
        <v>29.96</v>
      </c>
      <c r="R32" s="100">
        <v>1</v>
      </c>
      <c r="S32" s="100">
        <v>0</v>
      </c>
      <c r="T32" s="100">
        <v>0</v>
      </c>
      <c r="U32" s="100">
        <v>1</v>
      </c>
      <c r="V32" s="100">
        <v>0</v>
      </c>
      <c r="W32" s="100">
        <v>0</v>
      </c>
      <c r="X32" s="100">
        <v>1</v>
      </c>
      <c r="Y32" s="100">
        <v>0</v>
      </c>
      <c r="Z32" s="100">
        <v>0</v>
      </c>
      <c r="AA32" s="100">
        <v>1</v>
      </c>
      <c r="AB32" s="100">
        <v>0</v>
      </c>
      <c r="AC32" s="100">
        <v>1</v>
      </c>
      <c r="AD32" s="100">
        <v>0</v>
      </c>
      <c r="AE32" s="100">
        <v>1</v>
      </c>
      <c r="AF32" s="100">
        <v>0</v>
      </c>
      <c r="AG32" s="100">
        <v>0</v>
      </c>
      <c r="AH32" s="100">
        <v>0</v>
      </c>
      <c r="AI32" s="100">
        <v>1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1</v>
      </c>
      <c r="AP32" s="100">
        <v>0</v>
      </c>
      <c r="AQ32" s="100">
        <v>1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1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1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0">
        <v>0</v>
      </c>
      <c r="BY32" s="100">
        <v>0</v>
      </c>
      <c r="BZ32" s="100">
        <v>0</v>
      </c>
      <c r="CA32" s="100">
        <v>0</v>
      </c>
      <c r="CB32" s="100" t="s">
        <v>2090</v>
      </c>
      <c r="CC32" s="100">
        <v>0</v>
      </c>
      <c r="CD32" s="100">
        <v>0</v>
      </c>
      <c r="CE32" s="100">
        <v>0</v>
      </c>
      <c r="CF32" s="100">
        <v>0</v>
      </c>
      <c r="CG32" s="103">
        <v>483825.00750000001</v>
      </c>
      <c r="CH32" s="103">
        <v>47.93</v>
      </c>
      <c r="CI32" s="103">
        <v>2756085.2598600001</v>
      </c>
      <c r="CJ32" s="103">
        <v>36.93</v>
      </c>
      <c r="CK32" s="103">
        <f t="shared" si="0"/>
        <v>1770.0549000000001</v>
      </c>
      <c r="CL32" s="103">
        <v>218226.9</v>
      </c>
      <c r="CM32" s="103">
        <v>914284</v>
      </c>
      <c r="CN32" s="104">
        <v>0.23868611941147388</v>
      </c>
      <c r="CO32" s="103">
        <v>9928.3119999999999</v>
      </c>
      <c r="CP32" s="103">
        <v>1.26</v>
      </c>
      <c r="CQ32" s="103">
        <v>743441.59993999999</v>
      </c>
      <c r="CR32" s="103">
        <v>6.09</v>
      </c>
      <c r="CS32" s="103">
        <f t="shared" si="1"/>
        <v>7.6734</v>
      </c>
      <c r="CT32" s="103">
        <v>5298.5</v>
      </c>
      <c r="CU32" s="103">
        <v>402618.9</v>
      </c>
      <c r="CV32" s="104">
        <v>1.3160087616353826E-2</v>
      </c>
      <c r="CW32" s="103">
        <v>212336.33583</v>
      </c>
      <c r="CX32" s="103">
        <v>28.99</v>
      </c>
      <c r="CY32" s="103">
        <v>3284240.8103999998</v>
      </c>
      <c r="CZ32" s="103">
        <v>35.66912539515279</v>
      </c>
      <c r="DA32" s="103">
        <f t="shared" si="2"/>
        <v>1034.0479452054792</v>
      </c>
      <c r="DB32" s="103">
        <v>144512.1</v>
      </c>
      <c r="DC32" s="103">
        <v>764743.3</v>
      </c>
      <c r="DD32" s="104">
        <v>0.18896811518322554</v>
      </c>
      <c r="DE32" s="103">
        <v>31537.723239999999</v>
      </c>
      <c r="DF32" s="103">
        <v>4.26</v>
      </c>
      <c r="DG32" s="103">
        <v>1520239.0612300001</v>
      </c>
      <c r="DH32" s="103">
        <v>12.09</v>
      </c>
      <c r="DI32" s="103">
        <f t="shared" si="3"/>
        <v>51.503399999999999</v>
      </c>
      <c r="DJ32" s="103">
        <v>4465.8</v>
      </c>
      <c r="DK32" s="103">
        <v>459657.4</v>
      </c>
      <c r="DL32" s="104">
        <v>9.7154968026186457E-3</v>
      </c>
    </row>
    <row r="33" spans="1:116" s="15" customFormat="1" ht="196.7" customHeight="1" x14ac:dyDescent="0.25">
      <c r="A33" s="100" t="s">
        <v>118</v>
      </c>
      <c r="B33" s="100" t="s">
        <v>2183</v>
      </c>
      <c r="C33" s="100" t="s">
        <v>87</v>
      </c>
      <c r="D33" s="101" t="str">
        <f>"Chemistry 381"</f>
        <v>Chemistry 381</v>
      </c>
      <c r="E33" s="102" t="s">
        <v>2184</v>
      </c>
      <c r="F33" s="100">
        <v>6</v>
      </c>
      <c r="G33" s="100">
        <v>1</v>
      </c>
      <c r="H33" s="100">
        <v>0.17</v>
      </c>
      <c r="I33" s="100">
        <v>9</v>
      </c>
      <c r="J33" s="100">
        <v>3</v>
      </c>
      <c r="K33" s="100">
        <v>2</v>
      </c>
      <c r="L33" s="100">
        <v>1</v>
      </c>
      <c r="M33" s="100">
        <v>1</v>
      </c>
      <c r="N33" s="100">
        <v>2</v>
      </c>
      <c r="O33" s="100">
        <v>0</v>
      </c>
      <c r="P33" s="100">
        <v>2.37</v>
      </c>
      <c r="Q33" s="100">
        <v>22.12</v>
      </c>
      <c r="R33" s="100">
        <v>1</v>
      </c>
      <c r="S33" s="100">
        <v>0</v>
      </c>
      <c r="T33" s="100">
        <v>0</v>
      </c>
      <c r="U33" s="100">
        <v>1</v>
      </c>
      <c r="V33" s="100">
        <v>0</v>
      </c>
      <c r="W33" s="100">
        <v>0</v>
      </c>
      <c r="X33" s="100">
        <v>1</v>
      </c>
      <c r="Y33" s="100">
        <v>0</v>
      </c>
      <c r="Z33" s="100">
        <v>0</v>
      </c>
      <c r="AA33" s="100">
        <v>1</v>
      </c>
      <c r="AB33" s="100">
        <v>0</v>
      </c>
      <c r="AC33" s="100">
        <v>1</v>
      </c>
      <c r="AD33" s="100">
        <v>0</v>
      </c>
      <c r="AE33" s="100">
        <v>0</v>
      </c>
      <c r="AF33" s="100">
        <v>1</v>
      </c>
      <c r="AG33" s="100">
        <v>0</v>
      </c>
      <c r="AH33" s="100">
        <v>1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1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1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0">
        <v>0</v>
      </c>
      <c r="BW33" s="100">
        <v>0</v>
      </c>
      <c r="BX33" s="100">
        <v>0</v>
      </c>
      <c r="BY33" s="100">
        <v>0</v>
      </c>
      <c r="BZ33" s="100">
        <v>0</v>
      </c>
      <c r="CA33" s="100">
        <v>0</v>
      </c>
      <c r="CB33" s="100" t="s">
        <v>2090</v>
      </c>
      <c r="CC33" s="100">
        <v>0</v>
      </c>
      <c r="CD33" s="100">
        <v>0</v>
      </c>
      <c r="CE33" s="100">
        <v>0</v>
      </c>
      <c r="CF33" s="100">
        <v>0</v>
      </c>
      <c r="CG33" s="103">
        <v>356760.93150000001</v>
      </c>
      <c r="CH33" s="103">
        <v>47.21</v>
      </c>
      <c r="CI33" s="103">
        <v>4362428.9862400005</v>
      </c>
      <c r="CJ33" s="103">
        <v>40.54</v>
      </c>
      <c r="CK33" s="103">
        <f t="shared" si="0"/>
        <v>1913.8933999999999</v>
      </c>
      <c r="CL33" s="103">
        <v>949595.9</v>
      </c>
      <c r="CM33" s="103">
        <v>812501.4</v>
      </c>
      <c r="CN33" s="104">
        <v>1.1687314015705081</v>
      </c>
      <c r="CO33" s="103">
        <v>318573.17748999997</v>
      </c>
      <c r="CP33" s="103">
        <v>36.58</v>
      </c>
      <c r="CQ33" s="103">
        <v>4227489.9726299997</v>
      </c>
      <c r="CR33" s="103">
        <v>34.090000000000003</v>
      </c>
      <c r="CS33" s="103">
        <f t="shared" si="1"/>
        <v>1247.0122000000001</v>
      </c>
      <c r="CT33" s="103">
        <v>795254.7</v>
      </c>
      <c r="CU33" s="103">
        <v>698077.9</v>
      </c>
      <c r="CV33" s="104">
        <v>1.139206240449669</v>
      </c>
      <c r="CW33" s="103">
        <v>346441.96198999998</v>
      </c>
      <c r="CX33" s="103">
        <v>47.35</v>
      </c>
      <c r="CY33" s="103">
        <v>4242549.2657500003</v>
      </c>
      <c r="CZ33" s="103">
        <v>37.077935867487788</v>
      </c>
      <c r="DA33" s="103">
        <f t="shared" si="2"/>
        <v>1755.6402633255468</v>
      </c>
      <c r="DB33" s="103">
        <v>886349.7</v>
      </c>
      <c r="DC33" s="103">
        <v>803173.2</v>
      </c>
      <c r="DD33" s="104">
        <v>1.1035598548357939</v>
      </c>
      <c r="DE33" s="103">
        <v>550345.90746000002</v>
      </c>
      <c r="DF33" s="103">
        <v>44.43</v>
      </c>
      <c r="DG33" s="103">
        <v>5742088.6877600001</v>
      </c>
      <c r="DH33" s="103">
        <v>30.63</v>
      </c>
      <c r="DI33" s="103">
        <f t="shared" si="3"/>
        <v>1360.8908999999999</v>
      </c>
      <c r="DJ33" s="103">
        <v>763922.9</v>
      </c>
      <c r="DK33" s="103">
        <v>577978.19999999995</v>
      </c>
      <c r="DL33" s="104">
        <v>1.3217157671344699</v>
      </c>
    </row>
    <row r="34" spans="1:116" s="15" customFormat="1" ht="156.94999999999999" customHeight="1" x14ac:dyDescent="0.25">
      <c r="A34" s="100" t="s">
        <v>119</v>
      </c>
      <c r="B34" s="100" t="s">
        <v>2185</v>
      </c>
      <c r="C34" s="100" t="s">
        <v>87</v>
      </c>
      <c r="D34" s="101" t="str">
        <f>"Chemistry 320"</f>
        <v>Chemistry 320</v>
      </c>
      <c r="E34" s="102" t="s">
        <v>2186</v>
      </c>
      <c r="F34" s="100">
        <v>6</v>
      </c>
      <c r="G34" s="100">
        <v>1</v>
      </c>
      <c r="H34" s="100">
        <v>0.17</v>
      </c>
      <c r="I34" s="100">
        <v>9</v>
      </c>
      <c r="J34" s="100">
        <v>3</v>
      </c>
      <c r="K34" s="100">
        <v>2</v>
      </c>
      <c r="L34" s="100">
        <v>1</v>
      </c>
      <c r="M34" s="100">
        <v>1</v>
      </c>
      <c r="N34" s="100">
        <v>2</v>
      </c>
      <c r="O34" s="100">
        <v>0</v>
      </c>
      <c r="P34" s="100">
        <v>2.37</v>
      </c>
      <c r="Q34" s="100">
        <v>22.12</v>
      </c>
      <c r="R34" s="100">
        <v>1</v>
      </c>
      <c r="S34" s="100">
        <v>0</v>
      </c>
      <c r="T34" s="100">
        <v>0</v>
      </c>
      <c r="U34" s="100">
        <v>1</v>
      </c>
      <c r="V34" s="100">
        <v>0</v>
      </c>
      <c r="W34" s="100">
        <v>0</v>
      </c>
      <c r="X34" s="100">
        <v>1</v>
      </c>
      <c r="Y34" s="100">
        <v>0</v>
      </c>
      <c r="Z34" s="100">
        <v>0</v>
      </c>
      <c r="AA34" s="100">
        <v>1</v>
      </c>
      <c r="AB34" s="100">
        <v>0</v>
      </c>
      <c r="AC34" s="100">
        <v>1</v>
      </c>
      <c r="AD34" s="100">
        <v>0</v>
      </c>
      <c r="AE34" s="100">
        <v>0</v>
      </c>
      <c r="AF34" s="100">
        <v>1</v>
      </c>
      <c r="AG34" s="100">
        <v>0</v>
      </c>
      <c r="AH34" s="100">
        <v>1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1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</v>
      </c>
      <c r="BI34" s="100">
        <v>0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1</v>
      </c>
      <c r="BQ34" s="100">
        <v>0</v>
      </c>
      <c r="BR34" s="100">
        <v>0</v>
      </c>
      <c r="BS34" s="100">
        <v>0</v>
      </c>
      <c r="BT34" s="100">
        <v>0</v>
      </c>
      <c r="BU34" s="100">
        <v>0</v>
      </c>
      <c r="BV34" s="100">
        <v>0</v>
      </c>
      <c r="BW34" s="100">
        <v>0</v>
      </c>
      <c r="BX34" s="100">
        <v>0</v>
      </c>
      <c r="BY34" s="100">
        <v>0</v>
      </c>
      <c r="BZ34" s="100">
        <v>0</v>
      </c>
      <c r="CA34" s="100">
        <v>0</v>
      </c>
      <c r="CB34" s="100" t="s">
        <v>2090</v>
      </c>
      <c r="CC34" s="100">
        <v>0</v>
      </c>
      <c r="CD34" s="100">
        <v>0</v>
      </c>
      <c r="CE34" s="100">
        <v>0</v>
      </c>
      <c r="CF34" s="100">
        <v>0</v>
      </c>
      <c r="CG34" s="103">
        <v>178427.43067</v>
      </c>
      <c r="CH34" s="103">
        <v>33.29</v>
      </c>
      <c r="CI34" s="103">
        <v>3237357.0874100002</v>
      </c>
      <c r="CJ34" s="103">
        <v>35.21</v>
      </c>
      <c r="CK34" s="103">
        <f t="shared" si="0"/>
        <v>1172.1409000000001</v>
      </c>
      <c r="CL34" s="103">
        <v>15044</v>
      </c>
      <c r="CM34" s="103">
        <v>421000.7</v>
      </c>
      <c r="CN34" s="104">
        <v>3.5733907330795414E-2</v>
      </c>
      <c r="CO34" s="103">
        <v>41991.906150000003</v>
      </c>
      <c r="CP34" s="103">
        <v>6.83</v>
      </c>
      <c r="CQ34" s="103">
        <v>1876821.94466</v>
      </c>
      <c r="CR34" s="103">
        <v>21.75</v>
      </c>
      <c r="CS34" s="103">
        <f t="shared" si="1"/>
        <v>148.55250000000001</v>
      </c>
      <c r="CT34" s="103">
        <v>6699.8</v>
      </c>
      <c r="CU34" s="103">
        <v>14089.8</v>
      </c>
      <c r="CV34" s="104">
        <v>0.4755071044301552</v>
      </c>
      <c r="CW34" s="103">
        <v>113174.41538000001</v>
      </c>
      <c r="CX34" s="103">
        <v>22.25</v>
      </c>
      <c r="CY34" s="103">
        <v>2762475.8744899998</v>
      </c>
      <c r="CZ34" s="103">
        <v>27.716210343328985</v>
      </c>
      <c r="DA34" s="103">
        <f t="shared" si="2"/>
        <v>616.68568013906997</v>
      </c>
      <c r="DB34" s="103">
        <v>69765.2</v>
      </c>
      <c r="DC34" s="103">
        <v>681577.1</v>
      </c>
      <c r="DD34" s="104">
        <v>0.10235848592917808</v>
      </c>
      <c r="DE34" s="103">
        <v>5917.2285000000002</v>
      </c>
      <c r="DF34" s="103">
        <v>0.93</v>
      </c>
      <c r="DG34" s="103">
        <v>227602.18570999999</v>
      </c>
      <c r="DH34" s="103">
        <v>2.4900000000000002</v>
      </c>
      <c r="DI34" s="103">
        <f t="shared" si="3"/>
        <v>2.3157000000000005</v>
      </c>
      <c r="DJ34" s="103">
        <v>9776.5</v>
      </c>
      <c r="DK34" s="103">
        <v>577306.69999999995</v>
      </c>
      <c r="DL34" s="104">
        <v>1.6934672679184221E-2</v>
      </c>
    </row>
    <row r="35" spans="1:116" s="15" customFormat="1" ht="151.69999999999999" customHeight="1" x14ac:dyDescent="0.25">
      <c r="A35" s="100" t="s">
        <v>120</v>
      </c>
      <c r="B35" s="100" t="s">
        <v>2187</v>
      </c>
      <c r="C35" s="100" t="s">
        <v>87</v>
      </c>
      <c r="D35" s="101" t="str">
        <f>"Chemistry 348"</f>
        <v>Chemistry 348</v>
      </c>
      <c r="E35" s="102" t="s">
        <v>2188</v>
      </c>
      <c r="F35" s="100">
        <v>6</v>
      </c>
      <c r="G35" s="100">
        <v>1</v>
      </c>
      <c r="H35" s="100">
        <v>0.17</v>
      </c>
      <c r="I35" s="100">
        <v>9</v>
      </c>
      <c r="J35" s="100">
        <v>3</v>
      </c>
      <c r="K35" s="100">
        <v>2</v>
      </c>
      <c r="L35" s="100">
        <v>1</v>
      </c>
      <c r="M35" s="100">
        <v>1</v>
      </c>
      <c r="N35" s="100">
        <v>2</v>
      </c>
      <c r="O35" s="100">
        <v>0</v>
      </c>
      <c r="P35" s="100">
        <v>2.37</v>
      </c>
      <c r="Q35" s="100">
        <v>22.12</v>
      </c>
      <c r="R35" s="100">
        <v>1</v>
      </c>
      <c r="S35" s="100">
        <v>0</v>
      </c>
      <c r="T35" s="100">
        <v>0</v>
      </c>
      <c r="U35" s="100">
        <v>1</v>
      </c>
      <c r="V35" s="100">
        <v>0</v>
      </c>
      <c r="W35" s="100">
        <v>0</v>
      </c>
      <c r="X35" s="100">
        <v>1</v>
      </c>
      <c r="Y35" s="100">
        <v>0</v>
      </c>
      <c r="Z35" s="100">
        <v>0</v>
      </c>
      <c r="AA35" s="100">
        <v>1</v>
      </c>
      <c r="AB35" s="100">
        <v>0</v>
      </c>
      <c r="AC35" s="100">
        <v>1</v>
      </c>
      <c r="AD35" s="100">
        <v>0</v>
      </c>
      <c r="AE35" s="100">
        <v>0</v>
      </c>
      <c r="AF35" s="100">
        <v>1</v>
      </c>
      <c r="AG35" s="100">
        <v>0</v>
      </c>
      <c r="AH35" s="100">
        <v>1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1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1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0">
        <v>0</v>
      </c>
      <c r="BW35" s="100">
        <v>0</v>
      </c>
      <c r="BX35" s="100">
        <v>0</v>
      </c>
      <c r="BY35" s="100">
        <v>0</v>
      </c>
      <c r="BZ35" s="100">
        <v>0</v>
      </c>
      <c r="CA35" s="100">
        <v>0</v>
      </c>
      <c r="CB35" s="100" t="s">
        <v>2090</v>
      </c>
      <c r="CC35" s="100">
        <v>0</v>
      </c>
      <c r="CD35" s="100">
        <v>0</v>
      </c>
      <c r="CE35" s="100">
        <v>0</v>
      </c>
      <c r="CF35" s="100">
        <v>0</v>
      </c>
      <c r="CG35" s="103">
        <v>238532.93040000001</v>
      </c>
      <c r="CH35" s="103">
        <v>30.03</v>
      </c>
      <c r="CI35" s="103">
        <v>3707721.8829999999</v>
      </c>
      <c r="CJ35" s="103">
        <v>37.880000000000003</v>
      </c>
      <c r="CK35" s="103">
        <f t="shared" si="0"/>
        <v>1137.5364000000002</v>
      </c>
      <c r="CL35" s="103">
        <v>28092.6</v>
      </c>
      <c r="CM35" s="103">
        <v>272420.59999999998</v>
      </c>
      <c r="CN35" s="104">
        <v>0.10312215742862324</v>
      </c>
      <c r="CO35" s="103">
        <v>11575.56386</v>
      </c>
      <c r="CP35" s="103">
        <v>1.47</v>
      </c>
      <c r="CQ35" s="103">
        <v>342455.03886999999</v>
      </c>
      <c r="CR35" s="103">
        <v>4.09</v>
      </c>
      <c r="CS35" s="103">
        <f t="shared" si="1"/>
        <v>6.0122999999999998</v>
      </c>
      <c r="CT35" s="103">
        <v>94318.8</v>
      </c>
      <c r="CU35" s="103">
        <v>831486.5</v>
      </c>
      <c r="CV35" s="104">
        <v>0.11343395232514299</v>
      </c>
      <c r="CW35" s="103">
        <v>459999.52296999999</v>
      </c>
      <c r="CX35" s="103">
        <v>65.56</v>
      </c>
      <c r="CY35" s="103">
        <v>3873488.0353700002</v>
      </c>
      <c r="CZ35" s="103">
        <v>43.658672615727831</v>
      </c>
      <c r="DA35" s="103">
        <f t="shared" si="2"/>
        <v>2862.2625766871165</v>
      </c>
      <c r="DB35" s="103">
        <v>126314</v>
      </c>
      <c r="DC35" s="103">
        <v>693218</v>
      </c>
      <c r="DD35" s="104">
        <v>0.18221396443831522</v>
      </c>
      <c r="DE35" s="103">
        <v>24396.446899999999</v>
      </c>
      <c r="DF35" s="103">
        <v>2.87</v>
      </c>
      <c r="DG35" s="103">
        <v>1465784.9412799999</v>
      </c>
      <c r="DH35" s="103">
        <v>9.15</v>
      </c>
      <c r="DI35" s="103">
        <f t="shared" si="3"/>
        <v>26.2605</v>
      </c>
      <c r="DJ35" s="103">
        <v>25306.9</v>
      </c>
      <c r="DK35" s="103">
        <v>550171.4</v>
      </c>
      <c r="DL35" s="104">
        <v>4.5998210739416845E-2</v>
      </c>
    </row>
    <row r="36" spans="1:116" s="15" customFormat="1" ht="161.44999999999999" customHeight="1" x14ac:dyDescent="0.25">
      <c r="A36" s="100" t="s">
        <v>121</v>
      </c>
      <c r="B36" s="100" t="s">
        <v>2189</v>
      </c>
      <c r="C36" s="100" t="s">
        <v>87</v>
      </c>
      <c r="D36" s="101" t="str">
        <f>"Chemistry 323"</f>
        <v>Chemistry 323</v>
      </c>
      <c r="E36" s="102" t="s">
        <v>2190</v>
      </c>
      <c r="F36" s="100">
        <v>6</v>
      </c>
      <c r="G36" s="100">
        <v>1</v>
      </c>
      <c r="H36" s="100">
        <v>0.17</v>
      </c>
      <c r="I36" s="100">
        <v>9</v>
      </c>
      <c r="J36" s="100">
        <v>3</v>
      </c>
      <c r="K36" s="100">
        <v>2</v>
      </c>
      <c r="L36" s="100">
        <v>1</v>
      </c>
      <c r="M36" s="100">
        <v>1</v>
      </c>
      <c r="N36" s="100">
        <v>2</v>
      </c>
      <c r="O36" s="100">
        <v>0</v>
      </c>
      <c r="P36" s="100">
        <v>2.14</v>
      </c>
      <c r="Q36" s="100">
        <v>22.12</v>
      </c>
      <c r="R36" s="100">
        <v>1</v>
      </c>
      <c r="S36" s="100">
        <v>0</v>
      </c>
      <c r="T36" s="100">
        <v>0</v>
      </c>
      <c r="U36" s="100">
        <v>1</v>
      </c>
      <c r="V36" s="100">
        <v>0</v>
      </c>
      <c r="W36" s="100">
        <v>0</v>
      </c>
      <c r="X36" s="100">
        <v>1</v>
      </c>
      <c r="Y36" s="100">
        <v>0</v>
      </c>
      <c r="Z36" s="100">
        <v>0</v>
      </c>
      <c r="AA36" s="100">
        <v>1</v>
      </c>
      <c r="AB36" s="100">
        <v>0</v>
      </c>
      <c r="AC36" s="100">
        <v>1</v>
      </c>
      <c r="AD36" s="100">
        <v>0</v>
      </c>
      <c r="AE36" s="100">
        <v>0</v>
      </c>
      <c r="AF36" s="100">
        <v>1</v>
      </c>
      <c r="AG36" s="100">
        <v>0</v>
      </c>
      <c r="AH36" s="100">
        <v>1</v>
      </c>
      <c r="AI36" s="100">
        <v>0</v>
      </c>
      <c r="AJ36" s="100">
        <v>0</v>
      </c>
      <c r="AK36" s="100">
        <v>1</v>
      </c>
      <c r="AL36" s="100">
        <v>1</v>
      </c>
      <c r="AM36" s="100">
        <v>0</v>
      </c>
      <c r="AN36" s="100">
        <v>0</v>
      </c>
      <c r="AO36" s="100">
        <v>1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1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0">
        <v>0</v>
      </c>
      <c r="BW36" s="100">
        <v>0</v>
      </c>
      <c r="BX36" s="100">
        <v>0</v>
      </c>
      <c r="BY36" s="100">
        <v>0</v>
      </c>
      <c r="BZ36" s="100">
        <v>0</v>
      </c>
      <c r="CA36" s="100">
        <v>0</v>
      </c>
      <c r="CB36" s="100" t="s">
        <v>2090</v>
      </c>
      <c r="CC36" s="100">
        <v>0</v>
      </c>
      <c r="CD36" s="100">
        <v>0</v>
      </c>
      <c r="CE36" s="100">
        <v>0</v>
      </c>
      <c r="CF36" s="100">
        <v>0</v>
      </c>
      <c r="CG36" s="103">
        <v>212264.71775000001</v>
      </c>
      <c r="CH36" s="103">
        <v>34.92</v>
      </c>
      <c r="CI36" s="103">
        <v>3876295.6011600001</v>
      </c>
      <c r="CJ36" s="103">
        <v>49.46</v>
      </c>
      <c r="CK36" s="103">
        <f t="shared" si="0"/>
        <v>1727.1432000000002</v>
      </c>
      <c r="CL36" s="103">
        <v>11597.4</v>
      </c>
      <c r="CM36" s="103">
        <v>521406.8</v>
      </c>
      <c r="CN36" s="104">
        <v>2.224251774238464E-2</v>
      </c>
      <c r="CO36" s="103">
        <v>70125.662190000003</v>
      </c>
      <c r="CP36" s="103">
        <v>9.64</v>
      </c>
      <c r="CQ36" s="103">
        <v>2356082.8542599999</v>
      </c>
      <c r="CR36" s="103">
        <v>30.24</v>
      </c>
      <c r="CS36" s="103">
        <f t="shared" si="1"/>
        <v>291.5136</v>
      </c>
      <c r="CT36" s="103">
        <v>13116.3</v>
      </c>
      <c r="CU36" s="103">
        <v>646591.6</v>
      </c>
      <c r="CV36" s="104">
        <v>2.0285292911321459E-2</v>
      </c>
      <c r="CW36" s="103">
        <v>32524.255359999999</v>
      </c>
      <c r="CX36" s="103">
        <v>7.05</v>
      </c>
      <c r="CY36" s="103">
        <v>1773478.0619399999</v>
      </c>
      <c r="CZ36" s="103">
        <v>18.682952734997343</v>
      </c>
      <c r="DA36" s="103">
        <f t="shared" si="2"/>
        <v>131.71481678173126</v>
      </c>
      <c r="DB36" s="103">
        <v>86948.7</v>
      </c>
      <c r="DC36" s="103">
        <v>535997.80000000005</v>
      </c>
      <c r="DD36" s="104">
        <v>0.16221838970234578</v>
      </c>
      <c r="DE36" s="103">
        <v>40530.811049999997</v>
      </c>
      <c r="DF36" s="103">
        <v>5</v>
      </c>
      <c r="DG36" s="103">
        <v>2167531.6760399998</v>
      </c>
      <c r="DH36" s="103">
        <v>17.29</v>
      </c>
      <c r="DI36" s="103">
        <f t="shared" si="3"/>
        <v>86.449999999999989</v>
      </c>
      <c r="DJ36" s="103">
        <v>50598.9</v>
      </c>
      <c r="DK36" s="103">
        <v>758403.4</v>
      </c>
      <c r="DL36" s="104">
        <v>6.6717659757327033E-2</v>
      </c>
    </row>
    <row r="37" spans="1:116" s="15" customFormat="1" ht="135.19999999999999" customHeight="1" x14ac:dyDescent="0.25">
      <c r="A37" s="100" t="s">
        <v>122</v>
      </c>
      <c r="B37" s="100" t="s">
        <v>2191</v>
      </c>
      <c r="C37" s="100" t="s">
        <v>87</v>
      </c>
      <c r="D37" s="101" t="str">
        <f>"Chemistry 299"</f>
        <v>Chemistry 299</v>
      </c>
      <c r="E37" s="102" t="s">
        <v>2192</v>
      </c>
      <c r="F37" s="100">
        <v>5</v>
      </c>
      <c r="G37" s="100">
        <v>1</v>
      </c>
      <c r="H37" s="100">
        <v>0.2</v>
      </c>
      <c r="I37" s="100">
        <v>9</v>
      </c>
      <c r="J37" s="100">
        <v>4</v>
      </c>
      <c r="K37" s="100">
        <v>3</v>
      </c>
      <c r="L37" s="100">
        <v>3</v>
      </c>
      <c r="M37" s="100">
        <v>1</v>
      </c>
      <c r="N37" s="100">
        <v>3</v>
      </c>
      <c r="O37" s="100">
        <v>1</v>
      </c>
      <c r="P37" s="100">
        <v>1.41</v>
      </c>
      <c r="Q37" s="100">
        <v>37.81</v>
      </c>
      <c r="R37" s="100">
        <v>1</v>
      </c>
      <c r="S37" s="100">
        <v>0</v>
      </c>
      <c r="T37" s="100">
        <v>0</v>
      </c>
      <c r="U37" s="100">
        <v>1</v>
      </c>
      <c r="V37" s="100">
        <v>0</v>
      </c>
      <c r="W37" s="100">
        <v>1</v>
      </c>
      <c r="X37" s="100">
        <v>0</v>
      </c>
      <c r="Y37" s="100">
        <v>0</v>
      </c>
      <c r="Z37" s="100">
        <v>1</v>
      </c>
      <c r="AA37" s="100">
        <v>0</v>
      </c>
      <c r="AB37" s="100">
        <v>0</v>
      </c>
      <c r="AC37" s="100">
        <v>1</v>
      </c>
      <c r="AD37" s="100">
        <v>0</v>
      </c>
      <c r="AE37" s="100">
        <v>1</v>
      </c>
      <c r="AF37" s="100">
        <v>0</v>
      </c>
      <c r="AG37" s="100">
        <v>0</v>
      </c>
      <c r="AH37" s="100">
        <v>0</v>
      </c>
      <c r="AI37" s="100">
        <v>1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1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1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1</v>
      </c>
      <c r="BK37" s="100">
        <v>0</v>
      </c>
      <c r="BL37" s="100">
        <v>0</v>
      </c>
      <c r="BM37" s="100">
        <v>1</v>
      </c>
      <c r="BN37" s="100">
        <v>0</v>
      </c>
      <c r="BO37" s="100">
        <v>1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0</v>
      </c>
      <c r="CA37" s="100">
        <v>0</v>
      </c>
      <c r="CB37" s="100" t="s">
        <v>2090</v>
      </c>
      <c r="CC37" s="100">
        <v>0</v>
      </c>
      <c r="CD37" s="100">
        <v>0</v>
      </c>
      <c r="CE37" s="100">
        <v>0</v>
      </c>
      <c r="CF37" s="100">
        <v>0</v>
      </c>
      <c r="CG37" s="103">
        <v>0</v>
      </c>
      <c r="CH37" s="103">
        <v>0</v>
      </c>
      <c r="CI37" s="103">
        <v>46675.748970000001</v>
      </c>
      <c r="CJ37" s="103">
        <v>2.12</v>
      </c>
      <c r="CK37" s="103">
        <f t="shared" si="0"/>
        <v>0</v>
      </c>
      <c r="CL37" s="103">
        <v>9356.7999999999993</v>
      </c>
      <c r="CM37" s="103">
        <v>657643.30000000005</v>
      </c>
      <c r="CN37" s="104">
        <v>1.4227773627436026E-2</v>
      </c>
      <c r="CO37" s="103">
        <v>0</v>
      </c>
      <c r="CP37" s="103">
        <v>0</v>
      </c>
      <c r="CQ37" s="103">
        <v>14590.048210000001</v>
      </c>
      <c r="CR37" s="103">
        <v>0</v>
      </c>
      <c r="CS37" s="103">
        <f t="shared" si="1"/>
        <v>0</v>
      </c>
      <c r="CT37" s="103">
        <v>12370.4</v>
      </c>
      <c r="CU37" s="103">
        <v>421125.8</v>
      </c>
      <c r="CV37" s="104">
        <v>2.9374595429679209E-2</v>
      </c>
      <c r="CW37" s="103">
        <v>8398.0142500000002</v>
      </c>
      <c r="CX37" s="103">
        <v>1.07</v>
      </c>
      <c r="CY37" s="103">
        <v>375419.47905999998</v>
      </c>
      <c r="CZ37" s="103">
        <v>6.4052605942523133</v>
      </c>
      <c r="DA37" s="103">
        <f t="shared" si="2"/>
        <v>6.8536288358499755</v>
      </c>
      <c r="DB37" s="103">
        <v>4656.5</v>
      </c>
      <c r="DC37" s="103">
        <v>488929.5</v>
      </c>
      <c r="DD37" s="104">
        <v>9.5238679605137346E-3</v>
      </c>
      <c r="DE37" s="103">
        <v>0</v>
      </c>
      <c r="DF37" s="103">
        <v>0</v>
      </c>
      <c r="DG37" s="103">
        <v>0</v>
      </c>
      <c r="DH37" s="103">
        <v>0</v>
      </c>
      <c r="DI37" s="103">
        <f t="shared" si="3"/>
        <v>0</v>
      </c>
      <c r="DJ37" s="103">
        <v>3925.4</v>
      </c>
      <c r="DK37" s="103">
        <v>482073</v>
      </c>
      <c r="DL37" s="104">
        <v>8.1427501643941899E-3</v>
      </c>
    </row>
    <row r="38" spans="1:116" s="15" customFormat="1" ht="185.45" customHeight="1" x14ac:dyDescent="0.25">
      <c r="A38" s="100" t="s">
        <v>123</v>
      </c>
      <c r="B38" s="100" t="s">
        <v>2193</v>
      </c>
      <c r="C38" s="100" t="s">
        <v>87</v>
      </c>
      <c r="D38" s="101" t="str">
        <f>"Chemistry 267"</f>
        <v>Chemistry 267</v>
      </c>
      <c r="E38" s="102" t="s">
        <v>2194</v>
      </c>
      <c r="F38" s="100">
        <v>3</v>
      </c>
      <c r="G38" s="100">
        <v>0</v>
      </c>
      <c r="H38" s="100">
        <v>0</v>
      </c>
      <c r="I38" s="100">
        <v>9</v>
      </c>
      <c r="J38" s="100">
        <v>6</v>
      </c>
      <c r="K38" s="100">
        <v>5</v>
      </c>
      <c r="L38" s="100">
        <v>3</v>
      </c>
      <c r="M38" s="100">
        <v>1</v>
      </c>
      <c r="N38" s="100">
        <v>3</v>
      </c>
      <c r="O38" s="100">
        <v>1</v>
      </c>
      <c r="P38" s="100">
        <v>1.21</v>
      </c>
      <c r="Q38" s="100">
        <v>74.5</v>
      </c>
      <c r="R38" s="100">
        <v>1</v>
      </c>
      <c r="S38" s="100">
        <v>0</v>
      </c>
      <c r="T38" s="100">
        <v>0</v>
      </c>
      <c r="U38" s="100">
        <v>1</v>
      </c>
      <c r="V38" s="100">
        <v>0</v>
      </c>
      <c r="W38" s="100">
        <v>1</v>
      </c>
      <c r="X38" s="100">
        <v>0</v>
      </c>
      <c r="Y38" s="100">
        <v>0</v>
      </c>
      <c r="Z38" s="100">
        <v>1</v>
      </c>
      <c r="AA38" s="100">
        <v>0</v>
      </c>
      <c r="AB38" s="100">
        <v>0</v>
      </c>
      <c r="AC38" s="100">
        <v>1</v>
      </c>
      <c r="AD38" s="100">
        <v>0</v>
      </c>
      <c r="AE38" s="100">
        <v>1</v>
      </c>
      <c r="AF38" s="100">
        <v>0</v>
      </c>
      <c r="AG38" s="100">
        <v>0</v>
      </c>
      <c r="AH38" s="100">
        <v>0</v>
      </c>
      <c r="AI38" s="100">
        <v>0</v>
      </c>
      <c r="AJ38" s="100">
        <v>1</v>
      </c>
      <c r="AK38" s="100">
        <v>1</v>
      </c>
      <c r="AL38" s="100">
        <v>1</v>
      </c>
      <c r="AM38" s="100">
        <v>0</v>
      </c>
      <c r="AN38" s="100">
        <v>1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1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1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1</v>
      </c>
      <c r="BS38" s="100">
        <v>0</v>
      </c>
      <c r="BT38" s="100">
        <v>1</v>
      </c>
      <c r="BU38" s="100">
        <v>0</v>
      </c>
      <c r="BV38" s="100">
        <v>0</v>
      </c>
      <c r="BW38" s="100">
        <v>0</v>
      </c>
      <c r="BX38" s="100">
        <v>0</v>
      </c>
      <c r="BY38" s="100">
        <v>0</v>
      </c>
      <c r="BZ38" s="100">
        <v>0</v>
      </c>
      <c r="CA38" s="100">
        <v>0</v>
      </c>
      <c r="CB38" s="100" t="s">
        <v>2090</v>
      </c>
      <c r="CC38" s="100">
        <v>0</v>
      </c>
      <c r="CD38" s="100">
        <v>0</v>
      </c>
      <c r="CE38" s="100">
        <v>0</v>
      </c>
      <c r="CF38" s="100">
        <v>0</v>
      </c>
      <c r="CG38" s="103">
        <v>0</v>
      </c>
      <c r="CH38" s="103">
        <v>0</v>
      </c>
      <c r="CI38" s="103">
        <v>5496.0721199999998</v>
      </c>
      <c r="CJ38" s="103">
        <v>0</v>
      </c>
      <c r="CK38" s="103">
        <f t="shared" si="0"/>
        <v>0</v>
      </c>
      <c r="CL38" s="103">
        <v>1994.8</v>
      </c>
      <c r="CM38" s="103">
        <v>710555.5</v>
      </c>
      <c r="CN38" s="104">
        <v>2.8073809857217347E-3</v>
      </c>
      <c r="CO38" s="103">
        <v>0</v>
      </c>
      <c r="CP38" s="103">
        <v>0</v>
      </c>
      <c r="CQ38" s="103">
        <v>612.13924999999995</v>
      </c>
      <c r="CR38" s="103">
        <v>0</v>
      </c>
      <c r="CS38" s="103">
        <f t="shared" si="1"/>
        <v>0</v>
      </c>
      <c r="CT38" s="103">
        <v>4173</v>
      </c>
      <c r="CU38" s="103">
        <v>750494.1</v>
      </c>
      <c r="CV38" s="104">
        <v>5.5603368500831652E-3</v>
      </c>
      <c r="CW38" s="103">
        <v>0</v>
      </c>
      <c r="CX38" s="103">
        <v>0</v>
      </c>
      <c r="CY38" s="103">
        <v>802.47726999999998</v>
      </c>
      <c r="CZ38" s="103">
        <v>0</v>
      </c>
      <c r="DA38" s="103">
        <f t="shared" si="2"/>
        <v>0</v>
      </c>
      <c r="DB38" s="103">
        <v>329.4</v>
      </c>
      <c r="DC38" s="103">
        <v>156647.29999999999</v>
      </c>
      <c r="DD38" s="104">
        <v>2.1028131349854098E-3</v>
      </c>
      <c r="DE38" s="103">
        <v>12101.7629</v>
      </c>
      <c r="DF38" s="103">
        <v>0.8</v>
      </c>
      <c r="DG38" s="103">
        <v>655.88967000000002</v>
      </c>
      <c r="DH38" s="103">
        <v>0</v>
      </c>
      <c r="DI38" s="103">
        <f t="shared" si="3"/>
        <v>0</v>
      </c>
      <c r="DJ38" s="103">
        <v>3033</v>
      </c>
      <c r="DK38" s="103">
        <v>554203.1</v>
      </c>
      <c r="DL38" s="104">
        <v>5.4727229060970613E-3</v>
      </c>
    </row>
    <row r="39" spans="1:116" s="15" customFormat="1" ht="128.44999999999999" customHeight="1" x14ac:dyDescent="0.25">
      <c r="A39" s="100" t="s">
        <v>124</v>
      </c>
      <c r="B39" s="100" t="s">
        <v>2195</v>
      </c>
      <c r="C39" s="100" t="s">
        <v>87</v>
      </c>
      <c r="D39" s="101" t="str">
        <f>"Chemistry 332"</f>
        <v>Chemistry 332</v>
      </c>
      <c r="E39" s="102" t="s">
        <v>2196</v>
      </c>
      <c r="F39" s="100">
        <v>7</v>
      </c>
      <c r="G39" s="100">
        <v>0</v>
      </c>
      <c r="H39" s="100">
        <v>0</v>
      </c>
      <c r="I39" s="100">
        <v>10</v>
      </c>
      <c r="J39" s="100">
        <v>3</v>
      </c>
      <c r="K39" s="100">
        <v>2</v>
      </c>
      <c r="L39" s="100">
        <v>2</v>
      </c>
      <c r="M39" s="100">
        <v>2</v>
      </c>
      <c r="N39" s="100">
        <v>1</v>
      </c>
      <c r="O39" s="100">
        <v>1</v>
      </c>
      <c r="P39" s="100">
        <v>2.12</v>
      </c>
      <c r="Q39" s="100">
        <v>28.68</v>
      </c>
      <c r="R39" s="100">
        <v>0</v>
      </c>
      <c r="S39" s="100">
        <v>0</v>
      </c>
      <c r="T39" s="100">
        <v>0</v>
      </c>
      <c r="U39" s="100">
        <v>1</v>
      </c>
      <c r="V39" s="100">
        <v>0</v>
      </c>
      <c r="W39" s="100">
        <v>1</v>
      </c>
      <c r="X39" s="100">
        <v>0</v>
      </c>
      <c r="Y39" s="100">
        <v>0</v>
      </c>
      <c r="Z39" s="100">
        <v>1</v>
      </c>
      <c r="AA39" s="100">
        <v>0</v>
      </c>
      <c r="AB39" s="100">
        <v>0</v>
      </c>
      <c r="AC39" s="100">
        <v>1</v>
      </c>
      <c r="AD39" s="100">
        <v>0</v>
      </c>
      <c r="AE39" s="100">
        <v>0</v>
      </c>
      <c r="AF39" s="100">
        <v>1</v>
      </c>
      <c r="AG39" s="100">
        <v>0</v>
      </c>
      <c r="AH39" s="100">
        <v>1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1</v>
      </c>
      <c r="AO39" s="100">
        <v>1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1</v>
      </c>
      <c r="BQ39" s="100">
        <v>0</v>
      </c>
      <c r="BR39" s="100">
        <v>1</v>
      </c>
      <c r="BS39" s="100">
        <v>1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0</v>
      </c>
      <c r="BZ39" s="100">
        <v>0</v>
      </c>
      <c r="CA39" s="100">
        <v>0</v>
      </c>
      <c r="CB39" s="100" t="s">
        <v>2090</v>
      </c>
      <c r="CC39" s="100">
        <v>0</v>
      </c>
      <c r="CD39" s="100">
        <v>0</v>
      </c>
      <c r="CE39" s="100">
        <v>0</v>
      </c>
      <c r="CF39" s="100">
        <v>0</v>
      </c>
      <c r="CG39" s="103">
        <v>355141.17593000003</v>
      </c>
      <c r="CH39" s="103">
        <v>27.36</v>
      </c>
      <c r="CI39" s="103">
        <v>3055407.3712399998</v>
      </c>
      <c r="CJ39" s="103">
        <v>36.56</v>
      </c>
      <c r="CK39" s="103">
        <f t="shared" si="0"/>
        <v>1000.2816</v>
      </c>
      <c r="CL39" s="103">
        <v>77099.5</v>
      </c>
      <c r="CM39" s="103">
        <v>136798.29999999999</v>
      </c>
      <c r="CN39" s="104">
        <v>0.563599840056492</v>
      </c>
      <c r="CO39" s="103">
        <v>0</v>
      </c>
      <c r="CP39" s="103">
        <v>0</v>
      </c>
      <c r="CQ39" s="103">
        <v>43327.57101</v>
      </c>
      <c r="CR39" s="103">
        <v>0.87</v>
      </c>
      <c r="CS39" s="103">
        <f t="shared" si="1"/>
        <v>0</v>
      </c>
      <c r="CT39" s="103">
        <v>12091.3</v>
      </c>
      <c r="CU39" s="103">
        <v>888191.2</v>
      </c>
      <c r="CV39" s="104">
        <v>1.3613397655820054E-2</v>
      </c>
      <c r="CW39" s="103">
        <v>0</v>
      </c>
      <c r="CX39" s="103">
        <v>0</v>
      </c>
      <c r="CY39" s="103">
        <v>0</v>
      </c>
      <c r="CZ39" s="103">
        <v>0</v>
      </c>
      <c r="DA39" s="103">
        <f t="shared" si="2"/>
        <v>0</v>
      </c>
      <c r="DB39" s="103">
        <v>1331.4</v>
      </c>
      <c r="DC39" s="103">
        <v>160762.6</v>
      </c>
      <c r="DD39" s="104">
        <v>8.2817769804668494E-3</v>
      </c>
      <c r="DE39" s="103">
        <v>0</v>
      </c>
      <c r="DF39" s="103">
        <v>0</v>
      </c>
      <c r="DG39" s="103">
        <v>0</v>
      </c>
      <c r="DH39" s="103">
        <v>0</v>
      </c>
      <c r="DI39" s="103">
        <f t="shared" si="3"/>
        <v>0</v>
      </c>
      <c r="DJ39" s="103">
        <v>1967.8</v>
      </c>
      <c r="DK39" s="103">
        <v>599097.59999999998</v>
      </c>
      <c r="DL39" s="104">
        <v>3.2846067151662767E-3</v>
      </c>
    </row>
    <row r="40" spans="1:116" s="15" customFormat="1" ht="165.95" customHeight="1" x14ac:dyDescent="0.25">
      <c r="A40" s="100" t="s">
        <v>125</v>
      </c>
      <c r="B40" s="100" t="s">
        <v>2197</v>
      </c>
      <c r="C40" s="100" t="s">
        <v>87</v>
      </c>
      <c r="D40" s="101" t="str">
        <f>"Chemistry 258"</f>
        <v>Chemistry 258</v>
      </c>
      <c r="E40" s="102" t="s">
        <v>2198</v>
      </c>
      <c r="F40" s="100">
        <v>7</v>
      </c>
      <c r="G40" s="100">
        <v>0</v>
      </c>
      <c r="H40" s="100">
        <v>0</v>
      </c>
      <c r="I40" s="100">
        <v>10</v>
      </c>
      <c r="J40" s="100">
        <v>3</v>
      </c>
      <c r="K40" s="100">
        <v>2</v>
      </c>
      <c r="L40" s="100">
        <v>1</v>
      </c>
      <c r="M40" s="100">
        <v>2</v>
      </c>
      <c r="N40" s="100">
        <v>1</v>
      </c>
      <c r="O40" s="100">
        <v>0</v>
      </c>
      <c r="P40" s="100">
        <v>2.15</v>
      </c>
      <c r="Q40" s="100">
        <v>26.03</v>
      </c>
      <c r="R40" s="100">
        <v>0</v>
      </c>
      <c r="S40" s="100">
        <v>0</v>
      </c>
      <c r="T40" s="100">
        <v>0</v>
      </c>
      <c r="U40" s="100">
        <v>1</v>
      </c>
      <c r="V40" s="100">
        <v>0</v>
      </c>
      <c r="W40" s="100">
        <v>0</v>
      </c>
      <c r="X40" s="100">
        <v>1</v>
      </c>
      <c r="Y40" s="100">
        <v>0</v>
      </c>
      <c r="Z40" s="100">
        <v>0</v>
      </c>
      <c r="AA40" s="100">
        <v>1</v>
      </c>
      <c r="AB40" s="100">
        <v>0</v>
      </c>
      <c r="AC40" s="100">
        <v>1</v>
      </c>
      <c r="AD40" s="100">
        <v>0</v>
      </c>
      <c r="AE40" s="100">
        <v>0</v>
      </c>
      <c r="AF40" s="100">
        <v>1</v>
      </c>
      <c r="AG40" s="100">
        <v>0</v>
      </c>
      <c r="AH40" s="100">
        <v>1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1</v>
      </c>
      <c r="AO40" s="100">
        <v>1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1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1</v>
      </c>
      <c r="BW40" s="100">
        <v>0</v>
      </c>
      <c r="BX40" s="100">
        <v>0</v>
      </c>
      <c r="BY40" s="100">
        <v>0</v>
      </c>
      <c r="BZ40" s="100">
        <v>0</v>
      </c>
      <c r="CA40" s="100">
        <v>0</v>
      </c>
      <c r="CB40" s="100" t="s">
        <v>2090</v>
      </c>
      <c r="CC40" s="100">
        <v>0</v>
      </c>
      <c r="CD40" s="100">
        <v>0</v>
      </c>
      <c r="CE40" s="100">
        <v>0</v>
      </c>
      <c r="CF40" s="100">
        <v>0</v>
      </c>
      <c r="CG40" s="103">
        <v>260104.26993000001</v>
      </c>
      <c r="CH40" s="103">
        <v>28.1</v>
      </c>
      <c r="CI40" s="103">
        <v>2736480.6253399998</v>
      </c>
      <c r="CJ40" s="103">
        <v>46.53</v>
      </c>
      <c r="CK40" s="103">
        <f t="shared" si="0"/>
        <v>1307.4930000000002</v>
      </c>
      <c r="CL40" s="103">
        <v>7475.3</v>
      </c>
      <c r="CM40" s="103">
        <v>746178.8</v>
      </c>
      <c r="CN40" s="104">
        <v>1.0018108260379415E-2</v>
      </c>
      <c r="CO40" s="103">
        <v>141732.1379</v>
      </c>
      <c r="CP40" s="103">
        <v>9.43</v>
      </c>
      <c r="CQ40" s="103">
        <v>2150389.1461</v>
      </c>
      <c r="CR40" s="103">
        <v>26.66</v>
      </c>
      <c r="CS40" s="103">
        <f t="shared" si="1"/>
        <v>251.40379999999999</v>
      </c>
      <c r="CT40" s="103">
        <v>8558.2000000000007</v>
      </c>
      <c r="CU40" s="103">
        <v>185519.3</v>
      </c>
      <c r="CV40" s="104">
        <v>4.6131049437983011E-2</v>
      </c>
      <c r="CW40" s="103">
        <v>247446.95013000001</v>
      </c>
      <c r="CX40" s="103">
        <v>23.35</v>
      </c>
      <c r="CY40" s="103">
        <v>2600403.3904499998</v>
      </c>
      <c r="CZ40" s="103">
        <v>32.633879781420767</v>
      </c>
      <c r="DA40" s="103">
        <f t="shared" si="2"/>
        <v>762.0010928961749</v>
      </c>
      <c r="DB40" s="103">
        <v>12403.3</v>
      </c>
      <c r="DC40" s="103">
        <v>245372.79999999999</v>
      </c>
      <c r="DD40" s="104">
        <v>5.054879758473637E-2</v>
      </c>
      <c r="DE40" s="103">
        <v>77738.892309999996</v>
      </c>
      <c r="DF40" s="103">
        <v>6.4</v>
      </c>
      <c r="DG40" s="103">
        <v>1999771.10427</v>
      </c>
      <c r="DH40" s="103">
        <v>16.12</v>
      </c>
      <c r="DI40" s="103">
        <f t="shared" si="3"/>
        <v>103.16800000000001</v>
      </c>
      <c r="DJ40" s="103">
        <v>14710.5</v>
      </c>
      <c r="DK40" s="103">
        <v>614822</v>
      </c>
      <c r="DL40" s="104">
        <v>2.392643724525147E-2</v>
      </c>
    </row>
    <row r="41" spans="1:116" s="15" customFormat="1" ht="174.95" customHeight="1" x14ac:dyDescent="0.25">
      <c r="A41" s="100" t="s">
        <v>126</v>
      </c>
      <c r="B41" s="100" t="s">
        <v>2199</v>
      </c>
      <c r="C41" s="100" t="s">
        <v>87</v>
      </c>
      <c r="D41" s="101" t="str">
        <f>"Chemistry 339"</f>
        <v>Chemistry 339</v>
      </c>
      <c r="E41" s="102" t="s">
        <v>2200</v>
      </c>
      <c r="F41" s="100">
        <v>6</v>
      </c>
      <c r="G41" s="100">
        <v>0</v>
      </c>
      <c r="H41" s="100">
        <v>0</v>
      </c>
      <c r="I41" s="100">
        <v>10</v>
      </c>
      <c r="J41" s="100">
        <v>4</v>
      </c>
      <c r="K41" s="100">
        <v>3</v>
      </c>
      <c r="L41" s="100">
        <v>3</v>
      </c>
      <c r="M41" s="100">
        <v>2</v>
      </c>
      <c r="N41" s="100">
        <v>2</v>
      </c>
      <c r="O41" s="100">
        <v>0</v>
      </c>
      <c r="P41" s="100">
        <v>2.02</v>
      </c>
      <c r="Q41" s="100">
        <v>30.19</v>
      </c>
      <c r="R41" s="100">
        <v>0</v>
      </c>
      <c r="S41" s="100">
        <v>0</v>
      </c>
      <c r="T41" s="100">
        <v>0</v>
      </c>
      <c r="U41" s="100">
        <v>1</v>
      </c>
      <c r="V41" s="100">
        <v>0</v>
      </c>
      <c r="W41" s="100">
        <v>1</v>
      </c>
      <c r="X41" s="100">
        <v>0</v>
      </c>
      <c r="Y41" s="100">
        <v>0</v>
      </c>
      <c r="Z41" s="100">
        <v>0</v>
      </c>
      <c r="AA41" s="100">
        <v>1</v>
      </c>
      <c r="AB41" s="100">
        <v>0</v>
      </c>
      <c r="AC41" s="100">
        <v>1</v>
      </c>
      <c r="AD41" s="100">
        <v>0</v>
      </c>
      <c r="AE41" s="100">
        <v>0</v>
      </c>
      <c r="AF41" s="100">
        <v>1</v>
      </c>
      <c r="AG41" s="100">
        <v>0</v>
      </c>
      <c r="AH41" s="100">
        <v>0</v>
      </c>
      <c r="AI41" s="100">
        <v>1</v>
      </c>
      <c r="AJ41" s="100">
        <v>0</v>
      </c>
      <c r="AK41" s="100">
        <v>0</v>
      </c>
      <c r="AL41" s="100">
        <v>0</v>
      </c>
      <c r="AM41" s="100">
        <v>0</v>
      </c>
      <c r="AN41" s="100">
        <v>1</v>
      </c>
      <c r="AO41" s="100">
        <v>1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1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1</v>
      </c>
      <c r="BW41" s="100">
        <v>0</v>
      </c>
      <c r="BX41" s="100">
        <v>0</v>
      </c>
      <c r="BY41" s="100">
        <v>0</v>
      </c>
      <c r="BZ41" s="100">
        <v>0</v>
      </c>
      <c r="CA41" s="100">
        <v>0</v>
      </c>
      <c r="CB41" s="100" t="s">
        <v>2090</v>
      </c>
      <c r="CC41" s="100">
        <v>0</v>
      </c>
      <c r="CD41" s="100">
        <v>0</v>
      </c>
      <c r="CE41" s="100">
        <v>0</v>
      </c>
      <c r="CF41" s="100">
        <v>0</v>
      </c>
      <c r="CG41" s="103">
        <v>200673.00080000001</v>
      </c>
      <c r="CH41" s="103">
        <v>20.16</v>
      </c>
      <c r="CI41" s="103">
        <v>2205571.8495900002</v>
      </c>
      <c r="CJ41" s="103">
        <v>18.309999999999999</v>
      </c>
      <c r="CK41" s="103">
        <f t="shared" si="0"/>
        <v>369.12959999999998</v>
      </c>
      <c r="CL41" s="103">
        <v>140209.1</v>
      </c>
      <c r="CM41" s="103">
        <v>800735.1</v>
      </c>
      <c r="CN41" s="104">
        <v>0.1751004795468564</v>
      </c>
      <c r="CO41" s="103">
        <v>269443.23229000001</v>
      </c>
      <c r="CP41" s="103">
        <v>16.649999999999999</v>
      </c>
      <c r="CQ41" s="103">
        <v>2407024.1153600002</v>
      </c>
      <c r="CR41" s="103">
        <v>23.72</v>
      </c>
      <c r="CS41" s="103">
        <f t="shared" si="1"/>
        <v>394.93799999999993</v>
      </c>
      <c r="CT41" s="103">
        <v>103413.9</v>
      </c>
      <c r="CU41" s="103">
        <v>499387.4</v>
      </c>
      <c r="CV41" s="104">
        <v>0.20708151627373855</v>
      </c>
      <c r="CW41" s="103">
        <v>128610.98181</v>
      </c>
      <c r="CX41" s="103">
        <v>14.79</v>
      </c>
      <c r="CY41" s="103">
        <v>1327852.7561000001</v>
      </c>
      <c r="CZ41" s="103">
        <v>14.880883876165266</v>
      </c>
      <c r="DA41" s="103">
        <f t="shared" si="2"/>
        <v>220.08827252848425</v>
      </c>
      <c r="DB41" s="103">
        <v>186113.9</v>
      </c>
      <c r="DC41" s="103">
        <v>881917.4</v>
      </c>
      <c r="DD41" s="104">
        <v>0.2110332554953559</v>
      </c>
      <c r="DE41" s="103">
        <v>114255.85003</v>
      </c>
      <c r="DF41" s="103">
        <v>8.65</v>
      </c>
      <c r="DG41" s="103">
        <v>1740555.37243</v>
      </c>
      <c r="DH41" s="103">
        <v>13.03</v>
      </c>
      <c r="DI41" s="103">
        <f t="shared" si="3"/>
        <v>112.70950000000001</v>
      </c>
      <c r="DJ41" s="103">
        <v>29252.400000000001</v>
      </c>
      <c r="DK41" s="103">
        <v>517444.2</v>
      </c>
      <c r="DL41" s="104">
        <v>5.653247248688844E-2</v>
      </c>
    </row>
    <row r="42" spans="1:116" s="15" customFormat="1" ht="213.2" customHeight="1" x14ac:dyDescent="0.25">
      <c r="A42" s="100" t="s">
        <v>127</v>
      </c>
      <c r="B42" s="100" t="s">
        <v>2201</v>
      </c>
      <c r="C42" s="100" t="s">
        <v>87</v>
      </c>
      <c r="D42" s="101" t="str">
        <f>"Chemistry 254"</f>
        <v>Chemistry 254</v>
      </c>
      <c r="E42" s="102" t="s">
        <v>2202</v>
      </c>
      <c r="F42" s="100">
        <v>6</v>
      </c>
      <c r="G42" s="100">
        <v>0</v>
      </c>
      <c r="H42" s="100">
        <v>0</v>
      </c>
      <c r="I42" s="100">
        <v>10</v>
      </c>
      <c r="J42" s="100">
        <v>4</v>
      </c>
      <c r="K42" s="100">
        <v>3</v>
      </c>
      <c r="L42" s="100">
        <v>2</v>
      </c>
      <c r="M42" s="100">
        <v>2</v>
      </c>
      <c r="N42" s="100">
        <v>2</v>
      </c>
      <c r="O42" s="100">
        <v>0</v>
      </c>
      <c r="P42" s="100">
        <v>1.54</v>
      </c>
      <c r="Q42" s="100">
        <v>38.92</v>
      </c>
      <c r="R42" s="100">
        <v>0</v>
      </c>
      <c r="S42" s="100">
        <v>0</v>
      </c>
      <c r="T42" s="100">
        <v>0</v>
      </c>
      <c r="U42" s="100">
        <v>1</v>
      </c>
      <c r="V42" s="100">
        <v>0</v>
      </c>
      <c r="W42" s="100">
        <v>1</v>
      </c>
      <c r="X42" s="100">
        <v>0</v>
      </c>
      <c r="Y42" s="100">
        <v>0</v>
      </c>
      <c r="Z42" s="100">
        <v>0</v>
      </c>
      <c r="AA42" s="100">
        <v>1</v>
      </c>
      <c r="AB42" s="100">
        <v>0</v>
      </c>
      <c r="AC42" s="100">
        <v>1</v>
      </c>
      <c r="AD42" s="100">
        <v>0</v>
      </c>
      <c r="AE42" s="100">
        <v>1</v>
      </c>
      <c r="AF42" s="100">
        <v>0</v>
      </c>
      <c r="AG42" s="100">
        <v>0</v>
      </c>
      <c r="AH42" s="100">
        <v>0</v>
      </c>
      <c r="AI42" s="100">
        <v>1</v>
      </c>
      <c r="AJ42" s="100">
        <v>0</v>
      </c>
      <c r="AK42" s="100">
        <v>0</v>
      </c>
      <c r="AL42" s="100">
        <v>0</v>
      </c>
      <c r="AM42" s="100">
        <v>0</v>
      </c>
      <c r="AN42" s="100">
        <v>1</v>
      </c>
      <c r="AO42" s="100">
        <v>1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1</v>
      </c>
      <c r="BQ42" s="100">
        <v>1</v>
      </c>
      <c r="BR42" s="100">
        <v>0</v>
      </c>
      <c r="BS42" s="100">
        <v>0</v>
      </c>
      <c r="BT42" s="100">
        <v>0</v>
      </c>
      <c r="BU42" s="100">
        <v>1</v>
      </c>
      <c r="BV42" s="100">
        <v>0</v>
      </c>
      <c r="BW42" s="100">
        <v>0</v>
      </c>
      <c r="BX42" s="100">
        <v>0</v>
      </c>
      <c r="BY42" s="100">
        <v>0</v>
      </c>
      <c r="BZ42" s="100">
        <v>0</v>
      </c>
      <c r="CA42" s="100">
        <v>0</v>
      </c>
      <c r="CB42" s="100" t="s">
        <v>2090</v>
      </c>
      <c r="CC42" s="100">
        <v>0</v>
      </c>
      <c r="CD42" s="100">
        <v>0</v>
      </c>
      <c r="CE42" s="100">
        <v>0</v>
      </c>
      <c r="CF42" s="100">
        <v>0</v>
      </c>
      <c r="CG42" s="103">
        <v>9262.4508299999998</v>
      </c>
      <c r="CH42" s="103">
        <v>0.88</v>
      </c>
      <c r="CI42" s="103">
        <v>73000.62844</v>
      </c>
      <c r="CJ42" s="103">
        <v>1.77</v>
      </c>
      <c r="CK42" s="103">
        <f t="shared" si="0"/>
        <v>1.5576000000000001</v>
      </c>
      <c r="CL42" s="103">
        <v>1648.6</v>
      </c>
      <c r="CM42" s="103">
        <v>572458.5</v>
      </c>
      <c r="CN42" s="104">
        <v>2.8798594133897914E-3</v>
      </c>
      <c r="CO42" s="103">
        <v>23278.971089999999</v>
      </c>
      <c r="CP42" s="103">
        <v>1.65</v>
      </c>
      <c r="CQ42" s="103">
        <v>23517.723190000001</v>
      </c>
      <c r="CR42" s="103">
        <v>0</v>
      </c>
      <c r="CS42" s="103">
        <f t="shared" si="1"/>
        <v>0</v>
      </c>
      <c r="CT42" s="103">
        <v>10402.299999999999</v>
      </c>
      <c r="CU42" s="103">
        <v>591907.30000000005</v>
      </c>
      <c r="CV42" s="104">
        <v>1.7574204609404207E-2</v>
      </c>
      <c r="CW42" s="103">
        <v>0</v>
      </c>
      <c r="CX42" s="103">
        <v>0</v>
      </c>
      <c r="CY42" s="103">
        <v>0</v>
      </c>
      <c r="CZ42" s="103">
        <v>0</v>
      </c>
      <c r="DA42" s="103">
        <f t="shared" si="2"/>
        <v>0</v>
      </c>
      <c r="DB42" s="103">
        <v>253.4</v>
      </c>
      <c r="DC42" s="103">
        <v>182480.2</v>
      </c>
      <c r="DD42" s="104">
        <v>1.3886438090269519E-3</v>
      </c>
      <c r="DE42" s="103">
        <v>0</v>
      </c>
      <c r="DF42" s="103">
        <v>0</v>
      </c>
      <c r="DG42" s="103">
        <v>36918.384550000002</v>
      </c>
      <c r="DH42" s="103">
        <v>0</v>
      </c>
      <c r="DI42" s="103">
        <f t="shared" si="3"/>
        <v>0</v>
      </c>
      <c r="DJ42" s="103">
        <v>3747.1</v>
      </c>
      <c r="DK42" s="103">
        <v>338405.5</v>
      </c>
      <c r="DL42" s="104">
        <v>1.1072810577842263E-2</v>
      </c>
    </row>
    <row r="43" spans="1:116" s="15" customFormat="1" ht="208.7" customHeight="1" x14ac:dyDescent="0.25">
      <c r="A43" s="100" t="s">
        <v>128</v>
      </c>
      <c r="B43" s="100" t="s">
        <v>2203</v>
      </c>
      <c r="C43" s="100" t="s">
        <v>87</v>
      </c>
      <c r="D43" s="101" t="str">
        <f>"Chemistry 374"</f>
        <v>Chemistry 374</v>
      </c>
      <c r="E43" s="102" t="s">
        <v>2204</v>
      </c>
      <c r="F43" s="100">
        <v>5</v>
      </c>
      <c r="G43" s="100">
        <v>0</v>
      </c>
      <c r="H43" s="100">
        <v>0</v>
      </c>
      <c r="I43" s="100">
        <v>10</v>
      </c>
      <c r="J43" s="100">
        <v>5</v>
      </c>
      <c r="K43" s="100">
        <v>4</v>
      </c>
      <c r="L43" s="100">
        <v>4</v>
      </c>
      <c r="M43" s="100">
        <v>2</v>
      </c>
      <c r="N43" s="100">
        <v>3</v>
      </c>
      <c r="O43" s="100">
        <v>0</v>
      </c>
      <c r="P43" s="100">
        <v>0.22</v>
      </c>
      <c r="Q43" s="100">
        <v>43.08</v>
      </c>
      <c r="R43" s="100">
        <v>0</v>
      </c>
      <c r="S43" s="100">
        <v>0</v>
      </c>
      <c r="T43" s="100">
        <v>0</v>
      </c>
      <c r="U43" s="100">
        <v>1</v>
      </c>
      <c r="V43" s="100">
        <v>1</v>
      </c>
      <c r="W43" s="100">
        <v>1</v>
      </c>
      <c r="X43" s="100">
        <v>0</v>
      </c>
      <c r="Y43" s="100">
        <v>0</v>
      </c>
      <c r="Z43" s="100">
        <v>0</v>
      </c>
      <c r="AA43" s="100">
        <v>1</v>
      </c>
      <c r="AB43" s="100">
        <v>0</v>
      </c>
      <c r="AC43" s="100">
        <v>1</v>
      </c>
      <c r="AD43" s="100">
        <v>0</v>
      </c>
      <c r="AE43" s="100">
        <v>1</v>
      </c>
      <c r="AF43" s="100">
        <v>0</v>
      </c>
      <c r="AG43" s="100">
        <v>0</v>
      </c>
      <c r="AH43" s="100">
        <v>0</v>
      </c>
      <c r="AI43" s="100">
        <v>1</v>
      </c>
      <c r="AJ43" s="100">
        <v>0</v>
      </c>
      <c r="AK43" s="100">
        <v>0</v>
      </c>
      <c r="AL43" s="100">
        <v>0</v>
      </c>
      <c r="AM43" s="100">
        <v>0</v>
      </c>
      <c r="AN43" s="100">
        <v>1</v>
      </c>
      <c r="AO43" s="100">
        <v>1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1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0">
        <v>1</v>
      </c>
      <c r="BW43" s="100">
        <v>0</v>
      </c>
      <c r="BX43" s="100">
        <v>0</v>
      </c>
      <c r="BY43" s="100">
        <v>0</v>
      </c>
      <c r="BZ43" s="100">
        <v>0</v>
      </c>
      <c r="CA43" s="100">
        <v>0</v>
      </c>
      <c r="CB43" s="100" t="s">
        <v>2090</v>
      </c>
      <c r="CC43" s="100">
        <v>0</v>
      </c>
      <c r="CD43" s="100">
        <v>0</v>
      </c>
      <c r="CE43" s="100">
        <v>0</v>
      </c>
      <c r="CF43" s="100">
        <v>0</v>
      </c>
      <c r="CG43" s="103">
        <v>602221.43686999998</v>
      </c>
      <c r="CH43" s="103">
        <v>66.77</v>
      </c>
      <c r="CI43" s="103">
        <v>3797812.7804800002</v>
      </c>
      <c r="CJ43" s="103">
        <v>37.450000000000003</v>
      </c>
      <c r="CK43" s="103">
        <f t="shared" si="0"/>
        <v>2500.5365000000002</v>
      </c>
      <c r="CL43" s="103">
        <v>823740.4</v>
      </c>
      <c r="CM43" s="103">
        <v>767167.1</v>
      </c>
      <c r="CN43" s="104">
        <v>1.0737431258457253</v>
      </c>
      <c r="CO43" s="103">
        <v>332912.34487999999</v>
      </c>
      <c r="CP43" s="103">
        <v>38.549999999999997</v>
      </c>
      <c r="CQ43" s="103">
        <v>2900098.0032899999</v>
      </c>
      <c r="CR43" s="103">
        <v>20.82</v>
      </c>
      <c r="CS43" s="103">
        <f t="shared" si="1"/>
        <v>802.61099999999999</v>
      </c>
      <c r="CT43" s="103">
        <v>146693</v>
      </c>
      <c r="CU43" s="103">
        <v>189187.1</v>
      </c>
      <c r="CV43" s="104">
        <v>0.77538584818943779</v>
      </c>
      <c r="CW43" s="103">
        <v>1375958.0640199999</v>
      </c>
      <c r="CX43" s="103">
        <v>80.73</v>
      </c>
      <c r="CY43" s="103">
        <v>4525686.9396200003</v>
      </c>
      <c r="CZ43" s="103">
        <v>61.067558219967722</v>
      </c>
      <c r="DA43" s="103">
        <f t="shared" si="2"/>
        <v>4929.9839750979945</v>
      </c>
      <c r="DB43" s="103">
        <v>860294.5</v>
      </c>
      <c r="DC43" s="103">
        <v>512161.3</v>
      </c>
      <c r="DD43" s="104">
        <v>1.6797335136411127</v>
      </c>
      <c r="DE43" s="103">
        <v>222015.40701</v>
      </c>
      <c r="DF43" s="103">
        <v>22.81</v>
      </c>
      <c r="DG43" s="103">
        <v>2893039.88008</v>
      </c>
      <c r="DH43" s="103">
        <v>14.73</v>
      </c>
      <c r="DI43" s="103">
        <f t="shared" si="3"/>
        <v>335.99129999999997</v>
      </c>
      <c r="DJ43" s="103">
        <v>52090.1</v>
      </c>
      <c r="DK43" s="103">
        <v>122720.8</v>
      </c>
      <c r="DL43" s="104">
        <v>0.42446023819922946</v>
      </c>
    </row>
    <row r="44" spans="1:116" s="15" customFormat="1" ht="158.44999999999999" customHeight="1" x14ac:dyDescent="0.25">
      <c r="A44" s="100" t="s">
        <v>129</v>
      </c>
      <c r="B44" s="100" t="s">
        <v>2205</v>
      </c>
      <c r="C44" s="100" t="s">
        <v>87</v>
      </c>
      <c r="D44" s="101" t="str">
        <f>"Chemistry 199"</f>
        <v>Chemistry 199</v>
      </c>
      <c r="E44" s="102" t="s">
        <v>2206</v>
      </c>
      <c r="F44" s="100">
        <v>7</v>
      </c>
      <c r="G44" s="100">
        <v>2</v>
      </c>
      <c r="H44" s="100">
        <v>0.28999999999999998</v>
      </c>
      <c r="I44" s="100">
        <v>10</v>
      </c>
      <c r="J44" s="100">
        <v>3</v>
      </c>
      <c r="K44" s="100">
        <v>2</v>
      </c>
      <c r="L44" s="100">
        <v>1</v>
      </c>
      <c r="M44" s="100">
        <v>1</v>
      </c>
      <c r="N44" s="100">
        <v>2</v>
      </c>
      <c r="O44" s="100">
        <v>1</v>
      </c>
      <c r="P44" s="100">
        <v>0.86</v>
      </c>
      <c r="Q44" s="100">
        <v>33.119999999999997</v>
      </c>
      <c r="R44" s="100">
        <v>1</v>
      </c>
      <c r="S44" s="100">
        <v>0</v>
      </c>
      <c r="T44" s="100">
        <v>1</v>
      </c>
      <c r="U44" s="100">
        <v>0</v>
      </c>
      <c r="V44" s="100">
        <v>0</v>
      </c>
      <c r="W44" s="100">
        <v>0</v>
      </c>
      <c r="X44" s="100">
        <v>1</v>
      </c>
      <c r="Y44" s="100">
        <v>0</v>
      </c>
      <c r="Z44" s="100">
        <v>1</v>
      </c>
      <c r="AA44" s="100">
        <v>0</v>
      </c>
      <c r="AB44" s="100">
        <v>0</v>
      </c>
      <c r="AC44" s="100">
        <v>1</v>
      </c>
      <c r="AD44" s="100">
        <v>0</v>
      </c>
      <c r="AE44" s="100">
        <v>1</v>
      </c>
      <c r="AF44" s="100">
        <v>0</v>
      </c>
      <c r="AG44" s="100">
        <v>0</v>
      </c>
      <c r="AH44" s="100">
        <v>0</v>
      </c>
      <c r="AI44" s="100">
        <v>1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1</v>
      </c>
      <c r="AP44" s="100">
        <v>1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1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1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0">
        <v>0</v>
      </c>
      <c r="BW44" s="100">
        <v>0</v>
      </c>
      <c r="BX44" s="100">
        <v>0</v>
      </c>
      <c r="BY44" s="100">
        <v>0</v>
      </c>
      <c r="BZ44" s="100">
        <v>0</v>
      </c>
      <c r="CA44" s="100">
        <v>0</v>
      </c>
      <c r="CB44" s="100" t="s">
        <v>2090</v>
      </c>
      <c r="CC44" s="100">
        <v>0</v>
      </c>
      <c r="CD44" s="100">
        <v>0</v>
      </c>
      <c r="CE44" s="100">
        <v>0</v>
      </c>
      <c r="CF44" s="100">
        <v>0</v>
      </c>
      <c r="CG44" s="103">
        <v>367895.26701000001</v>
      </c>
      <c r="CH44" s="103">
        <v>43.08</v>
      </c>
      <c r="CI44" s="103">
        <v>3659555.8064999999</v>
      </c>
      <c r="CJ44" s="103">
        <v>35.83</v>
      </c>
      <c r="CK44" s="103">
        <f t="shared" si="0"/>
        <v>1543.5563999999999</v>
      </c>
      <c r="CL44" s="103">
        <v>460753.2</v>
      </c>
      <c r="CM44" s="103">
        <v>905816.7</v>
      </c>
      <c r="CN44" s="104">
        <v>0.50866052701390918</v>
      </c>
      <c r="CO44" s="103">
        <v>0</v>
      </c>
      <c r="CP44" s="103">
        <v>0</v>
      </c>
      <c r="CQ44" s="103">
        <v>24094.40265</v>
      </c>
      <c r="CR44" s="103">
        <v>1.1100000000000001</v>
      </c>
      <c r="CS44" s="103">
        <f t="shared" si="1"/>
        <v>0</v>
      </c>
      <c r="CT44" s="103">
        <v>15109.3</v>
      </c>
      <c r="CU44" s="103">
        <v>641405.30000000005</v>
      </c>
      <c r="CV44" s="104">
        <v>2.3556556205569238E-2</v>
      </c>
      <c r="CW44" s="103">
        <v>53864.094490000003</v>
      </c>
      <c r="CX44" s="103">
        <v>7.15</v>
      </c>
      <c r="CY44" s="103">
        <v>1460067.0327600001</v>
      </c>
      <c r="CZ44" s="103">
        <v>15.360606398394825</v>
      </c>
      <c r="DA44" s="103">
        <f t="shared" si="2"/>
        <v>109.828335748523</v>
      </c>
      <c r="DB44" s="103">
        <v>136826.20000000001</v>
      </c>
      <c r="DC44" s="103">
        <v>703644.3</v>
      </c>
      <c r="DD44" s="104">
        <v>0.19445364653703584</v>
      </c>
      <c r="DE44" s="103">
        <v>0</v>
      </c>
      <c r="DF44" s="103">
        <v>0</v>
      </c>
      <c r="DG44" s="103">
        <v>103512.85367</v>
      </c>
      <c r="DH44" s="103">
        <v>0</v>
      </c>
      <c r="DI44" s="103">
        <f t="shared" si="3"/>
        <v>0</v>
      </c>
      <c r="DJ44" s="103">
        <v>9646</v>
      </c>
      <c r="DK44" s="103">
        <v>804931.1</v>
      </c>
      <c r="DL44" s="104">
        <v>1.1983634375662713E-2</v>
      </c>
    </row>
    <row r="45" spans="1:116" s="15" customFormat="1" ht="203.45" customHeight="1" x14ac:dyDescent="0.25">
      <c r="A45" s="100" t="s">
        <v>130</v>
      </c>
      <c r="B45" s="100" t="s">
        <v>2207</v>
      </c>
      <c r="C45" s="100" t="s">
        <v>87</v>
      </c>
      <c r="D45" s="101" t="str">
        <f>"Chemistry 266"</f>
        <v>Chemistry 266</v>
      </c>
      <c r="E45" s="102" t="s">
        <v>2208</v>
      </c>
      <c r="F45" s="100">
        <v>6</v>
      </c>
      <c r="G45" s="100">
        <v>1</v>
      </c>
      <c r="H45" s="100">
        <v>0.17</v>
      </c>
      <c r="I45" s="100">
        <v>10</v>
      </c>
      <c r="J45" s="100">
        <v>4</v>
      </c>
      <c r="K45" s="100">
        <v>3</v>
      </c>
      <c r="L45" s="100">
        <v>2</v>
      </c>
      <c r="M45" s="100">
        <v>1</v>
      </c>
      <c r="N45" s="100">
        <v>1</v>
      </c>
      <c r="O45" s="100">
        <v>2</v>
      </c>
      <c r="P45" s="100">
        <v>1.06</v>
      </c>
      <c r="Q45" s="100">
        <v>44.89</v>
      </c>
      <c r="R45" s="100">
        <v>1</v>
      </c>
      <c r="S45" s="100">
        <v>0</v>
      </c>
      <c r="T45" s="100">
        <v>1</v>
      </c>
      <c r="U45" s="100">
        <v>0</v>
      </c>
      <c r="V45" s="100">
        <v>0</v>
      </c>
      <c r="W45" s="100">
        <v>1</v>
      </c>
      <c r="X45" s="100">
        <v>0</v>
      </c>
      <c r="Y45" s="100">
        <v>1</v>
      </c>
      <c r="Z45" s="100">
        <v>0</v>
      </c>
      <c r="AA45" s="100">
        <v>0</v>
      </c>
      <c r="AB45" s="100">
        <v>0</v>
      </c>
      <c r="AC45" s="100">
        <v>1</v>
      </c>
      <c r="AD45" s="100">
        <v>0</v>
      </c>
      <c r="AE45" s="100">
        <v>1</v>
      </c>
      <c r="AF45" s="100">
        <v>0</v>
      </c>
      <c r="AG45" s="100">
        <v>0</v>
      </c>
      <c r="AH45" s="100">
        <v>0</v>
      </c>
      <c r="AI45" s="100">
        <v>1</v>
      </c>
      <c r="AJ45" s="100">
        <v>0</v>
      </c>
      <c r="AK45" s="100">
        <v>0</v>
      </c>
      <c r="AL45" s="100">
        <v>0</v>
      </c>
      <c r="AM45" s="100">
        <v>0</v>
      </c>
      <c r="AN45" s="100">
        <v>1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1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1</v>
      </c>
      <c r="BK45" s="100">
        <v>0</v>
      </c>
      <c r="BL45" s="100">
        <v>1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1</v>
      </c>
      <c r="BS45" s="100">
        <v>1</v>
      </c>
      <c r="BT45" s="100">
        <v>0</v>
      </c>
      <c r="BU45" s="100">
        <v>0</v>
      </c>
      <c r="BV45" s="100">
        <v>0</v>
      </c>
      <c r="BW45" s="100">
        <v>0</v>
      </c>
      <c r="BX45" s="100">
        <v>0</v>
      </c>
      <c r="BY45" s="100">
        <v>0</v>
      </c>
      <c r="BZ45" s="100">
        <v>0</v>
      </c>
      <c r="CA45" s="100">
        <v>0</v>
      </c>
      <c r="CB45" s="100" t="s">
        <v>2090</v>
      </c>
      <c r="CC45" s="100">
        <v>0</v>
      </c>
      <c r="CD45" s="100">
        <v>0</v>
      </c>
      <c r="CE45" s="100">
        <v>0</v>
      </c>
      <c r="CF45" s="100">
        <v>0</v>
      </c>
      <c r="CG45" s="103">
        <v>0</v>
      </c>
      <c r="CH45" s="103">
        <v>0</v>
      </c>
      <c r="CI45" s="103">
        <v>25689.501230000002</v>
      </c>
      <c r="CJ45" s="103">
        <v>2.17</v>
      </c>
      <c r="CK45" s="103">
        <f t="shared" si="0"/>
        <v>0</v>
      </c>
      <c r="CL45" s="103">
        <v>4409.3999999999996</v>
      </c>
      <c r="CM45" s="103">
        <v>678007.9</v>
      </c>
      <c r="CN45" s="104">
        <v>6.5034640451829533E-3</v>
      </c>
      <c r="CO45" s="103">
        <v>0</v>
      </c>
      <c r="CP45" s="103">
        <v>0</v>
      </c>
      <c r="CQ45" s="103">
        <v>0</v>
      </c>
      <c r="CR45" s="103">
        <v>0</v>
      </c>
      <c r="CS45" s="103">
        <f t="shared" si="1"/>
        <v>0</v>
      </c>
      <c r="CT45" s="103">
        <v>2097.6999999999998</v>
      </c>
      <c r="CU45" s="103">
        <v>416007.8</v>
      </c>
      <c r="CV45" s="104">
        <v>5.0424535309193715E-3</v>
      </c>
      <c r="CW45" s="103">
        <v>0</v>
      </c>
      <c r="CX45" s="103">
        <v>0</v>
      </c>
      <c r="CY45" s="103">
        <v>1892.61175</v>
      </c>
      <c r="CZ45" s="103">
        <v>1.5264507107900258</v>
      </c>
      <c r="DA45" s="103">
        <f t="shared" si="2"/>
        <v>0</v>
      </c>
      <c r="DB45" s="103">
        <v>2139.4</v>
      </c>
      <c r="DC45" s="103">
        <v>882364.4</v>
      </c>
      <c r="DD45" s="104">
        <v>2.4246218455776323E-3</v>
      </c>
      <c r="DE45" s="103">
        <v>0</v>
      </c>
      <c r="DF45" s="103">
        <v>0</v>
      </c>
      <c r="DG45" s="103">
        <v>0</v>
      </c>
      <c r="DH45" s="103">
        <v>0</v>
      </c>
      <c r="DI45" s="103">
        <f t="shared" si="3"/>
        <v>0</v>
      </c>
      <c r="DJ45" s="103">
        <v>4135.3</v>
      </c>
      <c r="DK45" s="103">
        <v>763326.1</v>
      </c>
      <c r="DL45" s="104">
        <v>5.4174749166837084E-3</v>
      </c>
    </row>
    <row r="46" spans="1:116" s="15" customFormat="1" ht="203.45" customHeight="1" x14ac:dyDescent="0.25">
      <c r="A46" s="100" t="s">
        <v>131</v>
      </c>
      <c r="B46" s="100" t="s">
        <v>2209</v>
      </c>
      <c r="C46" s="100" t="s">
        <v>87</v>
      </c>
      <c r="D46" s="101" t="str">
        <f>"Chemistry 263"</f>
        <v>Chemistry 263</v>
      </c>
      <c r="E46" s="102" t="s">
        <v>2210</v>
      </c>
      <c r="F46" s="100">
        <v>6</v>
      </c>
      <c r="G46" s="100">
        <v>1</v>
      </c>
      <c r="H46" s="100">
        <v>0.17</v>
      </c>
      <c r="I46" s="100">
        <v>10</v>
      </c>
      <c r="J46" s="100">
        <v>4</v>
      </c>
      <c r="K46" s="100">
        <v>3</v>
      </c>
      <c r="L46" s="100">
        <v>1</v>
      </c>
      <c r="M46" s="100">
        <v>1</v>
      </c>
      <c r="N46" s="100">
        <v>2</v>
      </c>
      <c r="O46" s="100">
        <v>1</v>
      </c>
      <c r="P46" s="100">
        <v>2.0699999999999998</v>
      </c>
      <c r="Q46" s="100">
        <v>42.09</v>
      </c>
      <c r="R46" s="100">
        <v>2</v>
      </c>
      <c r="S46" s="100">
        <v>0</v>
      </c>
      <c r="T46" s="100">
        <v>1</v>
      </c>
      <c r="U46" s="100">
        <v>0</v>
      </c>
      <c r="V46" s="100">
        <v>0</v>
      </c>
      <c r="W46" s="100">
        <v>0</v>
      </c>
      <c r="X46" s="100">
        <v>1</v>
      </c>
      <c r="Y46" s="100">
        <v>0</v>
      </c>
      <c r="Z46" s="100">
        <v>1</v>
      </c>
      <c r="AA46" s="100">
        <v>0</v>
      </c>
      <c r="AB46" s="100">
        <v>0</v>
      </c>
      <c r="AC46" s="100">
        <v>1</v>
      </c>
      <c r="AD46" s="100">
        <v>0</v>
      </c>
      <c r="AE46" s="100">
        <v>0</v>
      </c>
      <c r="AF46" s="100">
        <v>1</v>
      </c>
      <c r="AG46" s="100">
        <v>0</v>
      </c>
      <c r="AH46" s="100">
        <v>0</v>
      </c>
      <c r="AI46" s="100">
        <v>1</v>
      </c>
      <c r="AJ46" s="100">
        <v>0</v>
      </c>
      <c r="AK46" s="100">
        <v>0</v>
      </c>
      <c r="AL46" s="100">
        <v>0</v>
      </c>
      <c r="AM46" s="100">
        <v>0</v>
      </c>
      <c r="AN46" s="100">
        <v>1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1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1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1</v>
      </c>
      <c r="BS46" s="100">
        <v>1</v>
      </c>
      <c r="BT46" s="100">
        <v>0</v>
      </c>
      <c r="BU46" s="100">
        <v>0</v>
      </c>
      <c r="BV46" s="100">
        <v>0</v>
      </c>
      <c r="BW46" s="100">
        <v>0</v>
      </c>
      <c r="BX46" s="100">
        <v>0</v>
      </c>
      <c r="BY46" s="100">
        <v>0</v>
      </c>
      <c r="BZ46" s="100">
        <v>0</v>
      </c>
      <c r="CA46" s="100">
        <v>0</v>
      </c>
      <c r="CB46" s="100" t="s">
        <v>2090</v>
      </c>
      <c r="CC46" s="100">
        <v>0</v>
      </c>
      <c r="CD46" s="100">
        <v>0</v>
      </c>
      <c r="CE46" s="100">
        <v>0</v>
      </c>
      <c r="CF46" s="100">
        <v>0</v>
      </c>
      <c r="CG46" s="103">
        <v>48140.116240000003</v>
      </c>
      <c r="CH46" s="103">
        <v>5.72</v>
      </c>
      <c r="CI46" s="103">
        <v>1458827.77067</v>
      </c>
      <c r="CJ46" s="103">
        <v>19.059999999999999</v>
      </c>
      <c r="CK46" s="103">
        <f t="shared" si="0"/>
        <v>109.02319999999999</v>
      </c>
      <c r="CL46" s="103">
        <v>34172.300000000003</v>
      </c>
      <c r="CM46" s="103">
        <v>831995.4</v>
      </c>
      <c r="CN46" s="104">
        <v>4.1072703046194731E-2</v>
      </c>
      <c r="CO46" s="103">
        <v>0</v>
      </c>
      <c r="CP46" s="103">
        <v>0</v>
      </c>
      <c r="CQ46" s="103">
        <v>3459.7265000000002</v>
      </c>
      <c r="CR46" s="103">
        <v>0</v>
      </c>
      <c r="CS46" s="103">
        <f t="shared" si="1"/>
        <v>0</v>
      </c>
      <c r="CT46" s="103">
        <v>3815.6</v>
      </c>
      <c r="CU46" s="103">
        <v>700798.4</v>
      </c>
      <c r="CV46" s="104">
        <v>5.4446471338975653E-3</v>
      </c>
      <c r="CW46" s="103">
        <v>0</v>
      </c>
      <c r="CX46" s="103">
        <v>0</v>
      </c>
      <c r="CY46" s="103">
        <v>1235.6875700000001</v>
      </c>
      <c r="CZ46" s="103">
        <v>0</v>
      </c>
      <c r="DA46" s="103">
        <f t="shared" si="2"/>
        <v>0</v>
      </c>
      <c r="DB46" s="103">
        <v>486.4</v>
      </c>
      <c r="DC46" s="103">
        <v>415621.8</v>
      </c>
      <c r="DD46" s="104">
        <v>1.1702947246751735E-3</v>
      </c>
      <c r="DE46" s="103">
        <v>0</v>
      </c>
      <c r="DF46" s="103">
        <v>0</v>
      </c>
      <c r="DG46" s="103">
        <v>0</v>
      </c>
      <c r="DH46" s="103">
        <v>0</v>
      </c>
      <c r="DI46" s="103">
        <f t="shared" si="3"/>
        <v>0</v>
      </c>
      <c r="DJ46" s="103">
        <v>4391.2</v>
      </c>
      <c r="DK46" s="103">
        <v>738716.6</v>
      </c>
      <c r="DL46" s="104">
        <v>5.9443635082790883E-3</v>
      </c>
    </row>
    <row r="47" spans="1:116" s="15" customFormat="1" ht="184.7" customHeight="1" x14ac:dyDescent="0.25">
      <c r="A47" s="100" t="s">
        <v>132</v>
      </c>
      <c r="B47" s="100" t="s">
        <v>2211</v>
      </c>
      <c r="C47" s="100" t="s">
        <v>87</v>
      </c>
      <c r="D47" s="101" t="str">
        <f>"Chemistry 237"</f>
        <v>Chemistry 237</v>
      </c>
      <c r="E47" s="102" t="s">
        <v>2212</v>
      </c>
      <c r="F47" s="100">
        <v>5</v>
      </c>
      <c r="G47" s="100">
        <v>1</v>
      </c>
      <c r="H47" s="100">
        <v>0.2</v>
      </c>
      <c r="I47" s="100">
        <v>10</v>
      </c>
      <c r="J47" s="100">
        <v>5</v>
      </c>
      <c r="K47" s="100">
        <v>4</v>
      </c>
      <c r="L47" s="100">
        <v>2</v>
      </c>
      <c r="M47" s="100">
        <v>1</v>
      </c>
      <c r="N47" s="100">
        <v>3</v>
      </c>
      <c r="O47" s="100">
        <v>1</v>
      </c>
      <c r="P47" s="100">
        <v>1.1200000000000001</v>
      </c>
      <c r="Q47" s="100">
        <v>54.98</v>
      </c>
      <c r="R47" s="100">
        <v>2</v>
      </c>
      <c r="S47" s="100">
        <v>0</v>
      </c>
      <c r="T47" s="100">
        <v>1</v>
      </c>
      <c r="U47" s="100">
        <v>0</v>
      </c>
      <c r="V47" s="100">
        <v>0</v>
      </c>
      <c r="W47" s="100">
        <v>1</v>
      </c>
      <c r="X47" s="100">
        <v>0</v>
      </c>
      <c r="Y47" s="100">
        <v>0</v>
      </c>
      <c r="Z47" s="100">
        <v>1</v>
      </c>
      <c r="AA47" s="100">
        <v>0</v>
      </c>
      <c r="AB47" s="100">
        <v>0</v>
      </c>
      <c r="AC47" s="100">
        <v>1</v>
      </c>
      <c r="AD47" s="100">
        <v>0</v>
      </c>
      <c r="AE47" s="100">
        <v>1</v>
      </c>
      <c r="AF47" s="100">
        <v>0</v>
      </c>
      <c r="AG47" s="100">
        <v>0</v>
      </c>
      <c r="AH47" s="100">
        <v>0</v>
      </c>
      <c r="AI47" s="100">
        <v>0</v>
      </c>
      <c r="AJ47" s="100">
        <v>1</v>
      </c>
      <c r="AK47" s="100">
        <v>1</v>
      </c>
      <c r="AL47" s="100">
        <v>1</v>
      </c>
      <c r="AM47" s="100">
        <v>0</v>
      </c>
      <c r="AN47" s="100">
        <v>1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1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1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1</v>
      </c>
      <c r="BS47" s="100">
        <v>0</v>
      </c>
      <c r="BT47" s="100">
        <v>1</v>
      </c>
      <c r="BU47" s="100">
        <v>0</v>
      </c>
      <c r="BV47" s="100">
        <v>0</v>
      </c>
      <c r="BW47" s="100">
        <v>0</v>
      </c>
      <c r="BX47" s="100">
        <v>0</v>
      </c>
      <c r="BY47" s="100">
        <v>0</v>
      </c>
      <c r="BZ47" s="100">
        <v>0</v>
      </c>
      <c r="CA47" s="100">
        <v>0</v>
      </c>
      <c r="CB47" s="100" t="s">
        <v>2090</v>
      </c>
      <c r="CC47" s="100">
        <v>0</v>
      </c>
      <c r="CD47" s="100">
        <v>0</v>
      </c>
      <c r="CE47" s="100">
        <v>0</v>
      </c>
      <c r="CF47" s="100">
        <v>0</v>
      </c>
      <c r="CG47" s="103">
        <v>12986.500539999999</v>
      </c>
      <c r="CH47" s="103">
        <v>2.19</v>
      </c>
      <c r="CI47" s="103">
        <v>352590.52327000001</v>
      </c>
      <c r="CJ47" s="103">
        <v>9.76</v>
      </c>
      <c r="CK47" s="103">
        <f t="shared" si="0"/>
        <v>21.374399999999998</v>
      </c>
      <c r="CL47" s="103">
        <v>9027.1</v>
      </c>
      <c r="CM47" s="103">
        <v>545160.80000000005</v>
      </c>
      <c r="CN47" s="104">
        <v>1.6558600691759202E-2</v>
      </c>
      <c r="CO47" s="103">
        <v>0</v>
      </c>
      <c r="CP47" s="103">
        <v>0</v>
      </c>
      <c r="CQ47" s="103">
        <v>1808.7340300000001</v>
      </c>
      <c r="CR47" s="103">
        <v>0</v>
      </c>
      <c r="CS47" s="103">
        <f t="shared" si="1"/>
        <v>0</v>
      </c>
      <c r="CT47" s="103">
        <v>3019.2</v>
      </c>
      <c r="CU47" s="103">
        <v>660332.80000000005</v>
      </c>
      <c r="CV47" s="104">
        <v>4.5722399371953045E-3</v>
      </c>
      <c r="CW47" s="103">
        <v>0</v>
      </c>
      <c r="CX47" s="103">
        <v>0</v>
      </c>
      <c r="CY47" s="103">
        <v>3797.5549099999998</v>
      </c>
      <c r="CZ47" s="103">
        <v>0</v>
      </c>
      <c r="DA47" s="103">
        <f t="shared" si="2"/>
        <v>0</v>
      </c>
      <c r="DB47" s="103">
        <v>23591.4</v>
      </c>
      <c r="DC47" s="103">
        <v>290252.90000000002</v>
      </c>
      <c r="DD47" s="104">
        <v>8.1278774475638318E-2</v>
      </c>
      <c r="DE47" s="103">
        <v>0</v>
      </c>
      <c r="DF47" s="103">
        <v>0</v>
      </c>
      <c r="DG47" s="103">
        <v>868.89617999999996</v>
      </c>
      <c r="DH47" s="103">
        <v>0</v>
      </c>
      <c r="DI47" s="103">
        <f t="shared" si="3"/>
        <v>0</v>
      </c>
      <c r="DJ47" s="103">
        <v>4442.1000000000004</v>
      </c>
      <c r="DK47" s="103">
        <v>579495.69999999995</v>
      </c>
      <c r="DL47" s="104">
        <v>7.6654580870919335E-3</v>
      </c>
    </row>
    <row r="48" spans="1:116" s="15" customFormat="1" ht="175.7" customHeight="1" x14ac:dyDescent="0.25">
      <c r="A48" s="100" t="s">
        <v>133</v>
      </c>
      <c r="B48" s="100" t="s">
        <v>2213</v>
      </c>
      <c r="C48" s="100" t="s">
        <v>87</v>
      </c>
      <c r="D48" s="101" t="str">
        <f>"Chemistry 235"</f>
        <v>Chemistry 235</v>
      </c>
      <c r="E48" s="102" t="s">
        <v>2214</v>
      </c>
      <c r="F48" s="100">
        <v>5</v>
      </c>
      <c r="G48" s="100">
        <v>1</v>
      </c>
      <c r="H48" s="100">
        <v>0.2</v>
      </c>
      <c r="I48" s="100">
        <v>10</v>
      </c>
      <c r="J48" s="100">
        <v>5</v>
      </c>
      <c r="K48" s="100">
        <v>4</v>
      </c>
      <c r="L48" s="100">
        <v>2</v>
      </c>
      <c r="M48" s="100">
        <v>1</v>
      </c>
      <c r="N48" s="100">
        <v>3</v>
      </c>
      <c r="O48" s="100">
        <v>1</v>
      </c>
      <c r="P48" s="100">
        <v>0.19</v>
      </c>
      <c r="Q48" s="100">
        <v>54.98</v>
      </c>
      <c r="R48" s="100">
        <v>2</v>
      </c>
      <c r="S48" s="100">
        <v>0</v>
      </c>
      <c r="T48" s="100">
        <v>1</v>
      </c>
      <c r="U48" s="100">
        <v>0</v>
      </c>
      <c r="V48" s="100">
        <v>0</v>
      </c>
      <c r="W48" s="100">
        <v>1</v>
      </c>
      <c r="X48" s="100">
        <v>0</v>
      </c>
      <c r="Y48" s="100">
        <v>0</v>
      </c>
      <c r="Z48" s="100">
        <v>1</v>
      </c>
      <c r="AA48" s="100">
        <v>0</v>
      </c>
      <c r="AB48" s="100">
        <v>0</v>
      </c>
      <c r="AC48" s="100">
        <v>1</v>
      </c>
      <c r="AD48" s="100">
        <v>0</v>
      </c>
      <c r="AE48" s="100">
        <v>1</v>
      </c>
      <c r="AF48" s="100">
        <v>0</v>
      </c>
      <c r="AG48" s="100">
        <v>0</v>
      </c>
      <c r="AH48" s="100">
        <v>0</v>
      </c>
      <c r="AI48" s="100">
        <v>0</v>
      </c>
      <c r="AJ48" s="100">
        <v>1</v>
      </c>
      <c r="AK48" s="100">
        <v>1</v>
      </c>
      <c r="AL48" s="100">
        <v>1</v>
      </c>
      <c r="AM48" s="100">
        <v>0</v>
      </c>
      <c r="AN48" s="100">
        <v>1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1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1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1</v>
      </c>
      <c r="BS48" s="100">
        <v>0</v>
      </c>
      <c r="BT48" s="100">
        <v>1</v>
      </c>
      <c r="BU48" s="100">
        <v>0</v>
      </c>
      <c r="BV48" s="100">
        <v>0</v>
      </c>
      <c r="BW48" s="100">
        <v>0</v>
      </c>
      <c r="BX48" s="100">
        <v>0</v>
      </c>
      <c r="BY48" s="100">
        <v>0</v>
      </c>
      <c r="BZ48" s="100">
        <v>0</v>
      </c>
      <c r="CA48" s="100">
        <v>0</v>
      </c>
      <c r="CB48" s="100" t="s">
        <v>2090</v>
      </c>
      <c r="CC48" s="100">
        <v>0</v>
      </c>
      <c r="CD48" s="100">
        <v>0</v>
      </c>
      <c r="CE48" s="100">
        <v>0</v>
      </c>
      <c r="CF48" s="100">
        <v>0</v>
      </c>
      <c r="CG48" s="103">
        <v>10024.77873</v>
      </c>
      <c r="CH48" s="103">
        <v>1.2</v>
      </c>
      <c r="CI48" s="103">
        <v>272924.41165999998</v>
      </c>
      <c r="CJ48" s="103">
        <v>3.1</v>
      </c>
      <c r="CK48" s="103">
        <f t="shared" si="0"/>
        <v>3.7199999999999998</v>
      </c>
      <c r="CL48" s="103">
        <v>20935.400000000001</v>
      </c>
      <c r="CM48" s="103">
        <v>922526.4</v>
      </c>
      <c r="CN48" s="104">
        <v>2.2693551100543032E-2</v>
      </c>
      <c r="CO48" s="103">
        <v>0</v>
      </c>
      <c r="CP48" s="103">
        <v>0</v>
      </c>
      <c r="CQ48" s="103">
        <v>2257.7528000000002</v>
      </c>
      <c r="CR48" s="103">
        <v>0</v>
      </c>
      <c r="CS48" s="103">
        <f t="shared" si="1"/>
        <v>0</v>
      </c>
      <c r="CT48" s="103">
        <v>3951.2</v>
      </c>
      <c r="CU48" s="103">
        <v>611292.1</v>
      </c>
      <c r="CV48" s="104">
        <v>6.4636856913413403E-3</v>
      </c>
      <c r="CW48" s="103">
        <v>0</v>
      </c>
      <c r="CX48" s="103">
        <v>0</v>
      </c>
      <c r="CY48" s="103">
        <v>4801.7665999999999</v>
      </c>
      <c r="CZ48" s="103">
        <v>0</v>
      </c>
      <c r="DA48" s="103">
        <f t="shared" si="2"/>
        <v>0</v>
      </c>
      <c r="DB48" s="103">
        <v>1883.7</v>
      </c>
      <c r="DC48" s="103">
        <v>763382.1</v>
      </c>
      <c r="DD48" s="104">
        <v>2.4675716132196448E-3</v>
      </c>
      <c r="DE48" s="103">
        <v>0</v>
      </c>
      <c r="DF48" s="103">
        <v>0</v>
      </c>
      <c r="DG48" s="103">
        <v>1684.7405699999999</v>
      </c>
      <c r="DH48" s="103">
        <v>0</v>
      </c>
      <c r="DI48" s="103">
        <f t="shared" si="3"/>
        <v>0</v>
      </c>
      <c r="DJ48" s="103">
        <v>3792.2</v>
      </c>
      <c r="DK48" s="103">
        <v>836884.2</v>
      </c>
      <c r="DL48" s="104">
        <v>4.5313318138877519E-3</v>
      </c>
    </row>
    <row r="49" spans="1:116" s="15" customFormat="1" ht="176.45" customHeight="1" x14ac:dyDescent="0.25">
      <c r="A49" s="100" t="s">
        <v>134</v>
      </c>
      <c r="B49" s="100" t="s">
        <v>2215</v>
      </c>
      <c r="C49" s="100" t="s">
        <v>87</v>
      </c>
      <c r="D49" s="101" t="str">
        <f>"Chemistry 228"</f>
        <v>Chemistry 228</v>
      </c>
      <c r="E49" s="102" t="s">
        <v>2216</v>
      </c>
      <c r="F49" s="100">
        <v>6</v>
      </c>
      <c r="G49" s="100">
        <v>1</v>
      </c>
      <c r="H49" s="100">
        <v>0.17</v>
      </c>
      <c r="I49" s="100">
        <v>9</v>
      </c>
      <c r="J49" s="100">
        <v>3</v>
      </c>
      <c r="K49" s="100">
        <v>2</v>
      </c>
      <c r="L49" s="100">
        <v>0</v>
      </c>
      <c r="M49" s="100">
        <v>1</v>
      </c>
      <c r="N49" s="100">
        <v>1</v>
      </c>
      <c r="O49" s="100">
        <v>0</v>
      </c>
      <c r="P49" s="100">
        <v>2.27</v>
      </c>
      <c r="Q49" s="100">
        <v>17.07</v>
      </c>
      <c r="R49" s="100">
        <v>1</v>
      </c>
      <c r="S49" s="100">
        <v>0</v>
      </c>
      <c r="T49" s="100">
        <v>1</v>
      </c>
      <c r="U49" s="100">
        <v>0</v>
      </c>
      <c r="V49" s="100">
        <v>0</v>
      </c>
      <c r="W49" s="100">
        <v>0</v>
      </c>
      <c r="X49" s="100">
        <v>1</v>
      </c>
      <c r="Y49" s="100">
        <v>0</v>
      </c>
      <c r="Z49" s="100">
        <v>0</v>
      </c>
      <c r="AA49" s="100">
        <v>1</v>
      </c>
      <c r="AB49" s="100">
        <v>0</v>
      </c>
      <c r="AC49" s="100">
        <v>1</v>
      </c>
      <c r="AD49" s="100">
        <v>0</v>
      </c>
      <c r="AE49" s="100">
        <v>0</v>
      </c>
      <c r="AF49" s="100">
        <v>1</v>
      </c>
      <c r="AG49" s="100">
        <v>0</v>
      </c>
      <c r="AH49" s="100">
        <v>1</v>
      </c>
      <c r="AI49" s="100">
        <v>0</v>
      </c>
      <c r="AJ49" s="100">
        <v>0</v>
      </c>
      <c r="AK49" s="100">
        <v>0</v>
      </c>
      <c r="AL49" s="100">
        <v>0</v>
      </c>
      <c r="AM49" s="100">
        <v>0</v>
      </c>
      <c r="AN49" s="100">
        <v>1</v>
      </c>
      <c r="AO49" s="100">
        <v>0</v>
      </c>
      <c r="AP49" s="100">
        <v>0</v>
      </c>
      <c r="AQ49" s="100">
        <v>0</v>
      </c>
      <c r="AR49" s="100">
        <v>0</v>
      </c>
      <c r="AS49" s="100">
        <v>0</v>
      </c>
      <c r="AT49" s="100">
        <v>0</v>
      </c>
      <c r="AU49" s="100">
        <v>0</v>
      </c>
      <c r="AV49" s="100">
        <v>0</v>
      </c>
      <c r="AW49" s="100">
        <v>0</v>
      </c>
      <c r="AX49" s="100">
        <v>0</v>
      </c>
      <c r="AY49" s="100">
        <v>0</v>
      </c>
      <c r="AZ49" s="100">
        <v>0</v>
      </c>
      <c r="BA49" s="100">
        <v>1</v>
      </c>
      <c r="BB49" s="100">
        <v>0</v>
      </c>
      <c r="BC49" s="100">
        <v>0</v>
      </c>
      <c r="BD49" s="100">
        <v>0</v>
      </c>
      <c r="BE49" s="100">
        <v>0</v>
      </c>
      <c r="BF49" s="100">
        <v>0</v>
      </c>
      <c r="BG49" s="100">
        <v>0</v>
      </c>
      <c r="BH49" s="100">
        <v>0</v>
      </c>
      <c r="BI49" s="100">
        <v>0</v>
      </c>
      <c r="BJ49" s="100">
        <v>1</v>
      </c>
      <c r="BK49" s="100">
        <v>0</v>
      </c>
      <c r="BL49" s="100">
        <v>0</v>
      </c>
      <c r="BM49" s="100">
        <v>0</v>
      </c>
      <c r="BN49" s="100">
        <v>0</v>
      </c>
      <c r="BO49" s="100">
        <v>0</v>
      </c>
      <c r="BP49" s="100">
        <v>0</v>
      </c>
      <c r="BQ49" s="100">
        <v>0</v>
      </c>
      <c r="BR49" s="100">
        <v>0</v>
      </c>
      <c r="BS49" s="100">
        <v>0</v>
      </c>
      <c r="BT49" s="100">
        <v>0</v>
      </c>
      <c r="BU49" s="100">
        <v>0</v>
      </c>
      <c r="BV49" s="100">
        <v>1</v>
      </c>
      <c r="BW49" s="100">
        <v>0</v>
      </c>
      <c r="BX49" s="100">
        <v>0</v>
      </c>
      <c r="BY49" s="100">
        <v>0</v>
      </c>
      <c r="BZ49" s="100">
        <v>0</v>
      </c>
      <c r="CA49" s="100">
        <v>0</v>
      </c>
      <c r="CB49" s="100" t="s">
        <v>2090</v>
      </c>
      <c r="CC49" s="100">
        <v>0</v>
      </c>
      <c r="CD49" s="100">
        <v>0</v>
      </c>
      <c r="CE49" s="100">
        <v>0</v>
      </c>
      <c r="CF49" s="100">
        <v>0</v>
      </c>
      <c r="CG49" s="103">
        <v>244085.90513</v>
      </c>
      <c r="CH49" s="103">
        <v>23.57</v>
      </c>
      <c r="CI49" s="103">
        <v>2258817.13105</v>
      </c>
      <c r="CJ49" s="103">
        <v>29.84</v>
      </c>
      <c r="CK49" s="103">
        <f t="shared" si="0"/>
        <v>703.3288</v>
      </c>
      <c r="CL49" s="103">
        <v>149425</v>
      </c>
      <c r="CM49" s="103">
        <v>380598.5</v>
      </c>
      <c r="CN49" s="104">
        <v>0.3926053308144935</v>
      </c>
      <c r="CO49" s="103">
        <v>43957.62702</v>
      </c>
      <c r="CP49" s="103">
        <v>3.13</v>
      </c>
      <c r="CQ49" s="103">
        <v>794958.47673999995</v>
      </c>
      <c r="CR49" s="103">
        <v>10.47</v>
      </c>
      <c r="CS49" s="103">
        <f t="shared" si="1"/>
        <v>32.771100000000004</v>
      </c>
      <c r="CT49" s="103">
        <v>42072.2</v>
      </c>
      <c r="CU49" s="103">
        <v>634838.1</v>
      </c>
      <c r="CV49" s="104">
        <v>6.6272329905845279E-2</v>
      </c>
      <c r="CW49" s="103">
        <v>6400.7100300000002</v>
      </c>
      <c r="CX49" s="103">
        <v>0.97</v>
      </c>
      <c r="CY49" s="103">
        <v>152357.13897</v>
      </c>
      <c r="CZ49" s="103">
        <v>3.4074255007327801</v>
      </c>
      <c r="DA49" s="103">
        <f t="shared" si="2"/>
        <v>3.3052027357107967</v>
      </c>
      <c r="DB49" s="103">
        <v>13945.1</v>
      </c>
      <c r="DC49" s="103">
        <v>536890.19999999995</v>
      </c>
      <c r="DD49" s="104">
        <v>2.5973839716202683E-2</v>
      </c>
      <c r="DE49" s="103">
        <v>19481.24411</v>
      </c>
      <c r="DF49" s="103">
        <v>1.56</v>
      </c>
      <c r="DG49" s="103">
        <v>200405.57720999999</v>
      </c>
      <c r="DH49" s="103">
        <v>2.08</v>
      </c>
      <c r="DI49" s="103">
        <f t="shared" si="3"/>
        <v>3.2448000000000001</v>
      </c>
      <c r="DJ49" s="103">
        <v>22271.8</v>
      </c>
      <c r="DK49" s="103">
        <v>722280</v>
      </c>
      <c r="DL49" s="104">
        <v>3.0835410090269702E-2</v>
      </c>
    </row>
    <row r="50" spans="1:116" s="15" customFormat="1" ht="151.69999999999999" customHeight="1" x14ac:dyDescent="0.25">
      <c r="A50" s="100" t="s">
        <v>135</v>
      </c>
      <c r="B50" s="100" t="s">
        <v>2217</v>
      </c>
      <c r="C50" s="100" t="s">
        <v>87</v>
      </c>
      <c r="D50" s="101" t="str">
        <f>"Chemistry 211"</f>
        <v>Chemistry 211</v>
      </c>
      <c r="E50" s="102" t="s">
        <v>2218</v>
      </c>
      <c r="F50" s="100">
        <v>4</v>
      </c>
      <c r="G50" s="100">
        <v>1</v>
      </c>
      <c r="H50" s="100">
        <v>0.25</v>
      </c>
      <c r="I50" s="100">
        <v>10</v>
      </c>
      <c r="J50" s="100">
        <v>6</v>
      </c>
      <c r="K50" s="100">
        <v>5</v>
      </c>
      <c r="L50" s="100">
        <v>3</v>
      </c>
      <c r="M50" s="100">
        <v>1</v>
      </c>
      <c r="N50" s="100">
        <v>4</v>
      </c>
      <c r="O50" s="100">
        <v>1</v>
      </c>
      <c r="P50" s="100">
        <v>0.21</v>
      </c>
      <c r="Q50" s="100">
        <v>67.87</v>
      </c>
      <c r="R50" s="100">
        <v>2</v>
      </c>
      <c r="S50" s="100">
        <v>0</v>
      </c>
      <c r="T50" s="100">
        <v>1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1</v>
      </c>
      <c r="AA50" s="100">
        <v>0</v>
      </c>
      <c r="AB50" s="100">
        <v>1</v>
      </c>
      <c r="AC50" s="100">
        <v>0</v>
      </c>
      <c r="AD50" s="100">
        <v>0</v>
      </c>
      <c r="AE50" s="100">
        <v>1</v>
      </c>
      <c r="AF50" s="100">
        <v>0</v>
      </c>
      <c r="AG50" s="100">
        <v>0</v>
      </c>
      <c r="AH50" s="100">
        <v>0</v>
      </c>
      <c r="AI50" s="100">
        <v>0</v>
      </c>
      <c r="AJ50" s="100">
        <v>1</v>
      </c>
      <c r="AK50" s="100">
        <v>1</v>
      </c>
      <c r="AL50" s="100">
        <v>1</v>
      </c>
      <c r="AM50" s="100">
        <v>0</v>
      </c>
      <c r="AN50" s="100">
        <v>1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1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1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1</v>
      </c>
      <c r="BS50" s="100">
        <v>0</v>
      </c>
      <c r="BT50" s="100">
        <v>1</v>
      </c>
      <c r="BU50" s="100">
        <v>0</v>
      </c>
      <c r="BV50" s="100">
        <v>0</v>
      </c>
      <c r="BW50" s="100">
        <v>0</v>
      </c>
      <c r="BX50" s="100">
        <v>0</v>
      </c>
      <c r="BY50" s="100">
        <v>0</v>
      </c>
      <c r="BZ50" s="100">
        <v>0</v>
      </c>
      <c r="CA50" s="100">
        <v>0</v>
      </c>
      <c r="CB50" s="100" t="s">
        <v>2090</v>
      </c>
      <c r="CC50" s="100">
        <v>0</v>
      </c>
      <c r="CD50" s="100">
        <v>0</v>
      </c>
      <c r="CE50" s="100">
        <v>0</v>
      </c>
      <c r="CF50" s="100">
        <v>0</v>
      </c>
      <c r="CG50" s="103">
        <v>0</v>
      </c>
      <c r="CH50" s="103">
        <v>0</v>
      </c>
      <c r="CI50" s="103">
        <v>78947.622919999994</v>
      </c>
      <c r="CJ50" s="103">
        <v>0</v>
      </c>
      <c r="CK50" s="103">
        <f t="shared" si="0"/>
        <v>0</v>
      </c>
      <c r="CL50" s="103">
        <v>2462.3000000000002</v>
      </c>
      <c r="CM50" s="103">
        <v>567077.4</v>
      </c>
      <c r="CN50" s="104">
        <v>4.3420880465347414E-3</v>
      </c>
      <c r="CO50" s="103">
        <v>0</v>
      </c>
      <c r="CP50" s="103">
        <v>0</v>
      </c>
      <c r="CQ50" s="103">
        <v>0</v>
      </c>
      <c r="CR50" s="103">
        <v>0</v>
      </c>
      <c r="CS50" s="103">
        <f t="shared" si="1"/>
        <v>0</v>
      </c>
      <c r="CT50" s="103">
        <v>1635.4</v>
      </c>
      <c r="CU50" s="103">
        <v>467114.3</v>
      </c>
      <c r="CV50" s="104">
        <v>3.5010702947865227E-3</v>
      </c>
      <c r="CW50" s="103">
        <v>0</v>
      </c>
      <c r="CX50" s="103">
        <v>0</v>
      </c>
      <c r="CY50" s="103">
        <v>1765.56395</v>
      </c>
      <c r="CZ50" s="103">
        <v>0</v>
      </c>
      <c r="DA50" s="103">
        <f t="shared" si="2"/>
        <v>0</v>
      </c>
      <c r="DB50" s="103">
        <v>3860</v>
      </c>
      <c r="DC50" s="103">
        <v>687509.7</v>
      </c>
      <c r="DD50" s="104">
        <v>5.6144662395308754E-3</v>
      </c>
      <c r="DE50" s="103">
        <v>0</v>
      </c>
      <c r="DF50" s="103">
        <v>0</v>
      </c>
      <c r="DG50" s="103">
        <v>561.77053000000001</v>
      </c>
      <c r="DH50" s="103">
        <v>0</v>
      </c>
      <c r="DI50" s="103">
        <f t="shared" si="3"/>
        <v>0</v>
      </c>
      <c r="DJ50" s="103">
        <v>1779.6</v>
      </c>
      <c r="DK50" s="103">
        <v>519764.9</v>
      </c>
      <c r="DL50" s="104">
        <v>3.4238556701308609E-3</v>
      </c>
    </row>
    <row r="51" spans="1:116" s="15" customFormat="1" ht="157.69999999999999" customHeight="1" x14ac:dyDescent="0.25">
      <c r="A51" s="100" t="s">
        <v>136</v>
      </c>
      <c r="B51" s="100" t="s">
        <v>2219</v>
      </c>
      <c r="C51" s="100" t="s">
        <v>87</v>
      </c>
      <c r="D51" s="101" t="str">
        <f>"Chemistry 365"</f>
        <v>Chemistry 365</v>
      </c>
      <c r="E51" s="102" t="s">
        <v>2220</v>
      </c>
      <c r="F51" s="100">
        <v>9</v>
      </c>
      <c r="G51" s="100">
        <v>0</v>
      </c>
      <c r="H51" s="100">
        <v>0</v>
      </c>
      <c r="I51" s="100">
        <v>11</v>
      </c>
      <c r="J51" s="100">
        <v>2</v>
      </c>
      <c r="K51" s="100">
        <v>1</v>
      </c>
      <c r="L51" s="100">
        <v>1</v>
      </c>
      <c r="M51" s="100">
        <v>2</v>
      </c>
      <c r="N51" s="100">
        <v>1</v>
      </c>
      <c r="O51" s="100">
        <v>0</v>
      </c>
      <c r="P51" s="100">
        <v>2.77</v>
      </c>
      <c r="Q51" s="100">
        <v>12.89</v>
      </c>
      <c r="R51" s="100">
        <v>0</v>
      </c>
      <c r="S51" s="100">
        <v>0</v>
      </c>
      <c r="T51" s="100">
        <v>1</v>
      </c>
      <c r="U51" s="100">
        <v>0</v>
      </c>
      <c r="V51" s="100">
        <v>0</v>
      </c>
      <c r="W51" s="100">
        <v>0</v>
      </c>
      <c r="X51" s="100">
        <v>1</v>
      </c>
      <c r="Y51" s="100">
        <v>0</v>
      </c>
      <c r="Z51" s="100">
        <v>0</v>
      </c>
      <c r="AA51" s="100">
        <v>1</v>
      </c>
      <c r="AB51" s="100">
        <v>0</v>
      </c>
      <c r="AC51" s="100">
        <v>1</v>
      </c>
      <c r="AD51" s="100">
        <v>0</v>
      </c>
      <c r="AE51" s="100">
        <v>0</v>
      </c>
      <c r="AF51" s="100">
        <v>1</v>
      </c>
      <c r="AG51" s="100">
        <v>0</v>
      </c>
      <c r="AH51" s="100">
        <v>1</v>
      </c>
      <c r="AI51" s="100">
        <v>0</v>
      </c>
      <c r="AJ51" s="100">
        <v>0</v>
      </c>
      <c r="AK51" s="100">
        <v>1</v>
      </c>
      <c r="AL51" s="100">
        <v>0</v>
      </c>
      <c r="AM51" s="100">
        <v>0</v>
      </c>
      <c r="AN51" s="100">
        <v>0</v>
      </c>
      <c r="AO51" s="100">
        <v>1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1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0">
        <v>0</v>
      </c>
      <c r="BW51" s="100">
        <v>0</v>
      </c>
      <c r="BX51" s="100">
        <v>0</v>
      </c>
      <c r="BY51" s="100">
        <v>0</v>
      </c>
      <c r="BZ51" s="100">
        <v>0</v>
      </c>
      <c r="CA51" s="100">
        <v>0</v>
      </c>
      <c r="CB51" s="100" t="s">
        <v>2090</v>
      </c>
      <c r="CC51" s="100">
        <v>0</v>
      </c>
      <c r="CD51" s="100">
        <v>0</v>
      </c>
      <c r="CE51" s="100">
        <v>0</v>
      </c>
      <c r="CF51" s="100">
        <v>0</v>
      </c>
      <c r="CG51" s="103">
        <v>383029.56887999998</v>
      </c>
      <c r="CH51" s="103">
        <v>22.16</v>
      </c>
      <c r="CI51" s="103">
        <v>4726264.1100300001</v>
      </c>
      <c r="CJ51" s="103">
        <v>51.79</v>
      </c>
      <c r="CK51" s="103">
        <f t="shared" si="0"/>
        <v>1147.6664000000001</v>
      </c>
      <c r="CL51" s="103">
        <v>567358.1</v>
      </c>
      <c r="CM51" s="103">
        <v>394991.8</v>
      </c>
      <c r="CN51" s="104">
        <v>1.4363794387630324</v>
      </c>
      <c r="CO51" s="103">
        <v>193314.05984</v>
      </c>
      <c r="CP51" s="103">
        <v>8.5299999999999994</v>
      </c>
      <c r="CQ51" s="103">
        <v>3701613.90166</v>
      </c>
      <c r="CR51" s="103">
        <v>31.42</v>
      </c>
      <c r="CS51" s="103">
        <f t="shared" si="1"/>
        <v>268.01260000000002</v>
      </c>
      <c r="CT51" s="103">
        <v>567926.1</v>
      </c>
      <c r="CU51" s="103">
        <v>506395.1</v>
      </c>
      <c r="CV51" s="104">
        <v>1.1215078897880331</v>
      </c>
      <c r="CW51" s="103">
        <v>6544.95507</v>
      </c>
      <c r="CX51" s="103">
        <v>3.74</v>
      </c>
      <c r="CY51" s="103">
        <v>800405.50008999999</v>
      </c>
      <c r="CZ51" s="103">
        <v>24.70401691331924</v>
      </c>
      <c r="DA51" s="103">
        <f t="shared" si="2"/>
        <v>92.393023255813958</v>
      </c>
      <c r="DB51" s="103">
        <v>124547.3</v>
      </c>
      <c r="DC51" s="103">
        <v>711789.7</v>
      </c>
      <c r="DD51" s="104">
        <v>0.17497766545371479</v>
      </c>
      <c r="DE51" s="103">
        <v>165790.96760999999</v>
      </c>
      <c r="DF51" s="103">
        <v>8.02</v>
      </c>
      <c r="DG51" s="103">
        <v>3786032.8179899999</v>
      </c>
      <c r="DH51" s="103">
        <v>24.75</v>
      </c>
      <c r="DI51" s="103">
        <f t="shared" si="3"/>
        <v>198.49499999999998</v>
      </c>
      <c r="DJ51" s="103">
        <v>305854</v>
      </c>
      <c r="DK51" s="103">
        <v>345720.4</v>
      </c>
      <c r="DL51" s="104">
        <v>0.88468600637972183</v>
      </c>
    </row>
    <row r="52" spans="1:116" s="15" customFormat="1" ht="157.69999999999999" customHeight="1" x14ac:dyDescent="0.25">
      <c r="A52" s="100" t="s">
        <v>137</v>
      </c>
      <c r="B52" s="100" t="s">
        <v>2221</v>
      </c>
      <c r="C52" s="100" t="s">
        <v>87</v>
      </c>
      <c r="D52" s="101" t="str">
        <f>"Chemistry 243"</f>
        <v>Chemistry 243</v>
      </c>
      <c r="E52" s="102" t="s">
        <v>2222</v>
      </c>
      <c r="F52" s="100">
        <v>9</v>
      </c>
      <c r="G52" s="100">
        <v>0</v>
      </c>
      <c r="H52" s="100">
        <v>0</v>
      </c>
      <c r="I52" s="100">
        <v>11</v>
      </c>
      <c r="J52" s="100">
        <v>2</v>
      </c>
      <c r="K52" s="100">
        <v>1</v>
      </c>
      <c r="L52" s="100">
        <v>1</v>
      </c>
      <c r="M52" s="100">
        <v>2</v>
      </c>
      <c r="N52" s="100">
        <v>1</v>
      </c>
      <c r="O52" s="100">
        <v>0</v>
      </c>
      <c r="P52" s="100">
        <v>2.77</v>
      </c>
      <c r="Q52" s="100">
        <v>12.89</v>
      </c>
      <c r="R52" s="100">
        <v>0</v>
      </c>
      <c r="S52" s="100">
        <v>0</v>
      </c>
      <c r="T52" s="100">
        <v>1</v>
      </c>
      <c r="U52" s="100">
        <v>0</v>
      </c>
      <c r="V52" s="100">
        <v>0</v>
      </c>
      <c r="W52" s="100">
        <v>0</v>
      </c>
      <c r="X52" s="100">
        <v>1</v>
      </c>
      <c r="Y52" s="100">
        <v>0</v>
      </c>
      <c r="Z52" s="100">
        <v>0</v>
      </c>
      <c r="AA52" s="100">
        <v>1</v>
      </c>
      <c r="AB52" s="100">
        <v>0</v>
      </c>
      <c r="AC52" s="100">
        <v>1</v>
      </c>
      <c r="AD52" s="100">
        <v>0</v>
      </c>
      <c r="AE52" s="100">
        <v>0</v>
      </c>
      <c r="AF52" s="100">
        <v>1</v>
      </c>
      <c r="AG52" s="100">
        <v>0</v>
      </c>
      <c r="AH52" s="100">
        <v>1</v>
      </c>
      <c r="AI52" s="100">
        <v>0</v>
      </c>
      <c r="AJ52" s="100">
        <v>0</v>
      </c>
      <c r="AK52" s="100">
        <v>1</v>
      </c>
      <c r="AL52" s="100">
        <v>0</v>
      </c>
      <c r="AM52" s="100">
        <v>0</v>
      </c>
      <c r="AN52" s="100">
        <v>0</v>
      </c>
      <c r="AO52" s="100">
        <v>1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1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0">
        <v>0</v>
      </c>
      <c r="BY52" s="100">
        <v>0</v>
      </c>
      <c r="BZ52" s="100">
        <v>0</v>
      </c>
      <c r="CA52" s="100">
        <v>0</v>
      </c>
      <c r="CB52" s="100" t="s">
        <v>2090</v>
      </c>
      <c r="CC52" s="100">
        <v>0</v>
      </c>
      <c r="CD52" s="100">
        <v>0</v>
      </c>
      <c r="CE52" s="100">
        <v>0</v>
      </c>
      <c r="CF52" s="100">
        <v>0</v>
      </c>
      <c r="CG52" s="103">
        <v>3014.5150100000001</v>
      </c>
      <c r="CH52" s="103">
        <v>0.83</v>
      </c>
      <c r="CI52" s="103">
        <v>27938.022229999999</v>
      </c>
      <c r="CJ52" s="103">
        <v>2.63</v>
      </c>
      <c r="CK52" s="103">
        <f t="shared" si="0"/>
        <v>2.1828999999999996</v>
      </c>
      <c r="CL52" s="103">
        <v>15280.2</v>
      </c>
      <c r="CM52" s="103">
        <v>589610</v>
      </c>
      <c r="CN52" s="104">
        <v>2.5915774834212448E-2</v>
      </c>
      <c r="CO52" s="103">
        <v>0</v>
      </c>
      <c r="CP52" s="103">
        <v>0</v>
      </c>
      <c r="CQ52" s="103">
        <v>93251.067389999997</v>
      </c>
      <c r="CR52" s="103">
        <v>1.45</v>
      </c>
      <c r="CS52" s="103">
        <f t="shared" si="1"/>
        <v>0</v>
      </c>
      <c r="CT52" s="103">
        <v>1746.2</v>
      </c>
      <c r="CU52" s="103">
        <v>444.6</v>
      </c>
      <c r="CV52" s="104">
        <v>3.9275753486279803</v>
      </c>
      <c r="CW52" s="103">
        <v>537511.82051999995</v>
      </c>
      <c r="CX52" s="103">
        <v>30.56</v>
      </c>
      <c r="CY52" s="103">
        <v>5003288.5841699997</v>
      </c>
      <c r="CZ52" s="103">
        <v>34.511278195488728</v>
      </c>
      <c r="DA52" s="103">
        <f t="shared" si="2"/>
        <v>1054.6646616541354</v>
      </c>
      <c r="DB52" s="103">
        <v>479731.20000000001</v>
      </c>
      <c r="DC52" s="103">
        <v>345212.1</v>
      </c>
      <c r="DD52" s="104">
        <v>1.3896708719074449</v>
      </c>
      <c r="DE52" s="103">
        <v>4386.9372300000005</v>
      </c>
      <c r="DF52" s="103">
        <v>0.56000000000000005</v>
      </c>
      <c r="DG52" s="103">
        <v>42396.99007</v>
      </c>
      <c r="DH52" s="103">
        <v>0.59</v>
      </c>
      <c r="DI52" s="103">
        <f t="shared" si="3"/>
        <v>0.33040000000000003</v>
      </c>
      <c r="DJ52" s="103">
        <v>81392.5</v>
      </c>
      <c r="DK52" s="103">
        <v>651025.19999999995</v>
      </c>
      <c r="DL52" s="104">
        <v>0.1250220421575079</v>
      </c>
    </row>
    <row r="53" spans="1:116" s="15" customFormat="1" ht="119.45" customHeight="1" x14ac:dyDescent="0.25">
      <c r="A53" s="100" t="s">
        <v>138</v>
      </c>
      <c r="B53" s="100" t="s">
        <v>2223</v>
      </c>
      <c r="C53" s="100" t="s">
        <v>87</v>
      </c>
      <c r="D53" s="101" t="str">
        <f>"Chemistry 343"</f>
        <v>Chemistry 343</v>
      </c>
      <c r="E53" s="102" t="s">
        <v>2224</v>
      </c>
      <c r="F53" s="100">
        <v>9</v>
      </c>
      <c r="G53" s="100">
        <v>0</v>
      </c>
      <c r="H53" s="100">
        <v>0</v>
      </c>
      <c r="I53" s="100">
        <v>11</v>
      </c>
      <c r="J53" s="100">
        <v>2</v>
      </c>
      <c r="K53" s="100">
        <v>1</v>
      </c>
      <c r="L53" s="100">
        <v>1</v>
      </c>
      <c r="M53" s="100">
        <v>2</v>
      </c>
      <c r="N53" s="100">
        <v>1</v>
      </c>
      <c r="O53" s="100">
        <v>0</v>
      </c>
      <c r="P53" s="100">
        <v>2.77</v>
      </c>
      <c r="Q53" s="100">
        <v>12.89</v>
      </c>
      <c r="R53" s="100">
        <v>0</v>
      </c>
      <c r="S53" s="100">
        <v>0</v>
      </c>
      <c r="T53" s="100">
        <v>1</v>
      </c>
      <c r="U53" s="100">
        <v>0</v>
      </c>
      <c r="V53" s="100">
        <v>0</v>
      </c>
      <c r="W53" s="100">
        <v>0</v>
      </c>
      <c r="X53" s="100">
        <v>1</v>
      </c>
      <c r="Y53" s="100">
        <v>0</v>
      </c>
      <c r="Z53" s="100">
        <v>0</v>
      </c>
      <c r="AA53" s="100">
        <v>1</v>
      </c>
      <c r="AB53" s="100">
        <v>0</v>
      </c>
      <c r="AC53" s="100">
        <v>1</v>
      </c>
      <c r="AD53" s="100">
        <v>0</v>
      </c>
      <c r="AE53" s="100">
        <v>0</v>
      </c>
      <c r="AF53" s="100">
        <v>1</v>
      </c>
      <c r="AG53" s="100">
        <v>0</v>
      </c>
      <c r="AH53" s="100">
        <v>1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1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1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0">
        <v>0</v>
      </c>
      <c r="BW53" s="100">
        <v>0</v>
      </c>
      <c r="BX53" s="100">
        <v>0</v>
      </c>
      <c r="BY53" s="100">
        <v>0</v>
      </c>
      <c r="BZ53" s="100">
        <v>0</v>
      </c>
      <c r="CA53" s="100">
        <v>0</v>
      </c>
      <c r="CB53" s="100" t="s">
        <v>2090</v>
      </c>
      <c r="CC53" s="100">
        <v>0</v>
      </c>
      <c r="CD53" s="100">
        <v>0</v>
      </c>
      <c r="CE53" s="100">
        <v>0</v>
      </c>
      <c r="CF53" s="100">
        <v>0</v>
      </c>
      <c r="CG53" s="103">
        <v>469998.39993999997</v>
      </c>
      <c r="CH53" s="103">
        <v>24</v>
      </c>
      <c r="CI53" s="103">
        <v>4241705.5669600004</v>
      </c>
      <c r="CJ53" s="103">
        <v>38.22</v>
      </c>
      <c r="CK53" s="103">
        <f t="shared" si="0"/>
        <v>917.28</v>
      </c>
      <c r="CL53" s="103">
        <v>643782.30000000005</v>
      </c>
      <c r="CM53" s="103">
        <v>777514.7</v>
      </c>
      <c r="CN53" s="104">
        <v>0.82800016514157238</v>
      </c>
      <c r="CO53" s="103">
        <v>0</v>
      </c>
      <c r="CP53" s="103">
        <v>0</v>
      </c>
      <c r="CQ53" s="103">
        <v>513340.80667000002</v>
      </c>
      <c r="CR53" s="103">
        <v>3.09</v>
      </c>
      <c r="CS53" s="103">
        <f t="shared" si="1"/>
        <v>0</v>
      </c>
      <c r="CT53" s="103">
        <v>5896.6</v>
      </c>
      <c r="CU53" s="103">
        <v>116809.5</v>
      </c>
      <c r="CV53" s="104">
        <v>5.0480483179878355E-2</v>
      </c>
      <c r="CW53" s="103">
        <v>261143.58934999999</v>
      </c>
      <c r="CX53" s="103">
        <v>14.94</v>
      </c>
      <c r="CY53" s="103">
        <v>3299731.3601500001</v>
      </c>
      <c r="CZ53" s="103">
        <v>23.821932681867537</v>
      </c>
      <c r="DA53" s="103">
        <f t="shared" si="2"/>
        <v>355.89967426710098</v>
      </c>
      <c r="DB53" s="103">
        <v>19435.2</v>
      </c>
      <c r="DC53" s="103">
        <v>36353.1</v>
      </c>
      <c r="DD53" s="104">
        <v>0.53462290698729964</v>
      </c>
      <c r="DE53" s="103">
        <v>0</v>
      </c>
      <c r="DF53" s="103">
        <v>0</v>
      </c>
      <c r="DG53" s="103">
        <v>80204.210800000001</v>
      </c>
      <c r="DH53" s="103">
        <v>0</v>
      </c>
      <c r="DI53" s="103">
        <f t="shared" si="3"/>
        <v>0</v>
      </c>
      <c r="DJ53" s="103">
        <v>1040</v>
      </c>
      <c r="DK53" s="103">
        <v>42837.9</v>
      </c>
      <c r="DL53" s="104">
        <v>2.4277567294381842E-2</v>
      </c>
    </row>
    <row r="54" spans="1:116" s="15" customFormat="1" ht="123.2" customHeight="1" x14ac:dyDescent="0.25">
      <c r="A54" s="100" t="s">
        <v>139</v>
      </c>
      <c r="B54" s="100" t="s">
        <v>2225</v>
      </c>
      <c r="C54" s="100" t="s">
        <v>87</v>
      </c>
      <c r="D54" s="101" t="str">
        <f>"Chemistry 349"</f>
        <v>Chemistry 349</v>
      </c>
      <c r="E54" s="102" t="s">
        <v>2226</v>
      </c>
      <c r="F54" s="100">
        <v>9</v>
      </c>
      <c r="G54" s="100">
        <v>0</v>
      </c>
      <c r="H54" s="100">
        <v>0</v>
      </c>
      <c r="I54" s="100">
        <v>11</v>
      </c>
      <c r="J54" s="100">
        <v>2</v>
      </c>
      <c r="K54" s="100">
        <v>1</v>
      </c>
      <c r="L54" s="100">
        <v>1</v>
      </c>
      <c r="M54" s="100">
        <v>2</v>
      </c>
      <c r="N54" s="100">
        <v>1</v>
      </c>
      <c r="O54" s="100">
        <v>0</v>
      </c>
      <c r="P54" s="100">
        <v>2.98</v>
      </c>
      <c r="Q54" s="100">
        <v>12.89</v>
      </c>
      <c r="R54" s="100">
        <v>0</v>
      </c>
      <c r="S54" s="100">
        <v>0</v>
      </c>
      <c r="T54" s="100">
        <v>1</v>
      </c>
      <c r="U54" s="100">
        <v>0</v>
      </c>
      <c r="V54" s="100">
        <v>0</v>
      </c>
      <c r="W54" s="100">
        <v>0</v>
      </c>
      <c r="X54" s="100">
        <v>1</v>
      </c>
      <c r="Y54" s="100">
        <v>0</v>
      </c>
      <c r="Z54" s="100">
        <v>0</v>
      </c>
      <c r="AA54" s="100">
        <v>1</v>
      </c>
      <c r="AB54" s="100">
        <v>0</v>
      </c>
      <c r="AC54" s="100">
        <v>1</v>
      </c>
      <c r="AD54" s="100">
        <v>0</v>
      </c>
      <c r="AE54" s="100">
        <v>0</v>
      </c>
      <c r="AF54" s="100">
        <v>1</v>
      </c>
      <c r="AG54" s="100">
        <v>0</v>
      </c>
      <c r="AH54" s="100">
        <v>1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1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1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0">
        <v>0</v>
      </c>
      <c r="BY54" s="100">
        <v>0</v>
      </c>
      <c r="BZ54" s="100">
        <v>0</v>
      </c>
      <c r="CA54" s="100">
        <v>0</v>
      </c>
      <c r="CB54" s="100" t="s">
        <v>2090</v>
      </c>
      <c r="CC54" s="100">
        <v>0</v>
      </c>
      <c r="CD54" s="100">
        <v>0</v>
      </c>
      <c r="CE54" s="100">
        <v>0</v>
      </c>
      <c r="CF54" s="100">
        <v>0</v>
      </c>
      <c r="CG54" s="103">
        <v>1154536.77171</v>
      </c>
      <c r="CH54" s="103">
        <v>56.76</v>
      </c>
      <c r="CI54" s="103">
        <v>6282331.5124899996</v>
      </c>
      <c r="CJ54" s="103">
        <v>47.71</v>
      </c>
      <c r="CK54" s="103">
        <f t="shared" si="0"/>
        <v>2708.0196000000001</v>
      </c>
      <c r="CL54" s="103">
        <v>720831.5</v>
      </c>
      <c r="CM54" s="103">
        <v>371987.5</v>
      </c>
      <c r="CN54" s="104">
        <v>1.9377841997378944</v>
      </c>
      <c r="CO54" s="103">
        <v>285531.23343000002</v>
      </c>
      <c r="CP54" s="103">
        <v>8.26</v>
      </c>
      <c r="CQ54" s="103">
        <v>3682817.7095900001</v>
      </c>
      <c r="CR54" s="103">
        <v>17.55</v>
      </c>
      <c r="CS54" s="103">
        <f t="shared" si="1"/>
        <v>144.96299999999999</v>
      </c>
      <c r="CT54" s="103">
        <v>115591.4</v>
      </c>
      <c r="CU54" s="103">
        <v>62956.1</v>
      </c>
      <c r="CV54" s="104">
        <v>1.8360635426908591</v>
      </c>
      <c r="CW54" s="103">
        <v>997927.12701000005</v>
      </c>
      <c r="CX54" s="103">
        <v>50.81</v>
      </c>
      <c r="CY54" s="103">
        <v>5297601.2188299997</v>
      </c>
      <c r="CZ54" s="103">
        <v>43.04628632938644</v>
      </c>
      <c r="DA54" s="103">
        <f t="shared" si="2"/>
        <v>2187.1818083961252</v>
      </c>
      <c r="DB54" s="103">
        <v>395071.2</v>
      </c>
      <c r="DC54" s="103">
        <v>168083.1</v>
      </c>
      <c r="DD54" s="104">
        <v>2.3504516515937652</v>
      </c>
      <c r="DE54" s="103">
        <v>174536.16769</v>
      </c>
      <c r="DF54" s="103">
        <v>5.92</v>
      </c>
      <c r="DG54" s="103">
        <v>3355100.8464799998</v>
      </c>
      <c r="DH54" s="103">
        <v>12.38</v>
      </c>
      <c r="DI54" s="103">
        <f t="shared" si="3"/>
        <v>73.289600000000007</v>
      </c>
      <c r="DJ54" s="103">
        <v>124508.2</v>
      </c>
      <c r="DK54" s="103">
        <v>168818.4</v>
      </c>
      <c r="DL54" s="104">
        <v>0.73752742592039733</v>
      </c>
    </row>
    <row r="55" spans="1:116" s="15" customFormat="1" ht="183.2" customHeight="1" x14ac:dyDescent="0.25">
      <c r="A55" s="100" t="s">
        <v>140</v>
      </c>
      <c r="B55" s="100" t="s">
        <v>2227</v>
      </c>
      <c r="C55" s="100" t="s">
        <v>87</v>
      </c>
      <c r="D55" s="101" t="str">
        <f>"Chemistry 367"</f>
        <v>Chemistry 367</v>
      </c>
      <c r="E55" s="102" t="s">
        <v>2228</v>
      </c>
      <c r="F55" s="100">
        <v>9</v>
      </c>
      <c r="G55" s="100">
        <v>0</v>
      </c>
      <c r="H55" s="100">
        <v>0</v>
      </c>
      <c r="I55" s="100">
        <v>11</v>
      </c>
      <c r="J55" s="100">
        <v>2</v>
      </c>
      <c r="K55" s="100">
        <v>1</v>
      </c>
      <c r="L55" s="100">
        <v>1</v>
      </c>
      <c r="M55" s="100">
        <v>2</v>
      </c>
      <c r="N55" s="100">
        <v>1</v>
      </c>
      <c r="O55" s="100">
        <v>0</v>
      </c>
      <c r="P55" s="100">
        <v>2.98</v>
      </c>
      <c r="Q55" s="100">
        <v>12.89</v>
      </c>
      <c r="R55" s="100">
        <v>0</v>
      </c>
      <c r="S55" s="100">
        <v>0</v>
      </c>
      <c r="T55" s="100">
        <v>1</v>
      </c>
      <c r="U55" s="100">
        <v>0</v>
      </c>
      <c r="V55" s="100">
        <v>0</v>
      </c>
      <c r="W55" s="100">
        <v>0</v>
      </c>
      <c r="X55" s="100">
        <v>1</v>
      </c>
      <c r="Y55" s="100">
        <v>0</v>
      </c>
      <c r="Z55" s="100">
        <v>0</v>
      </c>
      <c r="AA55" s="100">
        <v>1</v>
      </c>
      <c r="AB55" s="100">
        <v>0</v>
      </c>
      <c r="AC55" s="100">
        <v>1</v>
      </c>
      <c r="AD55" s="100">
        <v>0</v>
      </c>
      <c r="AE55" s="100">
        <v>0</v>
      </c>
      <c r="AF55" s="100">
        <v>1</v>
      </c>
      <c r="AG55" s="100">
        <v>0</v>
      </c>
      <c r="AH55" s="100">
        <v>1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1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1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0">
        <v>0</v>
      </c>
      <c r="BY55" s="100">
        <v>0</v>
      </c>
      <c r="BZ55" s="100">
        <v>0</v>
      </c>
      <c r="CA55" s="100">
        <v>0</v>
      </c>
      <c r="CB55" s="100" t="s">
        <v>2090</v>
      </c>
      <c r="CC55" s="100">
        <v>0</v>
      </c>
      <c r="CD55" s="100">
        <v>0</v>
      </c>
      <c r="CE55" s="100">
        <v>0</v>
      </c>
      <c r="CF55" s="100">
        <v>0</v>
      </c>
      <c r="CG55" s="103">
        <v>24853.554789999998</v>
      </c>
      <c r="CH55" s="103">
        <v>5.52</v>
      </c>
      <c r="CI55" s="103">
        <v>1190887.6296699999</v>
      </c>
      <c r="CJ55" s="103">
        <v>15.59</v>
      </c>
      <c r="CK55" s="103">
        <f t="shared" si="0"/>
        <v>86.056799999999996</v>
      </c>
      <c r="CL55" s="103">
        <v>255013.9</v>
      </c>
      <c r="CM55" s="103">
        <v>396309.6</v>
      </c>
      <c r="CN55" s="104">
        <v>0.64347141729597268</v>
      </c>
      <c r="CO55" s="103">
        <v>240013.57451999999</v>
      </c>
      <c r="CP55" s="103">
        <v>20.12</v>
      </c>
      <c r="CQ55" s="103">
        <v>3533155.8682499998</v>
      </c>
      <c r="CR55" s="103">
        <v>31.18</v>
      </c>
      <c r="CS55" s="103">
        <f t="shared" si="1"/>
        <v>627.34159999999997</v>
      </c>
      <c r="CT55" s="103">
        <v>944202.7</v>
      </c>
      <c r="CU55" s="103">
        <v>598479.69999999995</v>
      </c>
      <c r="CV55" s="104">
        <v>1.5776687162488552</v>
      </c>
      <c r="CW55" s="103">
        <v>1989196.44151</v>
      </c>
      <c r="CX55" s="103">
        <v>77.180000000000007</v>
      </c>
      <c r="CY55" s="103">
        <v>7175601.3036099998</v>
      </c>
      <c r="CZ55" s="103">
        <v>61.916703009158304</v>
      </c>
      <c r="DA55" s="103">
        <f t="shared" si="2"/>
        <v>4778.7311382468388</v>
      </c>
      <c r="DB55" s="103">
        <v>941445.5</v>
      </c>
      <c r="DC55" s="103">
        <v>52672.6</v>
      </c>
      <c r="DD55" s="104">
        <v>17.873533867703511</v>
      </c>
      <c r="DE55" s="103">
        <v>261380.16399</v>
      </c>
      <c r="DF55" s="103">
        <v>18.260000000000002</v>
      </c>
      <c r="DG55" s="103">
        <v>3953492.5910700001</v>
      </c>
      <c r="DH55" s="103">
        <v>23.94</v>
      </c>
      <c r="DI55" s="103">
        <f t="shared" si="3"/>
        <v>437.14440000000008</v>
      </c>
      <c r="DJ55" s="103">
        <v>644780.5</v>
      </c>
      <c r="DK55" s="103">
        <v>439599.9</v>
      </c>
      <c r="DL55" s="104">
        <v>1.4667439642274713</v>
      </c>
    </row>
    <row r="56" spans="1:116" s="15" customFormat="1" ht="128.44999999999999" customHeight="1" x14ac:dyDescent="0.25">
      <c r="A56" s="100" t="s">
        <v>141</v>
      </c>
      <c r="B56" s="100" t="s">
        <v>2229</v>
      </c>
      <c r="C56" s="100" t="s">
        <v>87</v>
      </c>
      <c r="D56" s="101" t="str">
        <f>"Chemistry 357"</f>
        <v>Chemistry 357</v>
      </c>
      <c r="E56" s="102" t="s">
        <v>2230</v>
      </c>
      <c r="F56" s="100">
        <v>9</v>
      </c>
      <c r="G56" s="100">
        <v>0</v>
      </c>
      <c r="H56" s="100">
        <v>0</v>
      </c>
      <c r="I56" s="100">
        <v>11</v>
      </c>
      <c r="J56" s="100">
        <v>2</v>
      </c>
      <c r="K56" s="100">
        <v>1</v>
      </c>
      <c r="L56" s="100">
        <v>1</v>
      </c>
      <c r="M56" s="100">
        <v>2</v>
      </c>
      <c r="N56" s="100">
        <v>1</v>
      </c>
      <c r="O56" s="100">
        <v>0</v>
      </c>
      <c r="P56" s="100">
        <v>2.98</v>
      </c>
      <c r="Q56" s="100">
        <v>12.89</v>
      </c>
      <c r="R56" s="100">
        <v>0</v>
      </c>
      <c r="S56" s="100">
        <v>0</v>
      </c>
      <c r="T56" s="100">
        <v>1</v>
      </c>
      <c r="U56" s="100">
        <v>0</v>
      </c>
      <c r="V56" s="100">
        <v>0</v>
      </c>
      <c r="W56" s="100">
        <v>0</v>
      </c>
      <c r="X56" s="100">
        <v>1</v>
      </c>
      <c r="Y56" s="100">
        <v>0</v>
      </c>
      <c r="Z56" s="100">
        <v>0</v>
      </c>
      <c r="AA56" s="100">
        <v>1</v>
      </c>
      <c r="AB56" s="100">
        <v>0</v>
      </c>
      <c r="AC56" s="100">
        <v>1</v>
      </c>
      <c r="AD56" s="100">
        <v>0</v>
      </c>
      <c r="AE56" s="100">
        <v>0</v>
      </c>
      <c r="AF56" s="100">
        <v>1</v>
      </c>
      <c r="AG56" s="100">
        <v>0</v>
      </c>
      <c r="AH56" s="100">
        <v>1</v>
      </c>
      <c r="AI56" s="100">
        <v>0</v>
      </c>
      <c r="AJ56" s="100">
        <v>0</v>
      </c>
      <c r="AK56" s="100">
        <v>0</v>
      </c>
      <c r="AL56" s="100">
        <v>0</v>
      </c>
      <c r="AM56" s="100">
        <v>0</v>
      </c>
      <c r="AN56" s="100">
        <v>0</v>
      </c>
      <c r="AO56" s="100">
        <v>1</v>
      </c>
      <c r="AP56" s="100">
        <v>0</v>
      </c>
      <c r="AQ56" s="100">
        <v>0</v>
      </c>
      <c r="AR56" s="100">
        <v>0</v>
      </c>
      <c r="AS56" s="100">
        <v>0</v>
      </c>
      <c r="AT56" s="100">
        <v>0</v>
      </c>
      <c r="AU56" s="100">
        <v>0</v>
      </c>
      <c r="AV56" s="100">
        <v>0</v>
      </c>
      <c r="AW56" s="100">
        <v>0</v>
      </c>
      <c r="AX56" s="100">
        <v>0</v>
      </c>
      <c r="AY56" s="100">
        <v>0</v>
      </c>
      <c r="AZ56" s="100">
        <v>0</v>
      </c>
      <c r="BA56" s="100">
        <v>0</v>
      </c>
      <c r="BB56" s="100">
        <v>0</v>
      </c>
      <c r="BC56" s="100">
        <v>0</v>
      </c>
      <c r="BD56" s="100">
        <v>0</v>
      </c>
      <c r="BE56" s="100">
        <v>0</v>
      </c>
      <c r="BF56" s="100">
        <v>0</v>
      </c>
      <c r="BG56" s="100">
        <v>0</v>
      </c>
      <c r="BH56" s="100">
        <v>0</v>
      </c>
      <c r="BI56" s="100">
        <v>0</v>
      </c>
      <c r="BJ56" s="100">
        <v>0</v>
      </c>
      <c r="BK56" s="100">
        <v>0</v>
      </c>
      <c r="BL56" s="100">
        <v>0</v>
      </c>
      <c r="BM56" s="100">
        <v>0</v>
      </c>
      <c r="BN56" s="100">
        <v>0</v>
      </c>
      <c r="BO56" s="100">
        <v>0</v>
      </c>
      <c r="BP56" s="100">
        <v>1</v>
      </c>
      <c r="BQ56" s="100">
        <v>0</v>
      </c>
      <c r="BR56" s="100">
        <v>0</v>
      </c>
      <c r="BS56" s="100">
        <v>0</v>
      </c>
      <c r="BT56" s="100">
        <v>0</v>
      </c>
      <c r="BU56" s="100">
        <v>0</v>
      </c>
      <c r="BV56" s="100">
        <v>0</v>
      </c>
      <c r="BW56" s="100">
        <v>0</v>
      </c>
      <c r="BX56" s="100">
        <v>0</v>
      </c>
      <c r="BY56" s="100">
        <v>0</v>
      </c>
      <c r="BZ56" s="100">
        <v>0</v>
      </c>
      <c r="CA56" s="100">
        <v>0</v>
      </c>
      <c r="CB56" s="100" t="s">
        <v>2090</v>
      </c>
      <c r="CC56" s="100">
        <v>0</v>
      </c>
      <c r="CD56" s="100">
        <v>0</v>
      </c>
      <c r="CE56" s="100">
        <v>0</v>
      </c>
      <c r="CF56" s="100">
        <v>0</v>
      </c>
      <c r="CG56" s="103">
        <v>314303.11121</v>
      </c>
      <c r="CH56" s="103">
        <v>47.77</v>
      </c>
      <c r="CI56" s="103">
        <v>3547138.4262399999</v>
      </c>
      <c r="CJ56" s="103">
        <v>46.85</v>
      </c>
      <c r="CK56" s="103">
        <f t="shared" si="0"/>
        <v>2238.0245</v>
      </c>
      <c r="CL56" s="103">
        <v>631011.9</v>
      </c>
      <c r="CM56" s="103">
        <v>804008.9</v>
      </c>
      <c r="CN56" s="104">
        <v>0.7848319838250547</v>
      </c>
      <c r="CO56" s="103">
        <v>361884.72577999998</v>
      </c>
      <c r="CP56" s="103">
        <v>39.85</v>
      </c>
      <c r="CQ56" s="103">
        <v>3837883.8632</v>
      </c>
      <c r="CR56" s="103">
        <v>35.04</v>
      </c>
      <c r="CS56" s="103">
        <f t="shared" si="1"/>
        <v>1396.3440000000001</v>
      </c>
      <c r="CT56" s="103">
        <v>204672.2</v>
      </c>
      <c r="CU56" s="103">
        <v>302207.8</v>
      </c>
      <c r="CV56" s="104">
        <v>0.67725651025552625</v>
      </c>
      <c r="CW56" s="103">
        <v>1077612.36818</v>
      </c>
      <c r="CX56" s="103">
        <v>54.93</v>
      </c>
      <c r="CY56" s="103">
        <v>4662573.1592600001</v>
      </c>
      <c r="CZ56" s="103">
        <v>49.961935834692767</v>
      </c>
      <c r="DA56" s="103">
        <f t="shared" si="2"/>
        <v>2744.4091353996737</v>
      </c>
      <c r="DB56" s="103">
        <v>479101.5</v>
      </c>
      <c r="DC56" s="103">
        <v>381702.9</v>
      </c>
      <c r="DD56" s="104">
        <v>1.2551686141237071</v>
      </c>
      <c r="DE56" s="103">
        <v>466953.94368000003</v>
      </c>
      <c r="DF56" s="103">
        <v>35.67</v>
      </c>
      <c r="DG56" s="103">
        <v>4368389.7259900002</v>
      </c>
      <c r="DH56" s="103">
        <v>27.7</v>
      </c>
      <c r="DI56" s="103">
        <f t="shared" si="3"/>
        <v>988.05899999999997</v>
      </c>
      <c r="DJ56" s="103">
        <v>99526.3</v>
      </c>
      <c r="DK56" s="103">
        <v>177150.7</v>
      </c>
      <c r="DL56" s="104">
        <v>0.56181714212814282</v>
      </c>
    </row>
    <row r="57" spans="1:116" s="15" customFormat="1" ht="221.45" customHeight="1" x14ac:dyDescent="0.25">
      <c r="A57" s="100" t="s">
        <v>142</v>
      </c>
      <c r="B57" s="100" t="s">
        <v>2231</v>
      </c>
      <c r="C57" s="100" t="s">
        <v>87</v>
      </c>
      <c r="D57" s="101" t="str">
        <f>"Chemistry 318"</f>
        <v>Chemistry 318</v>
      </c>
      <c r="E57" s="102" t="s">
        <v>2232</v>
      </c>
      <c r="F57" s="100">
        <v>8</v>
      </c>
      <c r="G57" s="100">
        <v>0</v>
      </c>
      <c r="H57" s="100">
        <v>0</v>
      </c>
      <c r="I57" s="100">
        <v>11</v>
      </c>
      <c r="J57" s="100">
        <v>3</v>
      </c>
      <c r="K57" s="100">
        <v>2</v>
      </c>
      <c r="L57" s="100">
        <v>2</v>
      </c>
      <c r="M57" s="100">
        <v>2</v>
      </c>
      <c r="N57" s="100">
        <v>2</v>
      </c>
      <c r="O57" s="100">
        <v>0</v>
      </c>
      <c r="P57" s="100">
        <v>1.84</v>
      </c>
      <c r="Q57" s="100">
        <v>25.78</v>
      </c>
      <c r="R57" s="100">
        <v>0</v>
      </c>
      <c r="S57" s="100">
        <v>0</v>
      </c>
      <c r="T57" s="100">
        <v>1</v>
      </c>
      <c r="U57" s="100">
        <v>0</v>
      </c>
      <c r="V57" s="100">
        <v>0</v>
      </c>
      <c r="W57" s="100">
        <v>1</v>
      </c>
      <c r="X57" s="100">
        <v>0</v>
      </c>
      <c r="Y57" s="100">
        <v>0</v>
      </c>
      <c r="Z57" s="100">
        <v>0</v>
      </c>
      <c r="AA57" s="100">
        <v>1</v>
      </c>
      <c r="AB57" s="100">
        <v>0</v>
      </c>
      <c r="AC57" s="100">
        <v>1</v>
      </c>
      <c r="AD57" s="100">
        <v>0</v>
      </c>
      <c r="AE57" s="100">
        <v>1</v>
      </c>
      <c r="AF57" s="100">
        <v>0</v>
      </c>
      <c r="AG57" s="100">
        <v>0</v>
      </c>
      <c r="AH57" s="100">
        <v>1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1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1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0">
        <v>0</v>
      </c>
      <c r="BY57" s="100">
        <v>0</v>
      </c>
      <c r="BZ57" s="100">
        <v>0</v>
      </c>
      <c r="CA57" s="100">
        <v>0</v>
      </c>
      <c r="CB57" s="100" t="s">
        <v>2090</v>
      </c>
      <c r="CC57" s="100">
        <v>0</v>
      </c>
      <c r="CD57" s="100">
        <v>0</v>
      </c>
      <c r="CE57" s="100">
        <v>0</v>
      </c>
      <c r="CF57" s="100">
        <v>0</v>
      </c>
      <c r="CG57" s="103">
        <v>539151.54116000002</v>
      </c>
      <c r="CH57" s="103">
        <v>29.08</v>
      </c>
      <c r="CI57" s="103">
        <v>3879440.0790200001</v>
      </c>
      <c r="CJ57" s="103">
        <v>34.86</v>
      </c>
      <c r="CK57" s="103">
        <f t="shared" si="0"/>
        <v>1013.7288</v>
      </c>
      <c r="CL57" s="103">
        <v>977764.2</v>
      </c>
      <c r="CM57" s="103">
        <v>843049.6</v>
      </c>
      <c r="CN57" s="104">
        <v>1.1597943940664939</v>
      </c>
      <c r="CO57" s="103">
        <v>13125.23733</v>
      </c>
      <c r="CP57" s="103">
        <v>0.56999999999999995</v>
      </c>
      <c r="CQ57" s="103">
        <v>233000.65453</v>
      </c>
      <c r="CR57" s="103">
        <v>2.63</v>
      </c>
      <c r="CS57" s="103">
        <f t="shared" si="1"/>
        <v>1.4990999999999999</v>
      </c>
      <c r="CT57" s="103">
        <v>43923.5</v>
      </c>
      <c r="CU57" s="103">
        <v>426431.1</v>
      </c>
      <c r="CV57" s="104">
        <v>0.10300257181054571</v>
      </c>
      <c r="CW57" s="103">
        <v>937696.20911000005</v>
      </c>
      <c r="CX57" s="103">
        <v>49.31</v>
      </c>
      <c r="CY57" s="103">
        <v>4263374.5512499996</v>
      </c>
      <c r="CZ57" s="103">
        <v>45.383395029085136</v>
      </c>
      <c r="DA57" s="103">
        <f t="shared" si="2"/>
        <v>2237.855208884188</v>
      </c>
      <c r="DB57" s="103">
        <v>691124.8</v>
      </c>
      <c r="DC57" s="103">
        <v>364189.4</v>
      </c>
      <c r="DD57" s="104">
        <v>1.8977070721992457</v>
      </c>
      <c r="DE57" s="103">
        <v>133397.72214</v>
      </c>
      <c r="DF57" s="103">
        <v>5.62</v>
      </c>
      <c r="DG57" s="103">
        <v>2320443.90594</v>
      </c>
      <c r="DH57" s="103">
        <v>11.5</v>
      </c>
      <c r="DI57" s="103">
        <f t="shared" si="3"/>
        <v>64.63</v>
      </c>
      <c r="DJ57" s="103">
        <v>203469</v>
      </c>
      <c r="DK57" s="103">
        <v>456675.2</v>
      </c>
      <c r="DL57" s="104">
        <v>0.44554422924651915</v>
      </c>
    </row>
    <row r="58" spans="1:116" s="15" customFormat="1" ht="221.45" customHeight="1" x14ac:dyDescent="0.25">
      <c r="A58" s="100" t="s">
        <v>143</v>
      </c>
      <c r="B58" s="100" t="s">
        <v>2233</v>
      </c>
      <c r="C58" s="100" t="s">
        <v>87</v>
      </c>
      <c r="D58" s="101" t="str">
        <f>"Chemistry 344"</f>
        <v>Chemistry 344</v>
      </c>
      <c r="E58" s="102" t="s">
        <v>2234</v>
      </c>
      <c r="F58" s="100">
        <v>9</v>
      </c>
      <c r="G58" s="100">
        <v>4</v>
      </c>
      <c r="H58" s="100">
        <v>0.44</v>
      </c>
      <c r="I58" s="100">
        <v>11</v>
      </c>
      <c r="J58" s="100">
        <v>2</v>
      </c>
      <c r="K58" s="100">
        <v>1</v>
      </c>
      <c r="L58" s="100">
        <v>1</v>
      </c>
      <c r="M58" s="100">
        <v>1</v>
      </c>
      <c r="N58" s="100">
        <v>1</v>
      </c>
      <c r="O58" s="100">
        <v>0</v>
      </c>
      <c r="P58" s="100">
        <v>3.16</v>
      </c>
      <c r="Q58" s="100">
        <v>12.89</v>
      </c>
      <c r="R58" s="100">
        <v>0</v>
      </c>
      <c r="S58" s="100">
        <v>0</v>
      </c>
      <c r="T58" s="100">
        <v>1</v>
      </c>
      <c r="U58" s="100">
        <v>0</v>
      </c>
      <c r="V58" s="100">
        <v>0</v>
      </c>
      <c r="W58" s="100">
        <v>0</v>
      </c>
      <c r="X58" s="100">
        <v>1</v>
      </c>
      <c r="Y58" s="100">
        <v>0</v>
      </c>
      <c r="Z58" s="100">
        <v>0</v>
      </c>
      <c r="AA58" s="100">
        <v>1</v>
      </c>
      <c r="AB58" s="100">
        <v>0</v>
      </c>
      <c r="AC58" s="100">
        <v>1</v>
      </c>
      <c r="AD58" s="100">
        <v>0</v>
      </c>
      <c r="AE58" s="100">
        <v>0</v>
      </c>
      <c r="AF58" s="100">
        <v>0</v>
      </c>
      <c r="AG58" s="100">
        <v>1</v>
      </c>
      <c r="AH58" s="100">
        <v>1</v>
      </c>
      <c r="AI58" s="100">
        <v>0</v>
      </c>
      <c r="AJ58" s="100">
        <v>0</v>
      </c>
      <c r="AK58" s="100">
        <v>0</v>
      </c>
      <c r="AL58" s="100">
        <v>0</v>
      </c>
      <c r="AM58" s="100">
        <v>0</v>
      </c>
      <c r="AN58" s="100">
        <v>0</v>
      </c>
      <c r="AO58" s="100">
        <v>1</v>
      </c>
      <c r="AP58" s="100">
        <v>0</v>
      </c>
      <c r="AQ58" s="100">
        <v>0</v>
      </c>
      <c r="AR58" s="100">
        <v>0</v>
      </c>
      <c r="AS58" s="100">
        <v>0</v>
      </c>
      <c r="AT58" s="100">
        <v>0</v>
      </c>
      <c r="AU58" s="100">
        <v>0</v>
      </c>
      <c r="AV58" s="100">
        <v>0</v>
      </c>
      <c r="AW58" s="100">
        <v>0</v>
      </c>
      <c r="AX58" s="100">
        <v>0</v>
      </c>
      <c r="AY58" s="100">
        <v>0</v>
      </c>
      <c r="AZ58" s="100">
        <v>0</v>
      </c>
      <c r="BA58" s="100">
        <v>0</v>
      </c>
      <c r="BB58" s="100">
        <v>0</v>
      </c>
      <c r="BC58" s="100">
        <v>0</v>
      </c>
      <c r="BD58" s="100">
        <v>0</v>
      </c>
      <c r="BE58" s="100">
        <v>0</v>
      </c>
      <c r="BF58" s="100">
        <v>0</v>
      </c>
      <c r="BG58" s="100">
        <v>0</v>
      </c>
      <c r="BH58" s="100">
        <v>0</v>
      </c>
      <c r="BI58" s="100">
        <v>0</v>
      </c>
      <c r="BJ58" s="100">
        <v>0</v>
      </c>
      <c r="BK58" s="100">
        <v>0</v>
      </c>
      <c r="BL58" s="100">
        <v>0</v>
      </c>
      <c r="BM58" s="100">
        <v>0</v>
      </c>
      <c r="BN58" s="100">
        <v>0</v>
      </c>
      <c r="BO58" s="100">
        <v>0</v>
      </c>
      <c r="BP58" s="100">
        <v>1</v>
      </c>
      <c r="BQ58" s="100">
        <v>0</v>
      </c>
      <c r="BR58" s="100">
        <v>0</v>
      </c>
      <c r="BS58" s="100">
        <v>0</v>
      </c>
      <c r="BT58" s="100">
        <v>0</v>
      </c>
      <c r="BU58" s="100">
        <v>0</v>
      </c>
      <c r="BV58" s="100">
        <v>0</v>
      </c>
      <c r="BW58" s="100">
        <v>0</v>
      </c>
      <c r="BX58" s="100">
        <v>0</v>
      </c>
      <c r="BY58" s="100">
        <v>0</v>
      </c>
      <c r="BZ58" s="100">
        <v>0</v>
      </c>
      <c r="CA58" s="100">
        <v>0</v>
      </c>
      <c r="CB58" s="100" t="s">
        <v>2090</v>
      </c>
      <c r="CC58" s="100">
        <v>0</v>
      </c>
      <c r="CD58" s="100">
        <v>0</v>
      </c>
      <c r="CE58" s="100">
        <v>0</v>
      </c>
      <c r="CF58" s="100">
        <v>0</v>
      </c>
      <c r="CG58" s="103">
        <v>457518.21375</v>
      </c>
      <c r="CH58" s="103">
        <v>54.87</v>
      </c>
      <c r="CI58" s="103">
        <v>4893741.8387500001</v>
      </c>
      <c r="CJ58" s="103">
        <v>48.89</v>
      </c>
      <c r="CK58" s="103">
        <f t="shared" si="0"/>
        <v>2682.5942999999997</v>
      </c>
      <c r="CL58" s="103">
        <v>932847.9</v>
      </c>
      <c r="CM58" s="103">
        <v>781080.7</v>
      </c>
      <c r="CN58" s="104">
        <v>1.1943041224805582</v>
      </c>
      <c r="CO58" s="103">
        <v>40184.66951</v>
      </c>
      <c r="CP58" s="103">
        <v>4.3499999999999996</v>
      </c>
      <c r="CQ58" s="103">
        <v>1766511.78651</v>
      </c>
      <c r="CR58" s="103">
        <v>19.88</v>
      </c>
      <c r="CS58" s="103">
        <f t="shared" si="1"/>
        <v>86.477999999999994</v>
      </c>
      <c r="CT58" s="103">
        <v>595651.30000000005</v>
      </c>
      <c r="CU58" s="103">
        <v>996255.8</v>
      </c>
      <c r="CV58" s="104">
        <v>0.59788991943635361</v>
      </c>
      <c r="CW58" s="103">
        <v>563422.77786999999</v>
      </c>
      <c r="CX58" s="103">
        <v>59.56</v>
      </c>
      <c r="CY58" s="103">
        <v>5057877.6914799996</v>
      </c>
      <c r="CZ58" s="103">
        <v>43.768996960486319</v>
      </c>
      <c r="DA58" s="103">
        <f t="shared" si="2"/>
        <v>2606.8814589665653</v>
      </c>
      <c r="DB58" s="103">
        <v>541784.9</v>
      </c>
      <c r="DC58" s="103">
        <v>195279.8</v>
      </c>
      <c r="DD58" s="104">
        <v>2.7744031896796293</v>
      </c>
      <c r="DE58" s="103">
        <v>28114.331679999999</v>
      </c>
      <c r="DF58" s="103">
        <v>3.03</v>
      </c>
      <c r="DG58" s="103">
        <v>1817311.5284299999</v>
      </c>
      <c r="DH58" s="103">
        <v>14.63</v>
      </c>
      <c r="DI58" s="103">
        <f t="shared" si="3"/>
        <v>44.328899999999997</v>
      </c>
      <c r="DJ58" s="103">
        <v>288522.2</v>
      </c>
      <c r="DK58" s="103">
        <v>1026706.1</v>
      </c>
      <c r="DL58" s="104">
        <v>0.28101732326320067</v>
      </c>
    </row>
    <row r="59" spans="1:116" s="15" customFormat="1" ht="187.7" customHeight="1" x14ac:dyDescent="0.25">
      <c r="A59" s="100" t="s">
        <v>144</v>
      </c>
      <c r="B59" s="100" t="s">
        <v>2235</v>
      </c>
      <c r="C59" s="100" t="s">
        <v>87</v>
      </c>
      <c r="D59" s="101" t="str">
        <f>"Chemistry 242"</f>
        <v>Chemistry 242</v>
      </c>
      <c r="E59" s="102" t="s">
        <v>2236</v>
      </c>
      <c r="F59" s="100">
        <v>4</v>
      </c>
      <c r="G59" s="100">
        <v>1</v>
      </c>
      <c r="H59" s="100">
        <v>0.25</v>
      </c>
      <c r="I59" s="100">
        <v>10</v>
      </c>
      <c r="J59" s="100">
        <v>6</v>
      </c>
      <c r="K59" s="100">
        <v>2</v>
      </c>
      <c r="L59" s="100">
        <v>2</v>
      </c>
      <c r="M59" s="100">
        <v>1</v>
      </c>
      <c r="N59" s="100">
        <v>1</v>
      </c>
      <c r="O59" s="100">
        <v>1</v>
      </c>
      <c r="P59" s="100">
        <v>2.46</v>
      </c>
      <c r="Q59" s="100">
        <v>28.68</v>
      </c>
      <c r="R59" s="100">
        <v>1</v>
      </c>
      <c r="S59" s="100">
        <v>0</v>
      </c>
      <c r="T59" s="100">
        <v>1</v>
      </c>
      <c r="U59" s="100">
        <v>0</v>
      </c>
      <c r="V59" s="100">
        <v>0</v>
      </c>
      <c r="W59" s="100">
        <v>1</v>
      </c>
      <c r="X59" s="100">
        <v>0</v>
      </c>
      <c r="Y59" s="100">
        <v>0</v>
      </c>
      <c r="Z59" s="100">
        <v>1</v>
      </c>
      <c r="AA59" s="100">
        <v>0</v>
      </c>
      <c r="AB59" s="100">
        <v>0</v>
      </c>
      <c r="AC59" s="100">
        <v>1</v>
      </c>
      <c r="AD59" s="100">
        <v>0</v>
      </c>
      <c r="AE59" s="100">
        <v>0</v>
      </c>
      <c r="AF59" s="100">
        <v>1</v>
      </c>
      <c r="AG59" s="100">
        <v>0</v>
      </c>
      <c r="AH59" s="100">
        <v>1</v>
      </c>
      <c r="AI59" s="100">
        <v>0</v>
      </c>
      <c r="AJ59" s="100">
        <v>0</v>
      </c>
      <c r="AK59" s="100">
        <v>1</v>
      </c>
      <c r="AL59" s="100">
        <v>0</v>
      </c>
      <c r="AM59" s="100">
        <v>1</v>
      </c>
      <c r="AN59" s="100">
        <v>1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1</v>
      </c>
      <c r="BS59" s="100">
        <v>0</v>
      </c>
      <c r="BT59" s="100">
        <v>1</v>
      </c>
      <c r="BU59" s="100">
        <v>0</v>
      </c>
      <c r="BV59" s="100">
        <v>0</v>
      </c>
      <c r="BW59" s="100">
        <v>0</v>
      </c>
      <c r="BX59" s="100">
        <v>0</v>
      </c>
      <c r="BY59" s="100">
        <v>0</v>
      </c>
      <c r="BZ59" s="100">
        <v>0</v>
      </c>
      <c r="CA59" s="100">
        <v>0</v>
      </c>
      <c r="CB59" s="100" t="s">
        <v>2090</v>
      </c>
      <c r="CC59" s="100">
        <v>0</v>
      </c>
      <c r="CD59" s="100">
        <v>0</v>
      </c>
      <c r="CE59" s="100">
        <v>0</v>
      </c>
      <c r="CF59" s="100">
        <v>0</v>
      </c>
      <c r="CG59" s="103">
        <v>2967.7293500000001</v>
      </c>
      <c r="CH59" s="103">
        <v>0.74</v>
      </c>
      <c r="CI59" s="103">
        <v>36123.142899999999</v>
      </c>
      <c r="CJ59" s="103">
        <v>1</v>
      </c>
      <c r="CK59" s="103">
        <f t="shared" si="0"/>
        <v>0.74</v>
      </c>
      <c r="CL59" s="103">
        <v>1735.5</v>
      </c>
      <c r="CM59" s="103">
        <v>764322.8</v>
      </c>
      <c r="CN59" s="104">
        <v>2.270637484581122E-3</v>
      </c>
      <c r="CO59" s="103">
        <v>5297.0560400000004</v>
      </c>
      <c r="CP59" s="103">
        <v>0.81</v>
      </c>
      <c r="CQ59" s="103">
        <v>3521.5396099999998</v>
      </c>
      <c r="CR59" s="103">
        <v>0</v>
      </c>
      <c r="CS59" s="103">
        <f t="shared" si="1"/>
        <v>0</v>
      </c>
      <c r="CT59" s="103">
        <v>2896</v>
      </c>
      <c r="CU59" s="103">
        <v>512810</v>
      </c>
      <c r="CV59" s="104">
        <v>5.6473157699732848E-3</v>
      </c>
      <c r="CW59" s="103">
        <v>0</v>
      </c>
      <c r="CX59" s="103">
        <v>0</v>
      </c>
      <c r="CY59" s="103">
        <v>2510.66482</v>
      </c>
      <c r="CZ59" s="103">
        <v>0</v>
      </c>
      <c r="DA59" s="103">
        <f t="shared" si="2"/>
        <v>0</v>
      </c>
      <c r="DB59" s="103">
        <v>0</v>
      </c>
      <c r="DC59" s="103">
        <v>402140.3</v>
      </c>
      <c r="DD59" s="104">
        <v>0</v>
      </c>
      <c r="DE59" s="103">
        <v>0</v>
      </c>
      <c r="DF59" s="103">
        <v>0</v>
      </c>
      <c r="DG59" s="103">
        <v>7580.0732600000001</v>
      </c>
      <c r="DH59" s="103">
        <v>2.5300000000000002</v>
      </c>
      <c r="DI59" s="103">
        <f t="shared" si="3"/>
        <v>0</v>
      </c>
      <c r="DJ59" s="103">
        <v>2997.8</v>
      </c>
      <c r="DK59" s="103">
        <v>719575</v>
      </c>
      <c r="DL59" s="104">
        <v>4.1660702498002291E-3</v>
      </c>
    </row>
    <row r="60" spans="1:116" s="15" customFormat="1" ht="167.45" customHeight="1" x14ac:dyDescent="0.25">
      <c r="A60" s="100" t="s">
        <v>145</v>
      </c>
      <c r="B60" s="100" t="s">
        <v>2237</v>
      </c>
      <c r="C60" s="100" t="s">
        <v>87</v>
      </c>
      <c r="D60" s="101" t="str">
        <f>"Chemistry 353"</f>
        <v>Chemistry 353</v>
      </c>
      <c r="E60" s="102" t="s">
        <v>2238</v>
      </c>
      <c r="F60" s="100">
        <v>7</v>
      </c>
      <c r="G60" s="100">
        <v>1</v>
      </c>
      <c r="H60" s="100">
        <v>0.14000000000000001</v>
      </c>
      <c r="I60" s="100">
        <v>11</v>
      </c>
      <c r="J60" s="100">
        <v>4</v>
      </c>
      <c r="K60" s="100">
        <v>3</v>
      </c>
      <c r="L60" s="100">
        <v>2</v>
      </c>
      <c r="M60" s="100">
        <v>1</v>
      </c>
      <c r="N60" s="100">
        <v>2</v>
      </c>
      <c r="O60" s="100">
        <v>1</v>
      </c>
      <c r="P60" s="100">
        <v>1.4</v>
      </c>
      <c r="Q60" s="100">
        <v>41.99</v>
      </c>
      <c r="R60" s="100">
        <v>1</v>
      </c>
      <c r="S60" s="100">
        <v>0</v>
      </c>
      <c r="T60" s="100">
        <v>1</v>
      </c>
      <c r="U60" s="100">
        <v>0</v>
      </c>
      <c r="V60" s="100">
        <v>0</v>
      </c>
      <c r="W60" s="100">
        <v>1</v>
      </c>
      <c r="X60" s="100">
        <v>0</v>
      </c>
      <c r="Y60" s="100">
        <v>0</v>
      </c>
      <c r="Z60" s="100">
        <v>1</v>
      </c>
      <c r="AA60" s="100">
        <v>0</v>
      </c>
      <c r="AB60" s="100">
        <v>0</v>
      </c>
      <c r="AC60" s="100">
        <v>1</v>
      </c>
      <c r="AD60" s="100">
        <v>0</v>
      </c>
      <c r="AE60" s="100">
        <v>1</v>
      </c>
      <c r="AF60" s="100">
        <v>0</v>
      </c>
      <c r="AG60" s="100">
        <v>0</v>
      </c>
      <c r="AH60" s="100">
        <v>0</v>
      </c>
      <c r="AI60" s="100">
        <v>1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1</v>
      </c>
      <c r="AP60" s="100">
        <v>0</v>
      </c>
      <c r="AQ60" s="100">
        <v>0</v>
      </c>
      <c r="AR60" s="100">
        <v>0</v>
      </c>
      <c r="AS60" s="100">
        <v>0</v>
      </c>
      <c r="AT60" s="100">
        <v>1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0</v>
      </c>
      <c r="BG60" s="100">
        <v>0</v>
      </c>
      <c r="BH60" s="100">
        <v>0</v>
      </c>
      <c r="BI60" s="100">
        <v>0</v>
      </c>
      <c r="BJ60" s="100">
        <v>1</v>
      </c>
      <c r="BK60" s="100">
        <v>0</v>
      </c>
      <c r="BL60" s="100">
        <v>1</v>
      </c>
      <c r="BM60" s="100">
        <v>0</v>
      </c>
      <c r="BN60" s="100">
        <v>0</v>
      </c>
      <c r="BO60" s="100">
        <v>0</v>
      </c>
      <c r="BP60" s="100">
        <v>1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0">
        <v>0</v>
      </c>
      <c r="BW60" s="100">
        <v>0</v>
      </c>
      <c r="BX60" s="100">
        <v>0</v>
      </c>
      <c r="BY60" s="100">
        <v>0</v>
      </c>
      <c r="BZ60" s="100">
        <v>0</v>
      </c>
      <c r="CA60" s="100">
        <v>0</v>
      </c>
      <c r="CB60" s="100" t="s">
        <v>2090</v>
      </c>
      <c r="CC60" s="100">
        <v>0</v>
      </c>
      <c r="CD60" s="100">
        <v>0</v>
      </c>
      <c r="CE60" s="100">
        <v>0</v>
      </c>
      <c r="CF60" s="100">
        <v>0</v>
      </c>
      <c r="CG60" s="103">
        <v>521854.07629</v>
      </c>
      <c r="CH60" s="103">
        <v>35.69</v>
      </c>
      <c r="CI60" s="103">
        <v>3276148.5865699998</v>
      </c>
      <c r="CJ60" s="103">
        <v>43.26</v>
      </c>
      <c r="CK60" s="103">
        <f t="shared" si="0"/>
        <v>1543.9493999999997</v>
      </c>
      <c r="CL60" s="103">
        <v>485831</v>
      </c>
      <c r="CM60" s="103">
        <v>778381.1</v>
      </c>
      <c r="CN60" s="104">
        <v>0.62415569956670325</v>
      </c>
      <c r="CO60" s="103">
        <v>108667.20076000001</v>
      </c>
      <c r="CP60" s="103">
        <v>5.85</v>
      </c>
      <c r="CQ60" s="103">
        <v>1903553.9348599999</v>
      </c>
      <c r="CR60" s="103">
        <v>11.31</v>
      </c>
      <c r="CS60" s="103">
        <f t="shared" si="1"/>
        <v>66.163499999999999</v>
      </c>
      <c r="CT60" s="103">
        <v>80129</v>
      </c>
      <c r="CU60" s="103">
        <v>528396.30000000005</v>
      </c>
      <c r="CV60" s="104">
        <v>0.15164564929769567</v>
      </c>
      <c r="CW60" s="103">
        <v>243382.89683000001</v>
      </c>
      <c r="CX60" s="103">
        <v>19.579999999999998</v>
      </c>
      <c r="CY60" s="103">
        <v>1571340.6044300001</v>
      </c>
      <c r="CZ60" s="103">
        <v>26.875593542260212</v>
      </c>
      <c r="DA60" s="103">
        <f t="shared" si="2"/>
        <v>526.22412155745496</v>
      </c>
      <c r="DB60" s="103">
        <v>498108.5</v>
      </c>
      <c r="DC60" s="103">
        <v>766799.9</v>
      </c>
      <c r="DD60" s="104">
        <v>0.64959385101641243</v>
      </c>
      <c r="DE60" s="103">
        <v>90956.689740000002</v>
      </c>
      <c r="DF60" s="103">
        <v>5.65</v>
      </c>
      <c r="DG60" s="103">
        <v>1907209.53883</v>
      </c>
      <c r="DH60" s="103">
        <v>12.43</v>
      </c>
      <c r="DI60" s="103">
        <f t="shared" si="3"/>
        <v>70.229500000000002</v>
      </c>
      <c r="DJ60" s="103">
        <v>42960.9</v>
      </c>
      <c r="DK60" s="103">
        <v>356241</v>
      </c>
      <c r="DL60" s="104">
        <v>0.12059504661170388</v>
      </c>
    </row>
    <row r="61" spans="1:116" s="15" customFormat="1" ht="193.7" customHeight="1" x14ac:dyDescent="0.25">
      <c r="A61" s="100" t="s">
        <v>146</v>
      </c>
      <c r="B61" s="100" t="s">
        <v>2239</v>
      </c>
      <c r="C61" s="100" t="s">
        <v>87</v>
      </c>
      <c r="D61" s="101" t="str">
        <f>"Chemistry 319"</f>
        <v>Chemistry 319</v>
      </c>
      <c r="E61" s="102" t="s">
        <v>2240</v>
      </c>
      <c r="F61" s="100">
        <v>7</v>
      </c>
      <c r="G61" s="100">
        <v>1</v>
      </c>
      <c r="H61" s="100">
        <v>0.14000000000000001</v>
      </c>
      <c r="I61" s="100">
        <v>11</v>
      </c>
      <c r="J61" s="100">
        <v>4</v>
      </c>
      <c r="K61" s="100">
        <v>3</v>
      </c>
      <c r="L61" s="100">
        <v>2</v>
      </c>
      <c r="M61" s="100">
        <v>1</v>
      </c>
      <c r="N61" s="100">
        <v>2</v>
      </c>
      <c r="O61" s="100">
        <v>1</v>
      </c>
      <c r="P61" s="100">
        <v>1.47</v>
      </c>
      <c r="Q61" s="100">
        <v>41.99</v>
      </c>
      <c r="R61" s="100">
        <v>1</v>
      </c>
      <c r="S61" s="100">
        <v>0</v>
      </c>
      <c r="T61" s="100">
        <v>1</v>
      </c>
      <c r="U61" s="100">
        <v>0</v>
      </c>
      <c r="V61" s="100">
        <v>0</v>
      </c>
      <c r="W61" s="100">
        <v>1</v>
      </c>
      <c r="X61" s="100">
        <v>0</v>
      </c>
      <c r="Y61" s="100">
        <v>0</v>
      </c>
      <c r="Z61" s="100">
        <v>1</v>
      </c>
      <c r="AA61" s="100">
        <v>0</v>
      </c>
      <c r="AB61" s="100">
        <v>0</v>
      </c>
      <c r="AC61" s="100">
        <v>1</v>
      </c>
      <c r="AD61" s="100">
        <v>0</v>
      </c>
      <c r="AE61" s="100">
        <v>1</v>
      </c>
      <c r="AF61" s="100">
        <v>0</v>
      </c>
      <c r="AG61" s="100">
        <v>0</v>
      </c>
      <c r="AH61" s="100">
        <v>0</v>
      </c>
      <c r="AI61" s="100">
        <v>1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1</v>
      </c>
      <c r="AP61" s="100">
        <v>0</v>
      </c>
      <c r="AQ61" s="100">
        <v>0</v>
      </c>
      <c r="AR61" s="100">
        <v>0</v>
      </c>
      <c r="AS61" s="100">
        <v>0</v>
      </c>
      <c r="AT61" s="100">
        <v>1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1</v>
      </c>
      <c r="BK61" s="100">
        <v>0</v>
      </c>
      <c r="BL61" s="100">
        <v>1</v>
      </c>
      <c r="BM61" s="100">
        <v>0</v>
      </c>
      <c r="BN61" s="100">
        <v>0</v>
      </c>
      <c r="BO61" s="100">
        <v>0</v>
      </c>
      <c r="BP61" s="100">
        <v>1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0">
        <v>0</v>
      </c>
      <c r="BW61" s="100">
        <v>0</v>
      </c>
      <c r="BX61" s="100">
        <v>0</v>
      </c>
      <c r="BY61" s="100">
        <v>0</v>
      </c>
      <c r="BZ61" s="100">
        <v>0</v>
      </c>
      <c r="CA61" s="100">
        <v>0</v>
      </c>
      <c r="CB61" s="100" t="s">
        <v>2090</v>
      </c>
      <c r="CC61" s="100">
        <v>0</v>
      </c>
      <c r="CD61" s="100">
        <v>0</v>
      </c>
      <c r="CE61" s="100">
        <v>0</v>
      </c>
      <c r="CF61" s="100">
        <v>0</v>
      </c>
      <c r="CG61" s="103">
        <v>358133.05962000001</v>
      </c>
      <c r="CH61" s="103">
        <v>28.93</v>
      </c>
      <c r="CI61" s="103">
        <v>3866169.0397100002</v>
      </c>
      <c r="CJ61" s="103">
        <v>37.92</v>
      </c>
      <c r="CK61" s="103">
        <f t="shared" si="0"/>
        <v>1097.0255999999999</v>
      </c>
      <c r="CL61" s="103">
        <v>418599.8</v>
      </c>
      <c r="CM61" s="103">
        <v>464610.1</v>
      </c>
      <c r="CN61" s="104">
        <v>0.90097008222593522</v>
      </c>
      <c r="CO61" s="103">
        <v>78525.966870000004</v>
      </c>
      <c r="CP61" s="103">
        <v>4.47</v>
      </c>
      <c r="CQ61" s="103">
        <v>2101122.5353899999</v>
      </c>
      <c r="CR61" s="103">
        <v>20.38</v>
      </c>
      <c r="CS61" s="103">
        <f t="shared" si="1"/>
        <v>91.09859999999999</v>
      </c>
      <c r="CT61" s="103">
        <v>330667.40000000002</v>
      </c>
      <c r="CU61" s="103">
        <v>653623.4</v>
      </c>
      <c r="CV61" s="104">
        <v>0.50589896261363965</v>
      </c>
      <c r="CW61" s="103">
        <v>0</v>
      </c>
      <c r="CX61" s="103">
        <v>0</v>
      </c>
      <c r="CY61" s="103">
        <v>321734.57533000002</v>
      </c>
      <c r="CZ61" s="103">
        <v>3.737505432420686</v>
      </c>
      <c r="DA61" s="103">
        <f t="shared" si="2"/>
        <v>0</v>
      </c>
      <c r="DB61" s="103">
        <v>96352.1</v>
      </c>
      <c r="DC61" s="103">
        <v>662264</v>
      </c>
      <c r="DD61" s="104">
        <v>0.14548895908580264</v>
      </c>
      <c r="DE61" s="103">
        <v>45289.025329999997</v>
      </c>
      <c r="DF61" s="103">
        <v>3.07</v>
      </c>
      <c r="DG61" s="103">
        <v>1809075.2937799999</v>
      </c>
      <c r="DH61" s="103">
        <v>13.47</v>
      </c>
      <c r="DI61" s="103">
        <f t="shared" si="3"/>
        <v>41.352899999999998</v>
      </c>
      <c r="DJ61" s="103">
        <v>133952.20000000001</v>
      </c>
      <c r="DK61" s="103">
        <v>416588.1</v>
      </c>
      <c r="DL61" s="104">
        <v>0.32154591069692107</v>
      </c>
    </row>
    <row r="62" spans="1:116" s="15" customFormat="1" ht="126.95" customHeight="1" x14ac:dyDescent="0.25">
      <c r="A62" s="100" t="s">
        <v>147</v>
      </c>
      <c r="B62" s="100" t="s">
        <v>2241</v>
      </c>
      <c r="C62" s="100" t="s">
        <v>87</v>
      </c>
      <c r="D62" s="101" t="str">
        <f>"Chemistry 378"</f>
        <v>Chemistry 378</v>
      </c>
      <c r="E62" s="102" t="s">
        <v>2242</v>
      </c>
      <c r="F62" s="100">
        <v>8</v>
      </c>
      <c r="G62" s="100">
        <v>3</v>
      </c>
      <c r="H62" s="100">
        <v>0.38</v>
      </c>
      <c r="I62" s="100">
        <v>11</v>
      </c>
      <c r="J62" s="100">
        <v>3</v>
      </c>
      <c r="K62" s="100">
        <v>2</v>
      </c>
      <c r="L62" s="100">
        <v>2</v>
      </c>
      <c r="M62" s="100">
        <v>1</v>
      </c>
      <c r="N62" s="100">
        <v>2</v>
      </c>
      <c r="O62" s="100">
        <v>1</v>
      </c>
      <c r="P62" s="100">
        <v>2.95</v>
      </c>
      <c r="Q62" s="100">
        <v>24.92</v>
      </c>
      <c r="R62" s="100">
        <v>2</v>
      </c>
      <c r="S62" s="100">
        <v>0</v>
      </c>
      <c r="T62" s="100">
        <v>1</v>
      </c>
      <c r="U62" s="100">
        <v>0</v>
      </c>
      <c r="V62" s="100">
        <v>0</v>
      </c>
      <c r="W62" s="100">
        <v>1</v>
      </c>
      <c r="X62" s="100">
        <v>0</v>
      </c>
      <c r="Y62" s="100">
        <v>0</v>
      </c>
      <c r="Z62" s="100">
        <v>1</v>
      </c>
      <c r="AA62" s="100">
        <v>0</v>
      </c>
      <c r="AB62" s="100">
        <v>0</v>
      </c>
      <c r="AC62" s="100">
        <v>1</v>
      </c>
      <c r="AD62" s="100">
        <v>0</v>
      </c>
      <c r="AE62" s="100">
        <v>0</v>
      </c>
      <c r="AF62" s="100">
        <v>1</v>
      </c>
      <c r="AG62" s="100">
        <v>0</v>
      </c>
      <c r="AH62" s="100">
        <v>1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1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1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1</v>
      </c>
      <c r="BK62" s="100">
        <v>0</v>
      </c>
      <c r="BL62" s="100">
        <v>0</v>
      </c>
      <c r="BM62" s="100">
        <v>1</v>
      </c>
      <c r="BN62" s="100">
        <v>0</v>
      </c>
      <c r="BO62" s="100">
        <v>0</v>
      </c>
      <c r="BP62" s="100">
        <v>1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0">
        <v>0</v>
      </c>
      <c r="BY62" s="100">
        <v>0</v>
      </c>
      <c r="BZ62" s="100">
        <v>0</v>
      </c>
      <c r="CA62" s="100">
        <v>0</v>
      </c>
      <c r="CB62" s="100" t="s">
        <v>2090</v>
      </c>
      <c r="CC62" s="100">
        <v>0</v>
      </c>
      <c r="CD62" s="100">
        <v>0</v>
      </c>
      <c r="CE62" s="100">
        <v>0</v>
      </c>
      <c r="CF62" s="100">
        <v>0</v>
      </c>
      <c r="CG62" s="103">
        <v>651160.07074</v>
      </c>
      <c r="CH62" s="103">
        <v>36.57</v>
      </c>
      <c r="CI62" s="103">
        <v>5633532.4254000001</v>
      </c>
      <c r="CJ62" s="103">
        <v>39.96</v>
      </c>
      <c r="CK62" s="103">
        <f t="shared" si="0"/>
        <v>1461.3371999999999</v>
      </c>
      <c r="CL62" s="103">
        <v>1079097</v>
      </c>
      <c r="CM62" s="103">
        <v>633534.5</v>
      </c>
      <c r="CN62" s="104">
        <v>1.7032963477127134</v>
      </c>
      <c r="CO62" s="103">
        <v>321191.47132000001</v>
      </c>
      <c r="CP62" s="103">
        <v>12.24</v>
      </c>
      <c r="CQ62" s="103">
        <v>4524878.9342700001</v>
      </c>
      <c r="CR62" s="103">
        <v>22.87</v>
      </c>
      <c r="CS62" s="103">
        <f t="shared" si="1"/>
        <v>279.92880000000002</v>
      </c>
      <c r="CT62" s="103">
        <v>830788.7</v>
      </c>
      <c r="CU62" s="103">
        <v>442760</v>
      </c>
      <c r="CV62" s="104">
        <v>1.8763860782365163</v>
      </c>
      <c r="CW62" s="103">
        <v>1827220.3935799999</v>
      </c>
      <c r="CX62" s="103">
        <v>72.650000000000006</v>
      </c>
      <c r="CY62" s="103">
        <v>8016421.6874299999</v>
      </c>
      <c r="CZ62" s="103">
        <v>50.430622009569376</v>
      </c>
      <c r="DA62" s="103">
        <f t="shared" si="2"/>
        <v>3663.7846889952157</v>
      </c>
      <c r="DB62" s="103">
        <v>1040743</v>
      </c>
      <c r="DC62" s="103">
        <v>409909.9</v>
      </c>
      <c r="DD62" s="104">
        <v>2.5389555119307925</v>
      </c>
      <c r="DE62" s="103">
        <v>577330.62829999998</v>
      </c>
      <c r="DF62" s="103">
        <v>23.97</v>
      </c>
      <c r="DG62" s="103">
        <v>5583318.4187799999</v>
      </c>
      <c r="DH62" s="103">
        <v>20.94</v>
      </c>
      <c r="DI62" s="103">
        <f t="shared" si="3"/>
        <v>501.93180000000001</v>
      </c>
      <c r="DJ62" s="103">
        <v>958170.6</v>
      </c>
      <c r="DK62" s="103">
        <v>620241</v>
      </c>
      <c r="DL62" s="104">
        <v>1.5448359589256433</v>
      </c>
    </row>
    <row r="63" spans="1:116" s="15" customFormat="1" ht="184.7" customHeight="1" x14ac:dyDescent="0.25">
      <c r="A63" s="100" t="s">
        <v>148</v>
      </c>
      <c r="B63" s="100" t="s">
        <v>2243</v>
      </c>
      <c r="C63" s="100" t="s">
        <v>87</v>
      </c>
      <c r="D63" s="101" t="str">
        <f>"Chemistry 317"</f>
        <v>Chemistry 317</v>
      </c>
      <c r="E63" s="102" t="s">
        <v>2244</v>
      </c>
      <c r="F63" s="100">
        <v>7</v>
      </c>
      <c r="G63" s="100">
        <v>1</v>
      </c>
      <c r="H63" s="100">
        <v>0.14000000000000001</v>
      </c>
      <c r="I63" s="100">
        <v>11</v>
      </c>
      <c r="J63" s="100">
        <v>4</v>
      </c>
      <c r="K63" s="100">
        <v>3</v>
      </c>
      <c r="L63" s="100">
        <v>1</v>
      </c>
      <c r="M63" s="100">
        <v>1</v>
      </c>
      <c r="N63" s="100">
        <v>3</v>
      </c>
      <c r="O63" s="100">
        <v>0</v>
      </c>
      <c r="P63" s="100">
        <v>0.82</v>
      </c>
      <c r="Q63" s="100">
        <v>39.19</v>
      </c>
      <c r="R63" s="100">
        <v>2</v>
      </c>
      <c r="S63" s="100">
        <v>0</v>
      </c>
      <c r="T63" s="100">
        <v>1</v>
      </c>
      <c r="U63" s="100">
        <v>0</v>
      </c>
      <c r="V63" s="100">
        <v>0</v>
      </c>
      <c r="W63" s="100">
        <v>0</v>
      </c>
      <c r="X63" s="100">
        <v>1</v>
      </c>
      <c r="Y63" s="100">
        <v>0</v>
      </c>
      <c r="Z63" s="100">
        <v>0</v>
      </c>
      <c r="AA63" s="100">
        <v>1</v>
      </c>
      <c r="AB63" s="100">
        <v>0</v>
      </c>
      <c r="AC63" s="100">
        <v>1</v>
      </c>
      <c r="AD63" s="100">
        <v>0</v>
      </c>
      <c r="AE63" s="100">
        <v>1</v>
      </c>
      <c r="AF63" s="100">
        <v>0</v>
      </c>
      <c r="AG63" s="100">
        <v>0</v>
      </c>
      <c r="AH63" s="100">
        <v>0</v>
      </c>
      <c r="AI63" s="100">
        <v>1</v>
      </c>
      <c r="AJ63" s="100">
        <v>0</v>
      </c>
      <c r="AK63" s="100">
        <v>1</v>
      </c>
      <c r="AL63" s="100">
        <v>1</v>
      </c>
      <c r="AM63" s="100">
        <v>0</v>
      </c>
      <c r="AN63" s="100">
        <v>0</v>
      </c>
      <c r="AO63" s="100">
        <v>1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1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1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1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0">
        <v>0</v>
      </c>
      <c r="BW63" s="100">
        <v>0</v>
      </c>
      <c r="BX63" s="100">
        <v>0</v>
      </c>
      <c r="BY63" s="100">
        <v>0</v>
      </c>
      <c r="BZ63" s="100">
        <v>0</v>
      </c>
      <c r="CA63" s="100">
        <v>0</v>
      </c>
      <c r="CB63" s="100" t="s">
        <v>2090</v>
      </c>
      <c r="CC63" s="100">
        <v>0</v>
      </c>
      <c r="CD63" s="100">
        <v>0</v>
      </c>
      <c r="CE63" s="100">
        <v>0</v>
      </c>
      <c r="CF63" s="100">
        <v>0</v>
      </c>
      <c r="CG63" s="103">
        <v>15387.18549</v>
      </c>
      <c r="CH63" s="103">
        <v>2.39</v>
      </c>
      <c r="CI63" s="103">
        <v>1129950.65341</v>
      </c>
      <c r="CJ63" s="103">
        <v>11.9</v>
      </c>
      <c r="CK63" s="103">
        <f t="shared" si="0"/>
        <v>28.441000000000003</v>
      </c>
      <c r="CL63" s="103">
        <v>232397.8</v>
      </c>
      <c r="CM63" s="103">
        <v>675243.3</v>
      </c>
      <c r="CN63" s="104">
        <v>0.34416898323907835</v>
      </c>
      <c r="CO63" s="103">
        <v>29018.980149999999</v>
      </c>
      <c r="CP63" s="103">
        <v>4.7699999999999996</v>
      </c>
      <c r="CQ63" s="103">
        <v>1403163.6138899999</v>
      </c>
      <c r="CR63" s="103">
        <v>14.12</v>
      </c>
      <c r="CS63" s="103">
        <f t="shared" si="1"/>
        <v>67.352399999999989</v>
      </c>
      <c r="CT63" s="103">
        <v>950</v>
      </c>
      <c r="CU63" s="103">
        <v>25950.7</v>
      </c>
      <c r="CV63" s="104">
        <v>3.6607875702774878E-2</v>
      </c>
      <c r="CW63" s="103">
        <v>7298.8020999999999</v>
      </c>
      <c r="CX63" s="103">
        <v>1.02</v>
      </c>
      <c r="CY63" s="103">
        <v>772045.41813000001</v>
      </c>
      <c r="CZ63" s="103">
        <v>6.0589459844417668</v>
      </c>
      <c r="DA63" s="103">
        <f t="shared" si="2"/>
        <v>6.1801249041306026</v>
      </c>
      <c r="DB63" s="103">
        <v>289503.09999999998</v>
      </c>
      <c r="DC63" s="103">
        <v>774755.7</v>
      </c>
      <c r="DD63" s="104">
        <v>0.37367017757984872</v>
      </c>
      <c r="DE63" s="103">
        <v>42820.990230000003</v>
      </c>
      <c r="DF63" s="103">
        <v>5.72</v>
      </c>
      <c r="DG63" s="103">
        <v>1885348.4034800001</v>
      </c>
      <c r="DH63" s="103">
        <v>13.31</v>
      </c>
      <c r="DI63" s="103">
        <f t="shared" si="3"/>
        <v>76.133200000000002</v>
      </c>
      <c r="DJ63" s="103">
        <v>15115.2</v>
      </c>
      <c r="DK63" s="103">
        <v>384509.6</v>
      </c>
      <c r="DL63" s="104">
        <v>3.9310331913689545E-2</v>
      </c>
    </row>
    <row r="64" spans="1:116" s="15" customFormat="1" ht="180.2" customHeight="1" x14ac:dyDescent="0.25">
      <c r="A64" s="100" t="s">
        <v>149</v>
      </c>
      <c r="B64" s="100" t="s">
        <v>2245</v>
      </c>
      <c r="C64" s="100" t="s">
        <v>87</v>
      </c>
      <c r="D64" s="101" t="str">
        <f>"Chemistry 369"</f>
        <v>Chemistry 369</v>
      </c>
      <c r="E64" s="102" t="s">
        <v>2246</v>
      </c>
      <c r="F64" s="100">
        <v>7</v>
      </c>
      <c r="G64" s="100">
        <v>1</v>
      </c>
      <c r="H64" s="100">
        <v>0.14000000000000001</v>
      </c>
      <c r="I64" s="100">
        <v>11</v>
      </c>
      <c r="J64" s="100">
        <v>4</v>
      </c>
      <c r="K64" s="100">
        <v>3</v>
      </c>
      <c r="L64" s="100">
        <v>1</v>
      </c>
      <c r="M64" s="100">
        <v>1</v>
      </c>
      <c r="N64" s="100">
        <v>3</v>
      </c>
      <c r="O64" s="100">
        <v>0</v>
      </c>
      <c r="P64" s="100">
        <v>1.26</v>
      </c>
      <c r="Q64" s="100">
        <v>39.19</v>
      </c>
      <c r="R64" s="100">
        <v>2</v>
      </c>
      <c r="S64" s="100">
        <v>0</v>
      </c>
      <c r="T64" s="100">
        <v>1</v>
      </c>
      <c r="U64" s="100">
        <v>0</v>
      </c>
      <c r="V64" s="100">
        <v>0</v>
      </c>
      <c r="W64" s="100">
        <v>0</v>
      </c>
      <c r="X64" s="100">
        <v>1</v>
      </c>
      <c r="Y64" s="100">
        <v>0</v>
      </c>
      <c r="Z64" s="100">
        <v>0</v>
      </c>
      <c r="AA64" s="100">
        <v>1</v>
      </c>
      <c r="AB64" s="100">
        <v>0</v>
      </c>
      <c r="AC64" s="100">
        <v>1</v>
      </c>
      <c r="AD64" s="100">
        <v>0</v>
      </c>
      <c r="AE64" s="100">
        <v>1</v>
      </c>
      <c r="AF64" s="100">
        <v>0</v>
      </c>
      <c r="AG64" s="100">
        <v>0</v>
      </c>
      <c r="AH64" s="100">
        <v>0</v>
      </c>
      <c r="AI64" s="100">
        <v>1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1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1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1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1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 t="s">
        <v>2090</v>
      </c>
      <c r="CC64" s="100">
        <v>0</v>
      </c>
      <c r="CD64" s="100">
        <v>0</v>
      </c>
      <c r="CE64" s="100">
        <v>0</v>
      </c>
      <c r="CF64" s="100">
        <v>0</v>
      </c>
      <c r="CG64" s="103">
        <v>134755.69946</v>
      </c>
      <c r="CH64" s="103">
        <v>17.86</v>
      </c>
      <c r="CI64" s="103">
        <v>2745423.3151400001</v>
      </c>
      <c r="CJ64" s="103">
        <v>24.69</v>
      </c>
      <c r="CK64" s="103">
        <f t="shared" si="0"/>
        <v>440.96340000000004</v>
      </c>
      <c r="CL64" s="103">
        <v>905632.6</v>
      </c>
      <c r="CM64" s="103">
        <v>738334</v>
      </c>
      <c r="CN64" s="104">
        <v>1.226589321364044</v>
      </c>
      <c r="CO64" s="103">
        <v>182436.73821000001</v>
      </c>
      <c r="CP64" s="103">
        <v>18.579999999999998</v>
      </c>
      <c r="CQ64" s="103">
        <v>3161502.3739</v>
      </c>
      <c r="CR64" s="103">
        <v>20.56</v>
      </c>
      <c r="CS64" s="103">
        <f t="shared" si="1"/>
        <v>382.00479999999993</v>
      </c>
      <c r="CT64" s="103">
        <v>347948.4</v>
      </c>
      <c r="CU64" s="103">
        <v>249298.8</v>
      </c>
      <c r="CV64" s="104">
        <v>1.3957082825910114</v>
      </c>
      <c r="CW64" s="103">
        <v>403387.11418999999</v>
      </c>
      <c r="CX64" s="103">
        <v>34.69</v>
      </c>
      <c r="CY64" s="103">
        <v>3924079.6509699998</v>
      </c>
      <c r="CZ64" s="103">
        <v>24.713601333055614</v>
      </c>
      <c r="DA64" s="103">
        <f t="shared" si="2"/>
        <v>857.31483024369913</v>
      </c>
      <c r="DB64" s="103">
        <v>950722.4</v>
      </c>
      <c r="DC64" s="103">
        <v>536687.4</v>
      </c>
      <c r="DD64" s="104">
        <v>1.771463984434887</v>
      </c>
      <c r="DE64" s="103">
        <v>258527.37036</v>
      </c>
      <c r="DF64" s="103">
        <v>22.4</v>
      </c>
      <c r="DG64" s="103">
        <v>3729451.7512400001</v>
      </c>
      <c r="DH64" s="103">
        <v>17.62</v>
      </c>
      <c r="DI64" s="103">
        <f t="shared" si="3"/>
        <v>394.68799999999999</v>
      </c>
      <c r="DJ64" s="103">
        <v>360080.6</v>
      </c>
      <c r="DK64" s="103">
        <v>362699.4</v>
      </c>
      <c r="DL64" s="104">
        <v>0.99277969580319114</v>
      </c>
    </row>
    <row r="65" spans="1:116" s="15" customFormat="1" ht="264.2" customHeight="1" x14ac:dyDescent="0.25">
      <c r="A65" s="100" t="s">
        <v>150</v>
      </c>
      <c r="B65" s="100" t="s">
        <v>2247</v>
      </c>
      <c r="C65" s="100" t="s">
        <v>87</v>
      </c>
      <c r="D65" s="101" t="str">
        <f>"Chemistry 373"</f>
        <v>Chemistry 373</v>
      </c>
      <c r="E65" s="102" t="s">
        <v>2248</v>
      </c>
      <c r="F65" s="100">
        <v>7</v>
      </c>
      <c r="G65" s="100">
        <v>1</v>
      </c>
      <c r="H65" s="100">
        <v>0.14000000000000001</v>
      </c>
      <c r="I65" s="100">
        <v>11</v>
      </c>
      <c r="J65" s="100">
        <v>4</v>
      </c>
      <c r="K65" s="100">
        <v>3</v>
      </c>
      <c r="L65" s="100">
        <v>1</v>
      </c>
      <c r="M65" s="100">
        <v>1</v>
      </c>
      <c r="N65" s="100">
        <v>3</v>
      </c>
      <c r="O65" s="100">
        <v>0</v>
      </c>
      <c r="P65" s="100">
        <v>1.26</v>
      </c>
      <c r="Q65" s="100">
        <v>39.19</v>
      </c>
      <c r="R65" s="100">
        <v>2</v>
      </c>
      <c r="S65" s="100">
        <v>0</v>
      </c>
      <c r="T65" s="100">
        <v>1</v>
      </c>
      <c r="U65" s="100">
        <v>0</v>
      </c>
      <c r="V65" s="100">
        <v>0</v>
      </c>
      <c r="W65" s="100">
        <v>0</v>
      </c>
      <c r="X65" s="100">
        <v>1</v>
      </c>
      <c r="Y65" s="100">
        <v>0</v>
      </c>
      <c r="Z65" s="100">
        <v>0</v>
      </c>
      <c r="AA65" s="100">
        <v>1</v>
      </c>
      <c r="AB65" s="100">
        <v>0</v>
      </c>
      <c r="AC65" s="100">
        <v>1</v>
      </c>
      <c r="AD65" s="100">
        <v>0</v>
      </c>
      <c r="AE65" s="100">
        <v>1</v>
      </c>
      <c r="AF65" s="100">
        <v>0</v>
      </c>
      <c r="AG65" s="100">
        <v>0</v>
      </c>
      <c r="AH65" s="100">
        <v>0</v>
      </c>
      <c r="AI65" s="100">
        <v>1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1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1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1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1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0">
        <v>0</v>
      </c>
      <c r="BY65" s="100">
        <v>0</v>
      </c>
      <c r="BZ65" s="100">
        <v>0</v>
      </c>
      <c r="CA65" s="100">
        <v>0</v>
      </c>
      <c r="CB65" s="100" t="s">
        <v>2090</v>
      </c>
      <c r="CC65" s="100">
        <v>0</v>
      </c>
      <c r="CD65" s="100">
        <v>0</v>
      </c>
      <c r="CE65" s="100">
        <v>0</v>
      </c>
      <c r="CF65" s="100">
        <v>0</v>
      </c>
      <c r="CG65" s="103">
        <v>299703.30330999999</v>
      </c>
      <c r="CH65" s="103">
        <v>26.25</v>
      </c>
      <c r="CI65" s="103">
        <v>2937039.1193300001</v>
      </c>
      <c r="CJ65" s="103">
        <v>29.81</v>
      </c>
      <c r="CK65" s="103">
        <f t="shared" si="0"/>
        <v>782.51249999999993</v>
      </c>
      <c r="CL65" s="103">
        <v>450513</v>
      </c>
      <c r="CM65" s="103">
        <v>673054.9</v>
      </c>
      <c r="CN65" s="104">
        <v>0.66935550131200294</v>
      </c>
      <c r="CO65" s="103">
        <v>264776.77880999999</v>
      </c>
      <c r="CP65" s="103">
        <v>18.559999999999999</v>
      </c>
      <c r="CQ65" s="103">
        <v>2862038.0561799998</v>
      </c>
      <c r="CR65" s="103">
        <v>22.36</v>
      </c>
      <c r="CS65" s="103">
        <f t="shared" si="1"/>
        <v>415.00159999999994</v>
      </c>
      <c r="CT65" s="103">
        <v>418969.9</v>
      </c>
      <c r="CU65" s="103">
        <v>522538.8</v>
      </c>
      <c r="CV65" s="104">
        <v>0.80179672782193401</v>
      </c>
      <c r="CW65" s="103">
        <v>937139.83878999995</v>
      </c>
      <c r="CX65" s="103">
        <v>64.02</v>
      </c>
      <c r="CY65" s="103">
        <v>3510097.81574</v>
      </c>
      <c r="CZ65" s="103">
        <v>42.026450978248995</v>
      </c>
      <c r="DA65" s="103">
        <f t="shared" si="2"/>
        <v>2690.5333916275004</v>
      </c>
      <c r="DB65" s="103">
        <v>611982.1</v>
      </c>
      <c r="DC65" s="103">
        <v>356990.5</v>
      </c>
      <c r="DD65" s="104">
        <v>1.7142811923566592</v>
      </c>
      <c r="DE65" s="103">
        <v>415145.82750999997</v>
      </c>
      <c r="DF65" s="103">
        <v>27.13</v>
      </c>
      <c r="DG65" s="103">
        <v>3238521.14383</v>
      </c>
      <c r="DH65" s="103">
        <v>21.08</v>
      </c>
      <c r="DI65" s="103">
        <f t="shared" si="3"/>
        <v>571.90039999999988</v>
      </c>
      <c r="DJ65" s="103">
        <v>315696.7</v>
      </c>
      <c r="DK65" s="103">
        <v>313175.2</v>
      </c>
      <c r="DL65" s="104">
        <v>1.0080514038148614</v>
      </c>
    </row>
    <row r="66" spans="1:116" s="15" customFormat="1" ht="214.7" customHeight="1" x14ac:dyDescent="0.25">
      <c r="A66" s="100" t="s">
        <v>151</v>
      </c>
      <c r="B66" s="100" t="s">
        <v>2249</v>
      </c>
      <c r="C66" s="100" t="s">
        <v>87</v>
      </c>
      <c r="D66" s="101" t="str">
        <f>"Chemistry 221"</f>
        <v>Chemistry 221</v>
      </c>
      <c r="E66" s="102" t="s">
        <v>2250</v>
      </c>
      <c r="F66" s="100">
        <v>7</v>
      </c>
      <c r="G66" s="100">
        <v>2</v>
      </c>
      <c r="H66" s="100">
        <v>0.28999999999999998</v>
      </c>
      <c r="I66" s="100">
        <v>11</v>
      </c>
      <c r="J66" s="100">
        <v>4</v>
      </c>
      <c r="K66" s="100">
        <v>3</v>
      </c>
      <c r="L66" s="100">
        <v>2</v>
      </c>
      <c r="M66" s="100">
        <v>1</v>
      </c>
      <c r="N66" s="100">
        <v>2</v>
      </c>
      <c r="O66" s="100">
        <v>1</v>
      </c>
      <c r="P66" s="100">
        <v>1.07</v>
      </c>
      <c r="Q66" s="100">
        <v>38.04</v>
      </c>
      <c r="R66" s="100">
        <v>3</v>
      </c>
      <c r="S66" s="100">
        <v>0</v>
      </c>
      <c r="T66" s="100">
        <v>1</v>
      </c>
      <c r="U66" s="100">
        <v>0</v>
      </c>
      <c r="V66" s="100">
        <v>0</v>
      </c>
      <c r="W66" s="100">
        <v>1</v>
      </c>
      <c r="X66" s="100">
        <v>0</v>
      </c>
      <c r="Y66" s="100">
        <v>0</v>
      </c>
      <c r="Z66" s="100">
        <v>1</v>
      </c>
      <c r="AA66" s="100">
        <v>0</v>
      </c>
      <c r="AB66" s="100">
        <v>0</v>
      </c>
      <c r="AC66" s="100">
        <v>1</v>
      </c>
      <c r="AD66" s="100">
        <v>0</v>
      </c>
      <c r="AE66" s="100">
        <v>1</v>
      </c>
      <c r="AF66" s="100">
        <v>0</v>
      </c>
      <c r="AG66" s="100">
        <v>0</v>
      </c>
      <c r="AH66" s="100">
        <v>0</v>
      </c>
      <c r="AI66" s="100">
        <v>1</v>
      </c>
      <c r="AJ66" s="100">
        <v>0</v>
      </c>
      <c r="AK66" s="100">
        <v>0</v>
      </c>
      <c r="AL66" s="100">
        <v>0</v>
      </c>
      <c r="AM66" s="100">
        <v>0</v>
      </c>
      <c r="AN66" s="100">
        <v>1</v>
      </c>
      <c r="AO66" s="100">
        <v>0</v>
      </c>
      <c r="AP66" s="100">
        <v>1</v>
      </c>
      <c r="AQ66" s="100">
        <v>0</v>
      </c>
      <c r="AR66" s="100">
        <v>1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2</v>
      </c>
      <c r="BK66" s="100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1</v>
      </c>
      <c r="BW66" s="100">
        <v>0</v>
      </c>
      <c r="BX66" s="100">
        <v>0</v>
      </c>
      <c r="BY66" s="100">
        <v>0</v>
      </c>
      <c r="BZ66" s="100">
        <v>0</v>
      </c>
      <c r="CA66" s="100">
        <v>0</v>
      </c>
      <c r="CB66" s="100" t="s">
        <v>2090</v>
      </c>
      <c r="CC66" s="100">
        <v>0</v>
      </c>
      <c r="CD66" s="100">
        <v>0</v>
      </c>
      <c r="CE66" s="100">
        <v>0</v>
      </c>
      <c r="CF66" s="100">
        <v>0</v>
      </c>
      <c r="CG66" s="103">
        <v>31222.553960000001</v>
      </c>
      <c r="CH66" s="103">
        <v>6.4</v>
      </c>
      <c r="CI66" s="103">
        <v>1915917.72884</v>
      </c>
      <c r="CJ66" s="103">
        <v>25.72</v>
      </c>
      <c r="CK66" s="103">
        <f t="shared" ref="CK66:CK129" si="4">CJ66*CH66</f>
        <v>164.608</v>
      </c>
      <c r="CL66" s="103">
        <v>9736.9</v>
      </c>
      <c r="CM66" s="103">
        <v>386034.4</v>
      </c>
      <c r="CN66" s="104">
        <v>2.522288169137258E-2</v>
      </c>
      <c r="CO66" s="103">
        <v>4224.0186400000002</v>
      </c>
      <c r="CP66" s="103">
        <v>0.61</v>
      </c>
      <c r="CQ66" s="103">
        <v>6798.9025899999997</v>
      </c>
      <c r="CR66" s="103">
        <v>0</v>
      </c>
      <c r="CS66" s="103">
        <f t="shared" ref="CS66:CS129" si="5">CR66*CP66</f>
        <v>0</v>
      </c>
      <c r="CT66" s="103">
        <v>2325.8000000000002</v>
      </c>
      <c r="CU66" s="103">
        <v>499451.6</v>
      </c>
      <c r="CV66" s="104">
        <v>4.6567074767605117E-3</v>
      </c>
      <c r="CW66" s="103">
        <v>6348.8113999999996</v>
      </c>
      <c r="CX66" s="103">
        <v>1.2</v>
      </c>
      <c r="CY66" s="103">
        <v>80834.070779999995</v>
      </c>
      <c r="CZ66" s="103">
        <v>2.551852714984852</v>
      </c>
      <c r="DA66" s="103">
        <f t="shared" ref="DA66:DA129" si="6">CZ66*CX66</f>
        <v>3.0622232579818225</v>
      </c>
      <c r="DB66" s="103">
        <v>832.2</v>
      </c>
      <c r="DC66" s="103">
        <v>198601.60000000001</v>
      </c>
      <c r="DD66" s="104">
        <v>4.1902985675845517E-3</v>
      </c>
      <c r="DE66" s="103">
        <v>0</v>
      </c>
      <c r="DF66" s="103">
        <v>0</v>
      </c>
      <c r="DG66" s="103">
        <v>26977.606940000001</v>
      </c>
      <c r="DH66" s="103">
        <v>0</v>
      </c>
      <c r="DI66" s="103">
        <f t="shared" ref="DI66:DI129" si="7">DH66*DF66</f>
        <v>0</v>
      </c>
      <c r="DJ66" s="103">
        <v>13044.2</v>
      </c>
      <c r="DK66" s="103">
        <v>996343.1</v>
      </c>
      <c r="DL66" s="104">
        <v>1.3092076414239233E-2</v>
      </c>
    </row>
    <row r="67" spans="1:116" s="15" customFormat="1" ht="205.7" customHeight="1" x14ac:dyDescent="0.25">
      <c r="A67" s="100" t="s">
        <v>152</v>
      </c>
      <c r="B67" s="100" t="s">
        <v>2251</v>
      </c>
      <c r="C67" s="100" t="s">
        <v>87</v>
      </c>
      <c r="D67" s="101" t="str">
        <f>"Chemistry 193"</f>
        <v>Chemistry 193</v>
      </c>
      <c r="E67" s="102" t="s">
        <v>2252</v>
      </c>
      <c r="F67" s="100">
        <v>8</v>
      </c>
      <c r="G67" s="100">
        <v>0</v>
      </c>
      <c r="H67" s="100">
        <v>0</v>
      </c>
      <c r="I67" s="100">
        <v>12</v>
      </c>
      <c r="J67" s="100">
        <v>4</v>
      </c>
      <c r="K67" s="100">
        <v>3</v>
      </c>
      <c r="L67" s="100">
        <v>2</v>
      </c>
      <c r="M67" s="100">
        <v>2</v>
      </c>
      <c r="N67" s="100">
        <v>2</v>
      </c>
      <c r="O67" s="100">
        <v>0</v>
      </c>
      <c r="P67" s="100">
        <v>2.48</v>
      </c>
      <c r="Q67" s="100">
        <v>38.92</v>
      </c>
      <c r="R67" s="100">
        <v>1</v>
      </c>
      <c r="S67" s="100">
        <v>0</v>
      </c>
      <c r="T67" s="100">
        <v>1</v>
      </c>
      <c r="U67" s="100">
        <v>0</v>
      </c>
      <c r="V67" s="100">
        <v>0</v>
      </c>
      <c r="W67" s="100">
        <v>1</v>
      </c>
      <c r="X67" s="100">
        <v>0</v>
      </c>
      <c r="Y67" s="100">
        <v>0</v>
      </c>
      <c r="Z67" s="100">
        <v>0</v>
      </c>
      <c r="AA67" s="100">
        <v>1</v>
      </c>
      <c r="AB67" s="100">
        <v>0</v>
      </c>
      <c r="AC67" s="100">
        <v>1</v>
      </c>
      <c r="AD67" s="100">
        <v>0</v>
      </c>
      <c r="AE67" s="100">
        <v>0</v>
      </c>
      <c r="AF67" s="100">
        <v>1</v>
      </c>
      <c r="AG67" s="100">
        <v>0</v>
      </c>
      <c r="AH67" s="100">
        <v>0</v>
      </c>
      <c r="AI67" s="100">
        <v>1</v>
      </c>
      <c r="AJ67" s="100">
        <v>0</v>
      </c>
      <c r="AK67" s="100">
        <v>0</v>
      </c>
      <c r="AL67" s="100">
        <v>0</v>
      </c>
      <c r="AM67" s="100">
        <v>0</v>
      </c>
      <c r="AN67" s="100">
        <v>1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1</v>
      </c>
      <c r="BR67" s="100">
        <v>0</v>
      </c>
      <c r="BS67" s="100">
        <v>0</v>
      </c>
      <c r="BT67" s="100">
        <v>0</v>
      </c>
      <c r="BU67" s="100">
        <v>1</v>
      </c>
      <c r="BV67" s="100">
        <v>0</v>
      </c>
      <c r="BW67" s="100">
        <v>0</v>
      </c>
      <c r="BX67" s="100">
        <v>0</v>
      </c>
      <c r="BY67" s="100">
        <v>0</v>
      </c>
      <c r="BZ67" s="100">
        <v>0</v>
      </c>
      <c r="CA67" s="100">
        <v>0</v>
      </c>
      <c r="CB67" s="100" t="s">
        <v>2090</v>
      </c>
      <c r="CC67" s="100">
        <v>0</v>
      </c>
      <c r="CD67" s="100">
        <v>0</v>
      </c>
      <c r="CE67" s="100">
        <v>0</v>
      </c>
      <c r="CF67" s="100">
        <v>0</v>
      </c>
      <c r="CG67" s="103">
        <v>0</v>
      </c>
      <c r="CH67" s="103">
        <v>0</v>
      </c>
      <c r="CI67" s="103">
        <v>10155.98875</v>
      </c>
      <c r="CJ67" s="103">
        <v>0</v>
      </c>
      <c r="CK67" s="103">
        <f t="shared" si="4"/>
        <v>0</v>
      </c>
      <c r="CL67" s="103">
        <v>4011.2</v>
      </c>
      <c r="CM67" s="103">
        <v>447190.5</v>
      </c>
      <c r="CN67" s="104">
        <v>8.9697790986168081E-3</v>
      </c>
      <c r="CO67" s="103">
        <v>0</v>
      </c>
      <c r="CP67" s="103">
        <v>0</v>
      </c>
      <c r="CQ67" s="103">
        <v>0</v>
      </c>
      <c r="CR67" s="103">
        <v>0</v>
      </c>
      <c r="CS67" s="103">
        <f t="shared" si="5"/>
        <v>0</v>
      </c>
      <c r="CT67" s="103">
        <v>0</v>
      </c>
      <c r="CU67" s="103">
        <v>339600.6</v>
      </c>
      <c r="CV67" s="104">
        <v>0</v>
      </c>
      <c r="CW67" s="103">
        <v>112179.55792000001</v>
      </c>
      <c r="CX67" s="103">
        <v>11.42</v>
      </c>
      <c r="CY67" s="103">
        <v>1234929.99131</v>
      </c>
      <c r="CZ67" s="103">
        <v>15.766153846153847</v>
      </c>
      <c r="DA67" s="103">
        <f t="shared" si="6"/>
        <v>180.04947692307692</v>
      </c>
      <c r="DB67" s="103">
        <v>108531.5</v>
      </c>
      <c r="DC67" s="103">
        <v>667864.5</v>
      </c>
      <c r="DD67" s="104">
        <v>0.16250526865853776</v>
      </c>
      <c r="DE67" s="103">
        <v>0</v>
      </c>
      <c r="DF67" s="103">
        <v>0</v>
      </c>
      <c r="DG67" s="103">
        <v>0</v>
      </c>
      <c r="DH67" s="103">
        <v>0</v>
      </c>
      <c r="DI67" s="103">
        <f t="shared" si="7"/>
        <v>0</v>
      </c>
      <c r="DJ67" s="103">
        <v>417.9</v>
      </c>
      <c r="DK67" s="103">
        <v>322733.7</v>
      </c>
      <c r="DL67" s="104">
        <v>1.2948756203644055E-3</v>
      </c>
    </row>
    <row r="68" spans="1:116" s="15" customFormat="1" ht="174.95" customHeight="1" x14ac:dyDescent="0.25">
      <c r="A68" s="100" t="s">
        <v>153</v>
      </c>
      <c r="B68" s="100" t="s">
        <v>2253</v>
      </c>
      <c r="C68" s="100" t="s">
        <v>87</v>
      </c>
      <c r="D68" s="101" t="str">
        <f>"Chemistry 203"</f>
        <v>Chemistry 203</v>
      </c>
      <c r="E68" s="102" t="s">
        <v>2254</v>
      </c>
      <c r="F68" s="100">
        <v>7</v>
      </c>
      <c r="G68" s="100">
        <v>0</v>
      </c>
      <c r="H68" s="100">
        <v>0</v>
      </c>
      <c r="I68" s="100">
        <v>12</v>
      </c>
      <c r="J68" s="100">
        <v>5</v>
      </c>
      <c r="K68" s="100">
        <v>4</v>
      </c>
      <c r="L68" s="100">
        <v>4</v>
      </c>
      <c r="M68" s="100">
        <v>2</v>
      </c>
      <c r="N68" s="100">
        <v>3</v>
      </c>
      <c r="O68" s="100">
        <v>1</v>
      </c>
      <c r="P68" s="100">
        <v>2.2000000000000002</v>
      </c>
      <c r="Q68" s="100">
        <v>54.46</v>
      </c>
      <c r="R68" s="100">
        <v>1</v>
      </c>
      <c r="S68" s="100">
        <v>0</v>
      </c>
      <c r="T68" s="100">
        <v>1</v>
      </c>
      <c r="U68" s="100">
        <v>0</v>
      </c>
      <c r="V68" s="100">
        <v>1</v>
      </c>
      <c r="W68" s="100">
        <v>1</v>
      </c>
      <c r="X68" s="100">
        <v>0</v>
      </c>
      <c r="Y68" s="100">
        <v>0</v>
      </c>
      <c r="Z68" s="100">
        <v>1</v>
      </c>
      <c r="AA68" s="100">
        <v>0</v>
      </c>
      <c r="AB68" s="100">
        <v>0</v>
      </c>
      <c r="AC68" s="100">
        <v>1</v>
      </c>
      <c r="AD68" s="100">
        <v>0</v>
      </c>
      <c r="AE68" s="100">
        <v>0</v>
      </c>
      <c r="AF68" s="100">
        <v>1</v>
      </c>
      <c r="AG68" s="100">
        <v>0</v>
      </c>
      <c r="AH68" s="100">
        <v>0</v>
      </c>
      <c r="AI68" s="100">
        <v>0</v>
      </c>
      <c r="AJ68" s="100">
        <v>1</v>
      </c>
      <c r="AK68" s="100">
        <v>1</v>
      </c>
      <c r="AL68" s="100">
        <v>1</v>
      </c>
      <c r="AM68" s="100">
        <v>0</v>
      </c>
      <c r="AN68" s="100">
        <v>1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1</v>
      </c>
      <c r="BS68" s="100">
        <v>0</v>
      </c>
      <c r="BT68" s="100">
        <v>1</v>
      </c>
      <c r="BU68" s="100">
        <v>0</v>
      </c>
      <c r="BV68" s="100">
        <v>0</v>
      </c>
      <c r="BW68" s="100">
        <v>0</v>
      </c>
      <c r="BX68" s="100">
        <v>0</v>
      </c>
      <c r="BY68" s="100">
        <v>0</v>
      </c>
      <c r="BZ68" s="100">
        <v>0</v>
      </c>
      <c r="CA68" s="100">
        <v>0</v>
      </c>
      <c r="CB68" s="100" t="s">
        <v>2090</v>
      </c>
      <c r="CC68" s="100">
        <v>0</v>
      </c>
      <c r="CD68" s="100">
        <v>0</v>
      </c>
      <c r="CE68" s="100">
        <v>0</v>
      </c>
      <c r="CF68" s="100">
        <v>0</v>
      </c>
      <c r="CG68" s="103">
        <v>56690.339569999996</v>
      </c>
      <c r="CH68" s="103">
        <v>7.31</v>
      </c>
      <c r="CI68" s="103">
        <v>1817488.47324</v>
      </c>
      <c r="CJ68" s="103">
        <v>26.72</v>
      </c>
      <c r="CK68" s="103">
        <f t="shared" si="4"/>
        <v>195.32319999999999</v>
      </c>
      <c r="CL68" s="103">
        <v>132146.29999999999</v>
      </c>
      <c r="CM68" s="103">
        <v>462042.8</v>
      </c>
      <c r="CN68" s="104">
        <v>0.28600445672998259</v>
      </c>
      <c r="CO68" s="103">
        <v>0</v>
      </c>
      <c r="CP68" s="103">
        <v>0</v>
      </c>
      <c r="CQ68" s="103">
        <v>7693.3514999999998</v>
      </c>
      <c r="CR68" s="103">
        <v>0</v>
      </c>
      <c r="CS68" s="103">
        <f t="shared" si="5"/>
        <v>0</v>
      </c>
      <c r="CT68" s="103">
        <v>65039</v>
      </c>
      <c r="CU68" s="103">
        <v>779437.2</v>
      </c>
      <c r="CV68" s="104">
        <v>8.3443541057573345E-2</v>
      </c>
      <c r="CW68" s="103">
        <v>4120.85149</v>
      </c>
      <c r="CX68" s="103">
        <v>0.46</v>
      </c>
      <c r="CY68" s="103">
        <v>80823.236640000003</v>
      </c>
      <c r="CZ68" s="103">
        <v>1.3467619159152124</v>
      </c>
      <c r="DA68" s="103">
        <f t="shared" si="6"/>
        <v>0.61951048132099773</v>
      </c>
      <c r="DB68" s="103">
        <v>21492.6</v>
      </c>
      <c r="DC68" s="103">
        <v>648550.9</v>
      </c>
      <c r="DD68" s="104">
        <v>3.3139418972358219E-2</v>
      </c>
      <c r="DE68" s="103">
        <v>0</v>
      </c>
      <c r="DF68" s="103">
        <v>0</v>
      </c>
      <c r="DG68" s="103">
        <v>0</v>
      </c>
      <c r="DH68" s="103">
        <v>0</v>
      </c>
      <c r="DI68" s="103">
        <f t="shared" si="7"/>
        <v>0</v>
      </c>
      <c r="DJ68" s="103">
        <v>20251.900000000001</v>
      </c>
      <c r="DK68" s="103">
        <v>731534.5</v>
      </c>
      <c r="DL68" s="104">
        <v>2.7684135197998182E-2</v>
      </c>
    </row>
    <row r="69" spans="1:116" s="15" customFormat="1" ht="265.7" customHeight="1" x14ac:dyDescent="0.25">
      <c r="A69" s="100" t="s">
        <v>154</v>
      </c>
      <c r="B69" s="100" t="s">
        <v>2255</v>
      </c>
      <c r="C69" s="100" t="s">
        <v>87</v>
      </c>
      <c r="D69" s="101" t="str">
        <f>"Chemistry 340"</f>
        <v>Chemistry 340</v>
      </c>
      <c r="E69" s="102" t="s">
        <v>2256</v>
      </c>
      <c r="F69" s="100">
        <v>8</v>
      </c>
      <c r="G69" s="100">
        <v>2</v>
      </c>
      <c r="H69" s="100">
        <v>0.25</v>
      </c>
      <c r="I69" s="100">
        <v>12</v>
      </c>
      <c r="J69" s="100">
        <v>4</v>
      </c>
      <c r="K69" s="100">
        <v>3</v>
      </c>
      <c r="L69" s="100">
        <v>1</v>
      </c>
      <c r="M69" s="100">
        <v>1</v>
      </c>
      <c r="N69" s="100">
        <v>3</v>
      </c>
      <c r="O69" s="100">
        <v>1</v>
      </c>
      <c r="P69" s="100">
        <v>1.35</v>
      </c>
      <c r="Q69" s="100">
        <v>50.19</v>
      </c>
      <c r="R69" s="100">
        <v>3</v>
      </c>
      <c r="S69" s="100">
        <v>0</v>
      </c>
      <c r="T69" s="100">
        <v>1</v>
      </c>
      <c r="U69" s="100">
        <v>0</v>
      </c>
      <c r="V69" s="100">
        <v>0</v>
      </c>
      <c r="W69" s="100">
        <v>0</v>
      </c>
      <c r="X69" s="100">
        <v>1</v>
      </c>
      <c r="Y69" s="100">
        <v>0</v>
      </c>
      <c r="Z69" s="100">
        <v>1</v>
      </c>
      <c r="AA69" s="100">
        <v>0</v>
      </c>
      <c r="AB69" s="100">
        <v>0</v>
      </c>
      <c r="AC69" s="100">
        <v>1</v>
      </c>
      <c r="AD69" s="100">
        <v>0</v>
      </c>
      <c r="AE69" s="100">
        <v>1</v>
      </c>
      <c r="AF69" s="100">
        <v>0</v>
      </c>
      <c r="AG69" s="100">
        <v>0</v>
      </c>
      <c r="AH69" s="100">
        <v>0</v>
      </c>
      <c r="AI69" s="100">
        <v>0</v>
      </c>
      <c r="AJ69" s="100">
        <v>1</v>
      </c>
      <c r="AK69" s="100">
        <v>0</v>
      </c>
      <c r="AL69" s="100">
        <v>0</v>
      </c>
      <c r="AM69" s="100">
        <v>0</v>
      </c>
      <c r="AN69" s="100">
        <v>0</v>
      </c>
      <c r="AO69" s="100">
        <v>1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1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1</v>
      </c>
      <c r="BK69" s="100">
        <v>0</v>
      </c>
      <c r="BL69" s="100">
        <v>0</v>
      </c>
      <c r="BM69" s="100">
        <v>0</v>
      </c>
      <c r="BN69" s="100">
        <v>0</v>
      </c>
      <c r="BO69" s="100">
        <v>1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0">
        <v>0</v>
      </c>
      <c r="BY69" s="100">
        <v>0</v>
      </c>
      <c r="BZ69" s="100">
        <v>0</v>
      </c>
      <c r="CA69" s="100">
        <v>0</v>
      </c>
      <c r="CB69" s="100" t="s">
        <v>2090</v>
      </c>
      <c r="CC69" s="100">
        <v>0</v>
      </c>
      <c r="CD69" s="100">
        <v>0</v>
      </c>
      <c r="CE69" s="100">
        <v>0</v>
      </c>
      <c r="CF69" s="100">
        <v>0</v>
      </c>
      <c r="CG69" s="103">
        <v>208904.46671000001</v>
      </c>
      <c r="CH69" s="103">
        <v>26.25</v>
      </c>
      <c r="CI69" s="103">
        <v>2547673.05724</v>
      </c>
      <c r="CJ69" s="103">
        <v>22.69</v>
      </c>
      <c r="CK69" s="103">
        <f t="shared" si="4"/>
        <v>595.61250000000007</v>
      </c>
      <c r="CL69" s="103">
        <v>255208.9</v>
      </c>
      <c r="CM69" s="103">
        <v>335816.7</v>
      </c>
      <c r="CN69" s="104">
        <v>0.7599648856057486</v>
      </c>
      <c r="CO69" s="103">
        <v>193843.27640999999</v>
      </c>
      <c r="CP69" s="103">
        <v>20.059999999999999</v>
      </c>
      <c r="CQ69" s="103">
        <v>1888022.61094</v>
      </c>
      <c r="CR69" s="103">
        <v>15.61</v>
      </c>
      <c r="CS69" s="103">
        <f t="shared" si="5"/>
        <v>313.13659999999999</v>
      </c>
      <c r="CT69" s="103">
        <v>58467.9</v>
      </c>
      <c r="CU69" s="103">
        <v>598051.5</v>
      </c>
      <c r="CV69" s="104">
        <v>9.7763988552825309E-2</v>
      </c>
      <c r="CW69" s="103">
        <v>0</v>
      </c>
      <c r="CX69" s="103">
        <v>0</v>
      </c>
      <c r="CY69" s="103">
        <v>109193.38963999999</v>
      </c>
      <c r="CZ69" s="103">
        <v>1.389720857793219</v>
      </c>
      <c r="DA69" s="103">
        <f t="shared" si="6"/>
        <v>0</v>
      </c>
      <c r="DB69" s="103">
        <v>7058.4</v>
      </c>
      <c r="DC69" s="103">
        <v>211994.3</v>
      </c>
      <c r="DD69" s="104">
        <v>3.3295234824709911E-2</v>
      </c>
      <c r="DE69" s="103">
        <v>61994.636780000001</v>
      </c>
      <c r="DF69" s="103">
        <v>5.89</v>
      </c>
      <c r="DG69" s="103">
        <v>1048811.56773</v>
      </c>
      <c r="DH69" s="103">
        <v>7.14</v>
      </c>
      <c r="DI69" s="103">
        <f t="shared" si="7"/>
        <v>42.054599999999994</v>
      </c>
      <c r="DJ69" s="103">
        <v>22785.1</v>
      </c>
      <c r="DK69" s="103">
        <v>635659.19999999995</v>
      </c>
      <c r="DL69" s="104">
        <v>3.5844836352561249E-2</v>
      </c>
    </row>
    <row r="70" spans="1:116" s="15" customFormat="1" ht="186.2" customHeight="1" x14ac:dyDescent="0.25">
      <c r="A70" s="100" t="s">
        <v>155</v>
      </c>
      <c r="B70" s="100" t="s">
        <v>2257</v>
      </c>
      <c r="C70" s="100" t="s">
        <v>87</v>
      </c>
      <c r="D70" s="101" t="str">
        <f>"Chemistry 224"</f>
        <v>Chemistry 224</v>
      </c>
      <c r="E70" s="102" t="s">
        <v>2258</v>
      </c>
      <c r="F70" s="100">
        <v>7</v>
      </c>
      <c r="G70" s="100">
        <v>1</v>
      </c>
      <c r="H70" s="100">
        <v>0.14000000000000001</v>
      </c>
      <c r="I70" s="100">
        <v>12</v>
      </c>
      <c r="J70" s="100">
        <v>5</v>
      </c>
      <c r="K70" s="100">
        <v>4</v>
      </c>
      <c r="L70" s="100">
        <v>1</v>
      </c>
      <c r="M70" s="100">
        <v>1</v>
      </c>
      <c r="N70" s="100">
        <v>4</v>
      </c>
      <c r="O70" s="100">
        <v>1</v>
      </c>
      <c r="P70" s="100">
        <v>1.83</v>
      </c>
      <c r="Q70" s="100">
        <v>59.42</v>
      </c>
      <c r="R70" s="100">
        <v>2</v>
      </c>
      <c r="S70" s="100">
        <v>0</v>
      </c>
      <c r="T70" s="100">
        <v>1</v>
      </c>
      <c r="U70" s="100">
        <v>0</v>
      </c>
      <c r="V70" s="100">
        <v>0</v>
      </c>
      <c r="W70" s="100">
        <v>0</v>
      </c>
      <c r="X70" s="100">
        <v>1</v>
      </c>
      <c r="Y70" s="100">
        <v>0</v>
      </c>
      <c r="Z70" s="100">
        <v>1</v>
      </c>
      <c r="AA70" s="100">
        <v>0</v>
      </c>
      <c r="AB70" s="100">
        <v>1</v>
      </c>
      <c r="AC70" s="100">
        <v>0</v>
      </c>
      <c r="AD70" s="100">
        <v>0</v>
      </c>
      <c r="AE70" s="100">
        <v>1</v>
      </c>
      <c r="AF70" s="100">
        <v>0</v>
      </c>
      <c r="AG70" s="100">
        <v>0</v>
      </c>
      <c r="AH70" s="100">
        <v>0</v>
      </c>
      <c r="AI70" s="100">
        <v>0</v>
      </c>
      <c r="AJ70" s="100">
        <v>1</v>
      </c>
      <c r="AK70" s="100">
        <v>0</v>
      </c>
      <c r="AL70" s="100">
        <v>0</v>
      </c>
      <c r="AM70" s="100">
        <v>0</v>
      </c>
      <c r="AN70" s="100">
        <v>0</v>
      </c>
      <c r="AO70" s="100">
        <v>1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1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1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1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0">
        <v>0</v>
      </c>
      <c r="BY70" s="100">
        <v>0</v>
      </c>
      <c r="BZ70" s="100">
        <v>0</v>
      </c>
      <c r="CA70" s="100">
        <v>0</v>
      </c>
      <c r="CB70" s="100" t="s">
        <v>2090</v>
      </c>
      <c r="CC70" s="100">
        <v>0</v>
      </c>
      <c r="CD70" s="100">
        <v>0</v>
      </c>
      <c r="CE70" s="100">
        <v>0</v>
      </c>
      <c r="CF70" s="100">
        <v>0</v>
      </c>
      <c r="CG70" s="103">
        <v>0</v>
      </c>
      <c r="CH70" s="103">
        <v>0</v>
      </c>
      <c r="CI70" s="103">
        <v>259330.57905999999</v>
      </c>
      <c r="CJ70" s="103">
        <v>3.7800000000000002</v>
      </c>
      <c r="CK70" s="103">
        <f t="shared" si="4"/>
        <v>0</v>
      </c>
      <c r="CL70" s="103">
        <v>6208.8</v>
      </c>
      <c r="CM70" s="103">
        <v>303589.90000000002</v>
      </c>
      <c r="CN70" s="104">
        <v>2.0451273247232532E-2</v>
      </c>
      <c r="CO70" s="103">
        <v>0</v>
      </c>
      <c r="CP70" s="103">
        <v>0</v>
      </c>
      <c r="CQ70" s="103">
        <v>46322.621789999997</v>
      </c>
      <c r="CR70" s="103">
        <v>0</v>
      </c>
      <c r="CS70" s="103">
        <f t="shared" si="5"/>
        <v>0</v>
      </c>
      <c r="CT70" s="103">
        <v>6455</v>
      </c>
      <c r="CU70" s="103">
        <v>479451.3</v>
      </c>
      <c r="CV70" s="104">
        <v>1.346330690937745E-2</v>
      </c>
      <c r="CW70" s="103">
        <v>8334.1120100000007</v>
      </c>
      <c r="CX70" s="103">
        <v>1.58</v>
      </c>
      <c r="CY70" s="103">
        <v>49742.785279999996</v>
      </c>
      <c r="CZ70" s="103">
        <v>1.7777777777777777</v>
      </c>
      <c r="DA70" s="103">
        <f t="shared" si="6"/>
        <v>2.8088888888888888</v>
      </c>
      <c r="DB70" s="103">
        <v>5612.2</v>
      </c>
      <c r="DC70" s="103">
        <v>88081.5</v>
      </c>
      <c r="DD70" s="104">
        <v>6.3715990304433964E-2</v>
      </c>
      <c r="DE70" s="103">
        <v>0</v>
      </c>
      <c r="DF70" s="103">
        <v>0</v>
      </c>
      <c r="DG70" s="103">
        <v>31747.271990000001</v>
      </c>
      <c r="DH70" s="103">
        <v>0</v>
      </c>
      <c r="DI70" s="103">
        <f t="shared" si="7"/>
        <v>0</v>
      </c>
      <c r="DJ70" s="103">
        <v>3362.4</v>
      </c>
      <c r="DK70" s="103">
        <v>473394.8</v>
      </c>
      <c r="DL70" s="104">
        <v>7.1027396160667586E-3</v>
      </c>
    </row>
    <row r="71" spans="1:116" s="15" customFormat="1" ht="228.2" customHeight="1" x14ac:dyDescent="0.25">
      <c r="A71" s="100" t="s">
        <v>156</v>
      </c>
      <c r="B71" s="100" t="s">
        <v>2259</v>
      </c>
      <c r="C71" s="100" t="s">
        <v>87</v>
      </c>
      <c r="D71" s="101" t="str">
        <f>"Chemistry 372"</f>
        <v>Chemistry 372</v>
      </c>
      <c r="E71" s="102" t="s">
        <v>2260</v>
      </c>
      <c r="F71" s="100">
        <v>6</v>
      </c>
      <c r="G71" s="100">
        <v>1</v>
      </c>
      <c r="H71" s="100">
        <v>0.17</v>
      </c>
      <c r="I71" s="100">
        <v>12</v>
      </c>
      <c r="J71" s="100">
        <v>6</v>
      </c>
      <c r="K71" s="100">
        <v>5</v>
      </c>
      <c r="L71" s="100">
        <v>3</v>
      </c>
      <c r="M71" s="100">
        <v>1</v>
      </c>
      <c r="N71" s="100">
        <v>5</v>
      </c>
      <c r="O71" s="100">
        <v>2</v>
      </c>
      <c r="P71" s="100">
        <v>0.88</v>
      </c>
      <c r="Q71" s="100">
        <v>75.11</v>
      </c>
      <c r="R71" s="100">
        <v>3</v>
      </c>
      <c r="S71" s="100">
        <v>0</v>
      </c>
      <c r="T71" s="100">
        <v>1</v>
      </c>
      <c r="U71" s="100">
        <v>0</v>
      </c>
      <c r="V71" s="100">
        <v>0</v>
      </c>
      <c r="W71" s="100">
        <v>0</v>
      </c>
      <c r="X71" s="100">
        <v>0</v>
      </c>
      <c r="Y71" s="100">
        <v>1</v>
      </c>
      <c r="Z71" s="100">
        <v>0</v>
      </c>
      <c r="AA71" s="100">
        <v>0</v>
      </c>
      <c r="AB71" s="100">
        <v>1</v>
      </c>
      <c r="AC71" s="100">
        <v>0</v>
      </c>
      <c r="AD71" s="100">
        <v>0</v>
      </c>
      <c r="AE71" s="100">
        <v>1</v>
      </c>
      <c r="AF71" s="100">
        <v>0</v>
      </c>
      <c r="AG71" s="100">
        <v>0</v>
      </c>
      <c r="AH71" s="100">
        <v>0</v>
      </c>
      <c r="AI71" s="100">
        <v>0</v>
      </c>
      <c r="AJ71" s="100">
        <v>1</v>
      </c>
      <c r="AK71" s="100">
        <v>0</v>
      </c>
      <c r="AL71" s="100">
        <v>0</v>
      </c>
      <c r="AM71" s="100">
        <v>0</v>
      </c>
      <c r="AN71" s="100">
        <v>0</v>
      </c>
      <c r="AO71" s="100">
        <v>1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1</v>
      </c>
      <c r="AV71" s="100">
        <v>0</v>
      </c>
      <c r="AW71" s="100">
        <v>1</v>
      </c>
      <c r="AX71" s="100">
        <v>0</v>
      </c>
      <c r="AY71" s="100">
        <v>0</v>
      </c>
      <c r="AZ71" s="100">
        <v>0</v>
      </c>
      <c r="BA71" s="100">
        <v>0</v>
      </c>
      <c r="BB71" s="100">
        <v>0</v>
      </c>
      <c r="BC71" s="100">
        <v>0</v>
      </c>
      <c r="BD71" s="100">
        <v>0</v>
      </c>
      <c r="BE71" s="100">
        <v>0</v>
      </c>
      <c r="BF71" s="100">
        <v>0</v>
      </c>
      <c r="BG71" s="100">
        <v>0</v>
      </c>
      <c r="BH71" s="100">
        <v>0</v>
      </c>
      <c r="BI71" s="100">
        <v>0</v>
      </c>
      <c r="BJ71" s="100">
        <v>2</v>
      </c>
      <c r="BK71" s="100">
        <v>0</v>
      </c>
      <c r="BL71" s="100">
        <v>0</v>
      </c>
      <c r="BM71" s="100">
        <v>1</v>
      </c>
      <c r="BN71" s="100">
        <v>0</v>
      </c>
      <c r="BO71" s="100">
        <v>1</v>
      </c>
      <c r="BP71" s="100">
        <v>0</v>
      </c>
      <c r="BQ71" s="100">
        <v>0</v>
      </c>
      <c r="BR71" s="100">
        <v>0</v>
      </c>
      <c r="BS71" s="100">
        <v>0</v>
      </c>
      <c r="BT71" s="100">
        <v>0</v>
      </c>
      <c r="BU71" s="100">
        <v>0</v>
      </c>
      <c r="BV71" s="100">
        <v>0</v>
      </c>
      <c r="BW71" s="100">
        <v>0</v>
      </c>
      <c r="BX71" s="100">
        <v>0</v>
      </c>
      <c r="BY71" s="100">
        <v>0</v>
      </c>
      <c r="BZ71" s="100">
        <v>0</v>
      </c>
      <c r="CA71" s="100">
        <v>0</v>
      </c>
      <c r="CB71" s="100" t="s">
        <v>2090</v>
      </c>
      <c r="CC71" s="100">
        <v>0</v>
      </c>
      <c r="CD71" s="100">
        <v>0</v>
      </c>
      <c r="CE71" s="100">
        <v>0</v>
      </c>
      <c r="CF71" s="100">
        <v>0</v>
      </c>
      <c r="CG71" s="103">
        <v>200664.56026999999</v>
      </c>
      <c r="CH71" s="103">
        <v>39.14</v>
      </c>
      <c r="CI71" s="103">
        <v>2043612.7203299999</v>
      </c>
      <c r="CJ71" s="103">
        <v>26.08</v>
      </c>
      <c r="CK71" s="103">
        <f t="shared" si="4"/>
        <v>1020.7711999999999</v>
      </c>
      <c r="CL71" s="103">
        <v>455701.4</v>
      </c>
      <c r="CM71" s="103">
        <v>539899.9</v>
      </c>
      <c r="CN71" s="104">
        <v>0.84404794296127861</v>
      </c>
      <c r="CO71" s="103">
        <v>12278.9697</v>
      </c>
      <c r="CP71" s="103">
        <v>2.79</v>
      </c>
      <c r="CQ71" s="103">
        <v>143405.08504999999</v>
      </c>
      <c r="CR71" s="103">
        <v>2.48</v>
      </c>
      <c r="CS71" s="103">
        <f t="shared" si="5"/>
        <v>6.9192</v>
      </c>
      <c r="CT71" s="103">
        <v>10869.1</v>
      </c>
      <c r="CU71" s="103">
        <v>365981.8</v>
      </c>
      <c r="CV71" s="104">
        <v>2.9698471344749931E-2</v>
      </c>
      <c r="CW71" s="103">
        <v>2818.2561700000001</v>
      </c>
      <c r="CX71" s="103">
        <v>1.72</v>
      </c>
      <c r="CY71" s="103">
        <v>81126.104819999993</v>
      </c>
      <c r="CZ71" s="103">
        <v>3.8937654737789784</v>
      </c>
      <c r="DA71" s="103">
        <f t="shared" si="6"/>
        <v>6.6972766148998426</v>
      </c>
      <c r="DB71" s="103">
        <v>34273.9</v>
      </c>
      <c r="DC71" s="103">
        <v>927692.80000000005</v>
      </c>
      <c r="DD71" s="104">
        <v>3.6945312068822782E-2</v>
      </c>
      <c r="DE71" s="103">
        <v>40389.081200000001</v>
      </c>
      <c r="DF71" s="103">
        <v>6.08</v>
      </c>
      <c r="DG71" s="103">
        <v>56398.914109999998</v>
      </c>
      <c r="DH71" s="103">
        <v>6.39</v>
      </c>
      <c r="DI71" s="103">
        <f t="shared" si="7"/>
        <v>38.851199999999999</v>
      </c>
      <c r="DJ71" s="103">
        <v>6821.7</v>
      </c>
      <c r="DK71" s="103">
        <v>461786.1</v>
      </c>
      <c r="DL71" s="104">
        <v>1.4772423855980075E-2</v>
      </c>
    </row>
    <row r="72" spans="1:116" s="15" customFormat="1" ht="195.95" customHeight="1" x14ac:dyDescent="0.25">
      <c r="A72" s="100" t="s">
        <v>157</v>
      </c>
      <c r="B72" s="100" t="s">
        <v>2261</v>
      </c>
      <c r="C72" s="100" t="s">
        <v>87</v>
      </c>
      <c r="D72" s="101" t="str">
        <f>"Chemistry 292"</f>
        <v>Chemistry 292</v>
      </c>
      <c r="E72" s="102" t="s">
        <v>2262</v>
      </c>
      <c r="F72" s="100">
        <v>6</v>
      </c>
      <c r="G72" s="100">
        <v>1</v>
      </c>
      <c r="H72" s="100">
        <v>0.17</v>
      </c>
      <c r="I72" s="100">
        <v>12</v>
      </c>
      <c r="J72" s="100">
        <v>6</v>
      </c>
      <c r="K72" s="100">
        <v>5</v>
      </c>
      <c r="L72" s="100">
        <v>2</v>
      </c>
      <c r="M72" s="100">
        <v>1</v>
      </c>
      <c r="N72" s="100">
        <v>4</v>
      </c>
      <c r="O72" s="100">
        <v>0</v>
      </c>
      <c r="P72" s="100">
        <v>1.53</v>
      </c>
      <c r="Q72" s="100">
        <v>67.94</v>
      </c>
      <c r="R72" s="100">
        <v>2</v>
      </c>
      <c r="S72" s="100">
        <v>0</v>
      </c>
      <c r="T72" s="100">
        <v>1</v>
      </c>
      <c r="U72" s="100">
        <v>0</v>
      </c>
      <c r="V72" s="100">
        <v>0</v>
      </c>
      <c r="W72" s="100">
        <v>0</v>
      </c>
      <c r="X72" s="100">
        <v>0</v>
      </c>
      <c r="Y72" s="100">
        <v>0</v>
      </c>
      <c r="Z72" s="100">
        <v>0</v>
      </c>
      <c r="AA72" s="100">
        <v>1</v>
      </c>
      <c r="AB72" s="100">
        <v>1</v>
      </c>
      <c r="AC72" s="100">
        <v>0</v>
      </c>
      <c r="AD72" s="100">
        <v>0</v>
      </c>
      <c r="AE72" s="100">
        <v>1</v>
      </c>
      <c r="AF72" s="100">
        <v>0</v>
      </c>
      <c r="AG72" s="100">
        <v>0</v>
      </c>
      <c r="AH72" s="100">
        <v>0</v>
      </c>
      <c r="AI72" s="100">
        <v>0</v>
      </c>
      <c r="AJ72" s="100">
        <v>1</v>
      </c>
      <c r="AK72" s="100">
        <v>0</v>
      </c>
      <c r="AL72" s="100">
        <v>0</v>
      </c>
      <c r="AM72" s="100">
        <v>0</v>
      </c>
      <c r="AN72" s="100">
        <v>0</v>
      </c>
      <c r="AO72" s="100">
        <v>1</v>
      </c>
      <c r="AP72" s="100">
        <v>0</v>
      </c>
      <c r="AQ72" s="100">
        <v>0</v>
      </c>
      <c r="AR72" s="100">
        <v>0</v>
      </c>
      <c r="AS72" s="100">
        <v>0</v>
      </c>
      <c r="AT72" s="100">
        <v>0</v>
      </c>
      <c r="AU72" s="100">
        <v>0</v>
      </c>
      <c r="AV72" s="100">
        <v>0</v>
      </c>
      <c r="AW72" s="100">
        <v>0</v>
      </c>
      <c r="AX72" s="100">
        <v>0</v>
      </c>
      <c r="AY72" s="100">
        <v>0</v>
      </c>
      <c r="AZ72" s="100">
        <v>0</v>
      </c>
      <c r="BA72" s="100">
        <v>0</v>
      </c>
      <c r="BB72" s="100">
        <v>0</v>
      </c>
      <c r="BC72" s="100">
        <v>1</v>
      </c>
      <c r="BD72" s="100">
        <v>0</v>
      </c>
      <c r="BE72" s="100">
        <v>0</v>
      </c>
      <c r="BF72" s="100">
        <v>0</v>
      </c>
      <c r="BG72" s="100">
        <v>0</v>
      </c>
      <c r="BH72" s="100">
        <v>0</v>
      </c>
      <c r="BI72" s="100">
        <v>0</v>
      </c>
      <c r="BJ72" s="100">
        <v>1</v>
      </c>
      <c r="BK72" s="100">
        <v>0</v>
      </c>
      <c r="BL72" s="100">
        <v>0</v>
      </c>
      <c r="BM72" s="100">
        <v>0</v>
      </c>
      <c r="BN72" s="100">
        <v>0</v>
      </c>
      <c r="BO72" s="100">
        <v>1</v>
      </c>
      <c r="BP72" s="100">
        <v>0</v>
      </c>
      <c r="BQ72" s="100">
        <v>0</v>
      </c>
      <c r="BR72" s="100">
        <v>0</v>
      </c>
      <c r="BS72" s="100">
        <v>0</v>
      </c>
      <c r="BT72" s="100">
        <v>0</v>
      </c>
      <c r="BU72" s="100">
        <v>0</v>
      </c>
      <c r="BV72" s="100">
        <v>0</v>
      </c>
      <c r="BW72" s="100">
        <v>0</v>
      </c>
      <c r="BX72" s="100">
        <v>0</v>
      </c>
      <c r="BY72" s="100">
        <v>0</v>
      </c>
      <c r="BZ72" s="100">
        <v>0</v>
      </c>
      <c r="CA72" s="100">
        <v>0</v>
      </c>
      <c r="CB72" s="100" t="s">
        <v>2090</v>
      </c>
      <c r="CC72" s="100">
        <v>0</v>
      </c>
      <c r="CD72" s="100">
        <v>0</v>
      </c>
      <c r="CE72" s="100">
        <v>0</v>
      </c>
      <c r="CF72" s="100">
        <v>0</v>
      </c>
      <c r="CG72" s="103">
        <v>48169.726089999996</v>
      </c>
      <c r="CH72" s="103">
        <v>4.72</v>
      </c>
      <c r="CI72" s="103">
        <v>696169.27746999997</v>
      </c>
      <c r="CJ72" s="103">
        <v>11.69</v>
      </c>
      <c r="CK72" s="103">
        <f t="shared" si="4"/>
        <v>55.176799999999993</v>
      </c>
      <c r="CL72" s="103">
        <v>2318.5</v>
      </c>
      <c r="CM72" s="103">
        <v>313129.09999999998</v>
      </c>
      <c r="CN72" s="104">
        <v>7.4042942671249659E-3</v>
      </c>
      <c r="CO72" s="103">
        <v>10228.820900000001</v>
      </c>
      <c r="CP72" s="103">
        <v>0.64</v>
      </c>
      <c r="CQ72" s="103">
        <v>124889.28455</v>
      </c>
      <c r="CR72" s="103">
        <v>0.99</v>
      </c>
      <c r="CS72" s="103">
        <f t="shared" si="5"/>
        <v>0.63360000000000005</v>
      </c>
      <c r="CT72" s="103">
        <v>0</v>
      </c>
      <c r="CU72" s="103">
        <v>306617.09999999998</v>
      </c>
      <c r="CV72" s="104">
        <v>0</v>
      </c>
      <c r="CW72" s="103">
        <v>311781.65882000001</v>
      </c>
      <c r="CX72" s="103">
        <v>37.32</v>
      </c>
      <c r="CY72" s="103">
        <v>1821005.4794699999</v>
      </c>
      <c r="CZ72" s="103">
        <v>27.151051625239003</v>
      </c>
      <c r="DA72" s="103">
        <f t="shared" si="6"/>
        <v>1013.2772466539196</v>
      </c>
      <c r="DB72" s="103">
        <v>9160.9</v>
      </c>
      <c r="DC72" s="103">
        <v>474681.7</v>
      </c>
      <c r="DD72" s="104">
        <v>1.9299037649860948E-2</v>
      </c>
      <c r="DE72" s="103">
        <v>12992.571309999999</v>
      </c>
      <c r="DF72" s="103">
        <v>1.08</v>
      </c>
      <c r="DG72" s="103">
        <v>120708.34903</v>
      </c>
      <c r="DH72" s="103">
        <v>1.02</v>
      </c>
      <c r="DI72" s="103">
        <f t="shared" si="7"/>
        <v>1.1016000000000001</v>
      </c>
      <c r="DJ72" s="103">
        <v>942.2</v>
      </c>
      <c r="DK72" s="103">
        <v>220288.8</v>
      </c>
      <c r="DL72" s="104">
        <v>4.2771125903813545E-3</v>
      </c>
    </row>
    <row r="73" spans="1:116" s="15" customFormat="1" ht="177.95" customHeight="1" x14ac:dyDescent="0.25">
      <c r="A73" s="100" t="s">
        <v>158</v>
      </c>
      <c r="B73" s="100" t="s">
        <v>2263</v>
      </c>
      <c r="C73" s="100" t="s">
        <v>87</v>
      </c>
      <c r="D73" s="101" t="str">
        <f>"Chemistry 253"</f>
        <v>Chemistry 253</v>
      </c>
      <c r="E73" s="102" t="s">
        <v>2264</v>
      </c>
      <c r="F73" s="100">
        <v>11</v>
      </c>
      <c r="G73" s="100">
        <v>0</v>
      </c>
      <c r="H73" s="100">
        <v>0</v>
      </c>
      <c r="I73" s="100">
        <v>13</v>
      </c>
      <c r="J73" s="100">
        <v>2</v>
      </c>
      <c r="K73" s="100">
        <v>1</v>
      </c>
      <c r="L73" s="100">
        <v>1</v>
      </c>
      <c r="M73" s="100">
        <v>2</v>
      </c>
      <c r="N73" s="100">
        <v>1</v>
      </c>
      <c r="O73" s="100">
        <v>0</v>
      </c>
      <c r="P73" s="100">
        <v>3.69</v>
      </c>
      <c r="Q73" s="100">
        <v>12.89</v>
      </c>
      <c r="R73" s="100">
        <v>1</v>
      </c>
      <c r="S73" s="100">
        <v>0</v>
      </c>
      <c r="T73" s="100">
        <v>1</v>
      </c>
      <c r="U73" s="100">
        <v>0</v>
      </c>
      <c r="V73" s="100">
        <v>0</v>
      </c>
      <c r="W73" s="100">
        <v>0</v>
      </c>
      <c r="X73" s="100">
        <v>1</v>
      </c>
      <c r="Y73" s="100">
        <v>0</v>
      </c>
      <c r="Z73" s="100">
        <v>0</v>
      </c>
      <c r="AA73" s="100">
        <v>1</v>
      </c>
      <c r="AB73" s="100">
        <v>0</v>
      </c>
      <c r="AC73" s="100">
        <v>1</v>
      </c>
      <c r="AD73" s="100">
        <v>0</v>
      </c>
      <c r="AE73" s="100">
        <v>0</v>
      </c>
      <c r="AF73" s="100">
        <v>0</v>
      </c>
      <c r="AG73" s="100">
        <v>1</v>
      </c>
      <c r="AH73" s="100">
        <v>1</v>
      </c>
      <c r="AI73" s="100">
        <v>0</v>
      </c>
      <c r="AJ73" s="100">
        <v>0</v>
      </c>
      <c r="AK73" s="100">
        <v>0</v>
      </c>
      <c r="AL73" s="100">
        <v>0</v>
      </c>
      <c r="AM73" s="100">
        <v>0</v>
      </c>
      <c r="AN73" s="100">
        <v>0</v>
      </c>
      <c r="AO73" s="100">
        <v>1</v>
      </c>
      <c r="AP73" s="100">
        <v>0</v>
      </c>
      <c r="AQ73" s="100">
        <v>0</v>
      </c>
      <c r="AR73" s="100">
        <v>0</v>
      </c>
      <c r="AS73" s="100">
        <v>0</v>
      </c>
      <c r="AT73" s="100">
        <v>0</v>
      </c>
      <c r="AU73" s="100">
        <v>0</v>
      </c>
      <c r="AV73" s="100">
        <v>0</v>
      </c>
      <c r="AW73" s="100">
        <v>0</v>
      </c>
      <c r="AX73" s="100">
        <v>0</v>
      </c>
      <c r="AY73" s="100">
        <v>0</v>
      </c>
      <c r="AZ73" s="100">
        <v>0</v>
      </c>
      <c r="BA73" s="100">
        <v>0</v>
      </c>
      <c r="BB73" s="100">
        <v>0</v>
      </c>
      <c r="BC73" s="100">
        <v>0</v>
      </c>
      <c r="BD73" s="100">
        <v>0</v>
      </c>
      <c r="BE73" s="100">
        <v>0</v>
      </c>
      <c r="BF73" s="100">
        <v>0</v>
      </c>
      <c r="BG73" s="100">
        <v>0</v>
      </c>
      <c r="BH73" s="100">
        <v>0</v>
      </c>
      <c r="BI73" s="100">
        <v>0</v>
      </c>
      <c r="BJ73" s="100">
        <v>0</v>
      </c>
      <c r="BK73" s="100">
        <v>0</v>
      </c>
      <c r="BL73" s="100">
        <v>0</v>
      </c>
      <c r="BM73" s="100">
        <v>0</v>
      </c>
      <c r="BN73" s="100">
        <v>0</v>
      </c>
      <c r="BO73" s="100">
        <v>1</v>
      </c>
      <c r="BP73" s="100">
        <v>0</v>
      </c>
      <c r="BQ73" s="100">
        <v>0</v>
      </c>
      <c r="BR73" s="100">
        <v>0</v>
      </c>
      <c r="BS73" s="100">
        <v>0</v>
      </c>
      <c r="BT73" s="100">
        <v>0</v>
      </c>
      <c r="BU73" s="100">
        <v>0</v>
      </c>
      <c r="BV73" s="100">
        <v>0</v>
      </c>
      <c r="BW73" s="100">
        <v>0</v>
      </c>
      <c r="BX73" s="100">
        <v>0</v>
      </c>
      <c r="BY73" s="100">
        <v>0</v>
      </c>
      <c r="BZ73" s="100">
        <v>0</v>
      </c>
      <c r="CA73" s="100">
        <v>0</v>
      </c>
      <c r="CB73" s="100" t="s">
        <v>2090</v>
      </c>
      <c r="CC73" s="100">
        <v>0</v>
      </c>
      <c r="CD73" s="100">
        <v>0</v>
      </c>
      <c r="CE73" s="100">
        <v>0</v>
      </c>
      <c r="CF73" s="100">
        <v>0</v>
      </c>
      <c r="CG73" s="103">
        <v>186130.36803000001</v>
      </c>
      <c r="CH73" s="103">
        <v>14.96</v>
      </c>
      <c r="CI73" s="103">
        <v>3673278.4413200002</v>
      </c>
      <c r="CJ73" s="103">
        <v>28.99</v>
      </c>
      <c r="CK73" s="103">
        <f t="shared" si="4"/>
        <v>433.69040000000001</v>
      </c>
      <c r="CL73" s="103">
        <v>665293.19999999995</v>
      </c>
      <c r="CM73" s="103">
        <v>889271.5</v>
      </c>
      <c r="CN73" s="104">
        <v>0.74813282557689065</v>
      </c>
      <c r="CO73" s="103">
        <v>27155.726630000001</v>
      </c>
      <c r="CP73" s="103">
        <v>1.28</v>
      </c>
      <c r="CQ73" s="103">
        <v>1802553.6595399999</v>
      </c>
      <c r="CR73" s="103">
        <v>8.67</v>
      </c>
      <c r="CS73" s="103">
        <f t="shared" si="5"/>
        <v>11.0976</v>
      </c>
      <c r="CT73" s="103">
        <v>116150</v>
      </c>
      <c r="CU73" s="103">
        <v>637024.80000000005</v>
      </c>
      <c r="CV73" s="104">
        <v>0.18233199084242874</v>
      </c>
      <c r="CW73" s="103">
        <v>569824.25959000003</v>
      </c>
      <c r="CX73" s="103">
        <v>62.74</v>
      </c>
      <c r="CY73" s="103">
        <v>4204090.9392900001</v>
      </c>
      <c r="CZ73" s="103">
        <v>105.00205002050021</v>
      </c>
      <c r="DA73" s="103">
        <f t="shared" si="6"/>
        <v>6587.828618286183</v>
      </c>
      <c r="DB73" s="103">
        <v>827637.8</v>
      </c>
      <c r="DC73" s="103">
        <v>835773.6</v>
      </c>
      <c r="DD73" s="104">
        <v>0.99026554559751601</v>
      </c>
      <c r="DE73" s="103">
        <v>31284.692340000001</v>
      </c>
      <c r="DF73" s="103">
        <v>1.67</v>
      </c>
      <c r="DG73" s="103">
        <v>1571206.1837899999</v>
      </c>
      <c r="DH73" s="103">
        <v>8.5500000000000007</v>
      </c>
      <c r="DI73" s="103">
        <f t="shared" si="7"/>
        <v>14.278500000000001</v>
      </c>
      <c r="DJ73" s="103">
        <v>63423.1</v>
      </c>
      <c r="DK73" s="103">
        <v>539309.6</v>
      </c>
      <c r="DL73" s="104">
        <v>0.11760053965291922</v>
      </c>
    </row>
    <row r="74" spans="1:116" s="15" customFormat="1" ht="265.7" customHeight="1" x14ac:dyDescent="0.25">
      <c r="A74" s="100" t="s">
        <v>159</v>
      </c>
      <c r="B74" s="100" t="s">
        <v>2265</v>
      </c>
      <c r="C74" s="100" t="s">
        <v>87</v>
      </c>
      <c r="D74" s="101" t="str">
        <f>"Chemistry 331"</f>
        <v>Chemistry 331</v>
      </c>
      <c r="E74" s="102" t="s">
        <v>2266</v>
      </c>
      <c r="F74" s="100">
        <v>10</v>
      </c>
      <c r="G74" s="100">
        <v>0</v>
      </c>
      <c r="H74" s="100">
        <v>0</v>
      </c>
      <c r="I74" s="100">
        <v>13</v>
      </c>
      <c r="J74" s="100">
        <v>3</v>
      </c>
      <c r="K74" s="100">
        <v>2</v>
      </c>
      <c r="L74" s="100">
        <v>2</v>
      </c>
      <c r="M74" s="100">
        <v>2</v>
      </c>
      <c r="N74" s="100">
        <v>2</v>
      </c>
      <c r="O74" s="100">
        <v>0</v>
      </c>
      <c r="P74" s="100">
        <v>2.27</v>
      </c>
      <c r="Q74" s="100">
        <v>25.78</v>
      </c>
      <c r="R74" s="100">
        <v>1</v>
      </c>
      <c r="S74" s="100">
        <v>0</v>
      </c>
      <c r="T74" s="100">
        <v>1</v>
      </c>
      <c r="U74" s="100">
        <v>0</v>
      </c>
      <c r="V74" s="100">
        <v>0</v>
      </c>
      <c r="W74" s="100">
        <v>1</v>
      </c>
      <c r="X74" s="100">
        <v>0</v>
      </c>
      <c r="Y74" s="100">
        <v>0</v>
      </c>
      <c r="Z74" s="100">
        <v>0</v>
      </c>
      <c r="AA74" s="100">
        <v>1</v>
      </c>
      <c r="AB74" s="100">
        <v>0</v>
      </c>
      <c r="AC74" s="100">
        <v>1</v>
      </c>
      <c r="AD74" s="100">
        <v>0</v>
      </c>
      <c r="AE74" s="100">
        <v>0</v>
      </c>
      <c r="AF74" s="100">
        <v>1</v>
      </c>
      <c r="AG74" s="100">
        <v>0</v>
      </c>
      <c r="AH74" s="100">
        <v>1</v>
      </c>
      <c r="AI74" s="100">
        <v>0</v>
      </c>
      <c r="AJ74" s="100">
        <v>0</v>
      </c>
      <c r="AK74" s="100">
        <v>0</v>
      </c>
      <c r="AL74" s="100">
        <v>0</v>
      </c>
      <c r="AM74" s="100">
        <v>0</v>
      </c>
      <c r="AN74" s="100">
        <v>0</v>
      </c>
      <c r="AO74" s="100">
        <v>1</v>
      </c>
      <c r="AP74" s="100">
        <v>0</v>
      </c>
      <c r="AQ74" s="100">
        <v>0</v>
      </c>
      <c r="AR74" s="100">
        <v>0</v>
      </c>
      <c r="AS74" s="100">
        <v>0</v>
      </c>
      <c r="AT74" s="100">
        <v>0</v>
      </c>
      <c r="AU74" s="100">
        <v>0</v>
      </c>
      <c r="AV74" s="100">
        <v>0</v>
      </c>
      <c r="AW74" s="100">
        <v>0</v>
      </c>
      <c r="AX74" s="100">
        <v>0</v>
      </c>
      <c r="AY74" s="100">
        <v>0</v>
      </c>
      <c r="AZ74" s="100">
        <v>0</v>
      </c>
      <c r="BA74" s="100">
        <v>0</v>
      </c>
      <c r="BB74" s="100">
        <v>0</v>
      </c>
      <c r="BC74" s="100">
        <v>0</v>
      </c>
      <c r="BD74" s="100">
        <v>0</v>
      </c>
      <c r="BE74" s="100">
        <v>0</v>
      </c>
      <c r="BF74" s="100">
        <v>0</v>
      </c>
      <c r="BG74" s="100">
        <v>0</v>
      </c>
      <c r="BH74" s="100">
        <v>0</v>
      </c>
      <c r="BI74" s="100">
        <v>0</v>
      </c>
      <c r="BJ74" s="100">
        <v>0</v>
      </c>
      <c r="BK74" s="100">
        <v>0</v>
      </c>
      <c r="BL74" s="100">
        <v>0</v>
      </c>
      <c r="BM74" s="100">
        <v>0</v>
      </c>
      <c r="BN74" s="100">
        <v>0</v>
      </c>
      <c r="BO74" s="100">
        <v>0</v>
      </c>
      <c r="BP74" s="100">
        <v>1</v>
      </c>
      <c r="BQ74" s="100">
        <v>0</v>
      </c>
      <c r="BR74" s="100">
        <v>0</v>
      </c>
      <c r="BS74" s="100">
        <v>0</v>
      </c>
      <c r="BT74" s="100">
        <v>0</v>
      </c>
      <c r="BU74" s="100">
        <v>0</v>
      </c>
      <c r="BV74" s="100">
        <v>0</v>
      </c>
      <c r="BW74" s="100">
        <v>0</v>
      </c>
      <c r="BX74" s="100">
        <v>0</v>
      </c>
      <c r="BY74" s="100">
        <v>0</v>
      </c>
      <c r="BZ74" s="100">
        <v>0</v>
      </c>
      <c r="CA74" s="100">
        <v>0</v>
      </c>
      <c r="CB74" s="100" t="s">
        <v>2090</v>
      </c>
      <c r="CC74" s="100">
        <v>0</v>
      </c>
      <c r="CD74" s="100">
        <v>0</v>
      </c>
      <c r="CE74" s="100">
        <v>0</v>
      </c>
      <c r="CF74" s="100">
        <v>0</v>
      </c>
      <c r="CG74" s="103">
        <v>679408.79949</v>
      </c>
      <c r="CH74" s="103">
        <v>31.81</v>
      </c>
      <c r="CI74" s="103">
        <v>4376748.3842200004</v>
      </c>
      <c r="CJ74" s="103">
        <v>30.04</v>
      </c>
      <c r="CK74" s="103">
        <f t="shared" si="4"/>
        <v>955.5723999999999</v>
      </c>
      <c r="CL74" s="103">
        <v>701148.4</v>
      </c>
      <c r="CM74" s="103">
        <v>520822.7</v>
      </c>
      <c r="CN74" s="104">
        <v>1.3462324126809373</v>
      </c>
      <c r="CO74" s="103">
        <v>493588.44922000001</v>
      </c>
      <c r="CP74" s="103">
        <v>16.059999999999999</v>
      </c>
      <c r="CQ74" s="103">
        <v>3797516.8635999998</v>
      </c>
      <c r="CR74" s="103">
        <v>18.850000000000001</v>
      </c>
      <c r="CS74" s="103">
        <f t="shared" si="5"/>
        <v>302.73099999999999</v>
      </c>
      <c r="CT74" s="103">
        <v>420558.6</v>
      </c>
      <c r="CU74" s="103">
        <v>515191.1</v>
      </c>
      <c r="CV74" s="104">
        <v>0.81631573216229858</v>
      </c>
      <c r="CW74" s="103">
        <v>1143426.0132899999</v>
      </c>
      <c r="CX74" s="103">
        <v>54.3</v>
      </c>
      <c r="CY74" s="103">
        <v>4416195.9937100001</v>
      </c>
      <c r="CZ74" s="103">
        <v>34.23861354750079</v>
      </c>
      <c r="DA74" s="103">
        <f t="shared" si="6"/>
        <v>1859.1567156292929</v>
      </c>
      <c r="DB74" s="103">
        <v>84717.9</v>
      </c>
      <c r="DC74" s="103">
        <v>210694.3</v>
      </c>
      <c r="DD74" s="104">
        <v>0.4020891879846773</v>
      </c>
      <c r="DE74" s="103">
        <v>504185.70250000001</v>
      </c>
      <c r="DF74" s="103">
        <v>18.71</v>
      </c>
      <c r="DG74" s="103">
        <v>4006140.8350999998</v>
      </c>
      <c r="DH74" s="103">
        <v>18.600000000000001</v>
      </c>
      <c r="DI74" s="103">
        <f t="shared" si="7"/>
        <v>348.00600000000003</v>
      </c>
      <c r="DJ74" s="103">
        <v>669296.9</v>
      </c>
      <c r="DK74" s="103">
        <v>516284.1</v>
      </c>
      <c r="DL74" s="104">
        <v>1.2963732565074153</v>
      </c>
    </row>
    <row r="75" spans="1:116" s="15" customFormat="1" ht="160.69999999999999" customHeight="1" x14ac:dyDescent="0.25">
      <c r="A75" s="100" t="s">
        <v>160</v>
      </c>
      <c r="B75" s="100" t="s">
        <v>2267</v>
      </c>
      <c r="C75" s="100" t="s">
        <v>87</v>
      </c>
      <c r="D75" s="101" t="str">
        <f>"Chemistry 383"</f>
        <v>Chemistry 383</v>
      </c>
      <c r="E75" s="102" t="s">
        <v>2268</v>
      </c>
      <c r="F75" s="100">
        <v>6</v>
      </c>
      <c r="G75" s="100">
        <v>1</v>
      </c>
      <c r="H75" s="100">
        <v>0.17</v>
      </c>
      <c r="I75" s="100">
        <v>11</v>
      </c>
      <c r="J75" s="100">
        <v>5</v>
      </c>
      <c r="K75" s="100">
        <v>4</v>
      </c>
      <c r="L75" s="100">
        <v>1</v>
      </c>
      <c r="M75" s="100">
        <v>1</v>
      </c>
      <c r="N75" s="100">
        <v>3</v>
      </c>
      <c r="O75" s="100">
        <v>0</v>
      </c>
      <c r="P75" s="100">
        <v>1.33</v>
      </c>
      <c r="Q75" s="100">
        <v>47.03</v>
      </c>
      <c r="R75" s="100">
        <v>1</v>
      </c>
      <c r="S75" s="100">
        <v>0</v>
      </c>
      <c r="T75" s="100">
        <v>1</v>
      </c>
      <c r="U75" s="100">
        <v>0</v>
      </c>
      <c r="V75" s="100">
        <v>0</v>
      </c>
      <c r="W75" s="100">
        <v>0</v>
      </c>
      <c r="X75" s="100">
        <v>1</v>
      </c>
      <c r="Y75" s="100">
        <v>0</v>
      </c>
      <c r="Z75" s="100">
        <v>0</v>
      </c>
      <c r="AA75" s="100">
        <v>1</v>
      </c>
      <c r="AB75" s="100">
        <v>0</v>
      </c>
      <c r="AC75" s="100">
        <v>1</v>
      </c>
      <c r="AD75" s="100">
        <v>0</v>
      </c>
      <c r="AE75" s="100">
        <v>1</v>
      </c>
      <c r="AF75" s="100">
        <v>0</v>
      </c>
      <c r="AG75" s="100">
        <v>0</v>
      </c>
      <c r="AH75" s="100">
        <v>0</v>
      </c>
      <c r="AI75" s="100">
        <v>1</v>
      </c>
      <c r="AJ75" s="100">
        <v>0</v>
      </c>
      <c r="AK75" s="100">
        <v>0</v>
      </c>
      <c r="AL75" s="100">
        <v>0</v>
      </c>
      <c r="AM75" s="100">
        <v>0</v>
      </c>
      <c r="AN75" s="100">
        <v>0</v>
      </c>
      <c r="AO75" s="100">
        <v>1</v>
      </c>
      <c r="AP75" s="100">
        <v>0</v>
      </c>
      <c r="AQ75" s="100">
        <v>0</v>
      </c>
      <c r="AR75" s="100">
        <v>0</v>
      </c>
      <c r="AS75" s="100">
        <v>0</v>
      </c>
      <c r="AT75" s="100">
        <v>0</v>
      </c>
      <c r="AU75" s="100">
        <v>0</v>
      </c>
      <c r="AV75" s="100">
        <v>0</v>
      </c>
      <c r="AW75" s="100">
        <v>0</v>
      </c>
      <c r="AX75" s="100">
        <v>0</v>
      </c>
      <c r="AY75" s="100">
        <v>0</v>
      </c>
      <c r="AZ75" s="100">
        <v>0</v>
      </c>
      <c r="BA75" s="100">
        <v>0</v>
      </c>
      <c r="BB75" s="100">
        <v>0</v>
      </c>
      <c r="BC75" s="100">
        <v>0</v>
      </c>
      <c r="BD75" s="100">
        <v>0</v>
      </c>
      <c r="BE75" s="100">
        <v>0</v>
      </c>
      <c r="BF75" s="100">
        <v>0</v>
      </c>
      <c r="BG75" s="100">
        <v>1</v>
      </c>
      <c r="BH75" s="100">
        <v>0</v>
      </c>
      <c r="BI75" s="100">
        <v>0</v>
      </c>
      <c r="BJ75" s="100">
        <v>1</v>
      </c>
      <c r="BK75" s="100">
        <v>0</v>
      </c>
      <c r="BL75" s="100">
        <v>0</v>
      </c>
      <c r="BM75" s="100">
        <v>0</v>
      </c>
      <c r="BN75" s="100">
        <v>0</v>
      </c>
      <c r="BO75" s="100">
        <v>0</v>
      </c>
      <c r="BP75" s="100">
        <v>1</v>
      </c>
      <c r="BQ75" s="100">
        <v>0</v>
      </c>
      <c r="BR75" s="100">
        <v>0</v>
      </c>
      <c r="BS75" s="100">
        <v>0</v>
      </c>
      <c r="BT75" s="100">
        <v>0</v>
      </c>
      <c r="BU75" s="100">
        <v>0</v>
      </c>
      <c r="BV75" s="100">
        <v>0</v>
      </c>
      <c r="BW75" s="100">
        <v>0</v>
      </c>
      <c r="BX75" s="100">
        <v>0</v>
      </c>
      <c r="BY75" s="100">
        <v>0</v>
      </c>
      <c r="BZ75" s="100">
        <v>0</v>
      </c>
      <c r="CA75" s="100">
        <v>0</v>
      </c>
      <c r="CB75" s="100" t="s">
        <v>2090</v>
      </c>
      <c r="CC75" s="100">
        <v>0</v>
      </c>
      <c r="CD75" s="100">
        <v>0</v>
      </c>
      <c r="CE75" s="100">
        <v>0</v>
      </c>
      <c r="CF75" s="100">
        <v>0</v>
      </c>
      <c r="CG75" s="103">
        <v>657201.88116999995</v>
      </c>
      <c r="CH75" s="103">
        <v>46.92</v>
      </c>
      <c r="CI75" s="103">
        <v>2939335.3547499999</v>
      </c>
      <c r="CJ75" s="103">
        <v>45.94</v>
      </c>
      <c r="CK75" s="103">
        <f t="shared" si="4"/>
        <v>2155.5048000000002</v>
      </c>
      <c r="CL75" s="103">
        <v>162464.20000000001</v>
      </c>
      <c r="CM75" s="103">
        <v>951317.4</v>
      </c>
      <c r="CN75" s="104">
        <v>0.17077812305335738</v>
      </c>
      <c r="CO75" s="103">
        <v>980748.23045999999</v>
      </c>
      <c r="CP75" s="103">
        <v>48.2</v>
      </c>
      <c r="CQ75" s="103">
        <v>3512041.1106699998</v>
      </c>
      <c r="CR75" s="103">
        <v>46.82</v>
      </c>
      <c r="CS75" s="103">
        <f t="shared" si="5"/>
        <v>2256.7240000000002</v>
      </c>
      <c r="CT75" s="103">
        <v>128131.2</v>
      </c>
      <c r="CU75" s="103">
        <v>813033.9</v>
      </c>
      <c r="CV75" s="104">
        <v>0.15759638066752196</v>
      </c>
      <c r="CW75" s="103">
        <v>1184690.35338</v>
      </c>
      <c r="CX75" s="103">
        <v>76.73</v>
      </c>
      <c r="CY75" s="103">
        <v>3268288.9360000002</v>
      </c>
      <c r="CZ75" s="103">
        <v>59.287942346993653</v>
      </c>
      <c r="DA75" s="103">
        <f t="shared" si="6"/>
        <v>4549.163816284823</v>
      </c>
      <c r="DB75" s="103">
        <v>213369.3</v>
      </c>
      <c r="DC75" s="103">
        <v>818155.2</v>
      </c>
      <c r="DD75" s="104">
        <v>0.26079318447160149</v>
      </c>
      <c r="DE75" s="103">
        <v>1009253.87526</v>
      </c>
      <c r="DF75" s="103">
        <v>49.66</v>
      </c>
      <c r="DG75" s="103">
        <v>3700933.9717100002</v>
      </c>
      <c r="DH75" s="103">
        <v>39.39</v>
      </c>
      <c r="DI75" s="103">
        <f t="shared" si="7"/>
        <v>1956.1073999999999</v>
      </c>
      <c r="DJ75" s="103">
        <v>152118.6</v>
      </c>
      <c r="DK75" s="103">
        <v>847333.6</v>
      </c>
      <c r="DL75" s="104">
        <v>0.17952622202164534</v>
      </c>
    </row>
    <row r="76" spans="1:116" s="15" customFormat="1" ht="265.7" customHeight="1" x14ac:dyDescent="0.25">
      <c r="A76" s="100" t="s">
        <v>161</v>
      </c>
      <c r="B76" s="100" t="s">
        <v>2269</v>
      </c>
      <c r="C76" s="100" t="s">
        <v>87</v>
      </c>
      <c r="D76" s="101" t="str">
        <f>"Chemistry 382"</f>
        <v>Chemistry 382</v>
      </c>
      <c r="E76" s="102" t="s">
        <v>2270</v>
      </c>
      <c r="F76" s="100">
        <v>6</v>
      </c>
      <c r="G76" s="100">
        <v>2</v>
      </c>
      <c r="H76" s="100">
        <v>0.33</v>
      </c>
      <c r="I76" s="100">
        <v>11</v>
      </c>
      <c r="J76" s="100">
        <v>5</v>
      </c>
      <c r="K76" s="100">
        <v>4</v>
      </c>
      <c r="L76" s="100">
        <v>1</v>
      </c>
      <c r="M76" s="100">
        <v>1</v>
      </c>
      <c r="N76" s="100">
        <v>3</v>
      </c>
      <c r="O76" s="100">
        <v>0</v>
      </c>
      <c r="P76" s="100">
        <v>1.59</v>
      </c>
      <c r="Q76" s="100">
        <v>39.19</v>
      </c>
      <c r="R76" s="100">
        <v>3</v>
      </c>
      <c r="S76" s="100">
        <v>0</v>
      </c>
      <c r="T76" s="100">
        <v>1</v>
      </c>
      <c r="U76" s="100">
        <v>0</v>
      </c>
      <c r="V76" s="100">
        <v>0</v>
      </c>
      <c r="W76" s="100">
        <v>0</v>
      </c>
      <c r="X76" s="100">
        <v>1</v>
      </c>
      <c r="Y76" s="100">
        <v>0</v>
      </c>
      <c r="Z76" s="100">
        <v>0</v>
      </c>
      <c r="AA76" s="100">
        <v>1</v>
      </c>
      <c r="AB76" s="100">
        <v>0</v>
      </c>
      <c r="AC76" s="100">
        <v>1</v>
      </c>
      <c r="AD76" s="100">
        <v>0</v>
      </c>
      <c r="AE76" s="100">
        <v>1</v>
      </c>
      <c r="AF76" s="100">
        <v>0</v>
      </c>
      <c r="AG76" s="100">
        <v>0</v>
      </c>
      <c r="AH76" s="100">
        <v>0</v>
      </c>
      <c r="AI76" s="100">
        <v>1</v>
      </c>
      <c r="AJ76" s="100">
        <v>0</v>
      </c>
      <c r="AK76" s="100">
        <v>0</v>
      </c>
      <c r="AL76" s="100">
        <v>0</v>
      </c>
      <c r="AM76" s="100">
        <v>0</v>
      </c>
      <c r="AN76" s="100">
        <v>1</v>
      </c>
      <c r="AO76" s="100">
        <v>0</v>
      </c>
      <c r="AP76" s="100">
        <v>0</v>
      </c>
      <c r="AQ76" s="100">
        <v>0</v>
      </c>
      <c r="AR76" s="100">
        <v>0</v>
      </c>
      <c r="AS76" s="100">
        <v>0</v>
      </c>
      <c r="AT76" s="100">
        <v>0</v>
      </c>
      <c r="AU76" s="100">
        <v>0</v>
      </c>
      <c r="AV76" s="100">
        <v>0</v>
      </c>
      <c r="AW76" s="100">
        <v>0</v>
      </c>
      <c r="AX76" s="100">
        <v>1</v>
      </c>
      <c r="AY76" s="100">
        <v>0</v>
      </c>
      <c r="AZ76" s="100">
        <v>0</v>
      </c>
      <c r="BA76" s="100">
        <v>0</v>
      </c>
      <c r="BB76" s="100">
        <v>0</v>
      </c>
      <c r="BC76" s="100">
        <v>0</v>
      </c>
      <c r="BD76" s="100">
        <v>0</v>
      </c>
      <c r="BE76" s="100">
        <v>0</v>
      </c>
      <c r="BF76" s="100">
        <v>0</v>
      </c>
      <c r="BG76" s="100">
        <v>0</v>
      </c>
      <c r="BH76" s="100">
        <v>0</v>
      </c>
      <c r="BI76" s="100">
        <v>0</v>
      </c>
      <c r="BJ76" s="100">
        <v>1</v>
      </c>
      <c r="BK76" s="100">
        <v>0</v>
      </c>
      <c r="BL76" s="100">
        <v>0</v>
      </c>
      <c r="BM76" s="100">
        <v>0</v>
      </c>
      <c r="BN76" s="100">
        <v>0</v>
      </c>
      <c r="BO76" s="100">
        <v>0</v>
      </c>
      <c r="BP76" s="100">
        <v>0</v>
      </c>
      <c r="BQ76" s="100">
        <v>0</v>
      </c>
      <c r="BR76" s="100">
        <v>0</v>
      </c>
      <c r="BS76" s="100">
        <v>0</v>
      </c>
      <c r="BT76" s="100">
        <v>0</v>
      </c>
      <c r="BU76" s="100">
        <v>0</v>
      </c>
      <c r="BV76" s="100">
        <v>1</v>
      </c>
      <c r="BW76" s="100">
        <v>0</v>
      </c>
      <c r="BX76" s="100">
        <v>0</v>
      </c>
      <c r="BY76" s="100">
        <v>0</v>
      </c>
      <c r="BZ76" s="100">
        <v>0</v>
      </c>
      <c r="CA76" s="100">
        <v>0</v>
      </c>
      <c r="CB76" s="100" t="s">
        <v>2090</v>
      </c>
      <c r="CC76" s="100">
        <v>0</v>
      </c>
      <c r="CD76" s="100">
        <v>0</v>
      </c>
      <c r="CE76" s="100">
        <v>0</v>
      </c>
      <c r="CF76" s="100">
        <v>0</v>
      </c>
      <c r="CG76" s="103">
        <v>593221.62610999995</v>
      </c>
      <c r="CH76" s="103">
        <v>57.7</v>
      </c>
      <c r="CI76" s="103">
        <v>4421177.1437299997</v>
      </c>
      <c r="CJ76" s="103">
        <v>50.88</v>
      </c>
      <c r="CK76" s="103">
        <f t="shared" si="4"/>
        <v>2935.7760000000003</v>
      </c>
      <c r="CL76" s="103">
        <v>551830.19999999995</v>
      </c>
      <c r="CM76" s="103">
        <v>934631.7</v>
      </c>
      <c r="CN76" s="104">
        <v>0.59042529800776067</v>
      </c>
      <c r="CO76" s="103">
        <v>370018.59026999999</v>
      </c>
      <c r="CP76" s="103">
        <v>18.75</v>
      </c>
      <c r="CQ76" s="103">
        <v>4238359.2031899998</v>
      </c>
      <c r="CR76" s="103">
        <v>22.25</v>
      </c>
      <c r="CS76" s="103">
        <f t="shared" si="5"/>
        <v>417.1875</v>
      </c>
      <c r="CT76" s="103">
        <v>117041.9</v>
      </c>
      <c r="CU76" s="103">
        <v>501854.7</v>
      </c>
      <c r="CV76" s="104">
        <v>0.23321869855956315</v>
      </c>
      <c r="CW76" s="103">
        <v>299363.33620999998</v>
      </c>
      <c r="CX76" s="103">
        <v>34.22</v>
      </c>
      <c r="CY76" s="103">
        <v>3419933.4317999999</v>
      </c>
      <c r="CZ76" s="103">
        <v>31.229128514488849</v>
      </c>
      <c r="DA76" s="103">
        <f t="shared" si="6"/>
        <v>1068.6607777658085</v>
      </c>
      <c r="DB76" s="103">
        <v>651634.1</v>
      </c>
      <c r="DC76" s="103">
        <v>927803.3</v>
      </c>
      <c r="DD76" s="104">
        <v>0.70234078710433556</v>
      </c>
      <c r="DE76" s="103">
        <v>315632.84456</v>
      </c>
      <c r="DF76" s="103">
        <v>20.25</v>
      </c>
      <c r="DG76" s="103">
        <v>4116576.7816300001</v>
      </c>
      <c r="DH76" s="103">
        <v>16.88</v>
      </c>
      <c r="DI76" s="103">
        <f t="shared" si="7"/>
        <v>341.82</v>
      </c>
      <c r="DJ76" s="103">
        <v>164653.29999999999</v>
      </c>
      <c r="DK76" s="103">
        <v>580989.5</v>
      </c>
      <c r="DL76" s="104">
        <v>0.28340150725615521</v>
      </c>
    </row>
    <row r="77" spans="1:116" s="15" customFormat="1" ht="167.45" customHeight="1" x14ac:dyDescent="0.25">
      <c r="A77" s="100" t="s">
        <v>162</v>
      </c>
      <c r="B77" s="100" t="s">
        <v>2271</v>
      </c>
      <c r="C77" s="100" t="s">
        <v>87</v>
      </c>
      <c r="D77" s="101" t="str">
        <f>"Chemistry 305"</f>
        <v>Chemistry 305</v>
      </c>
      <c r="E77" s="102" t="s">
        <v>2272</v>
      </c>
      <c r="F77" s="100">
        <v>9</v>
      </c>
      <c r="G77" s="100">
        <v>3</v>
      </c>
      <c r="H77" s="100">
        <v>0.33</v>
      </c>
      <c r="I77" s="100">
        <v>13</v>
      </c>
      <c r="J77" s="100">
        <v>4</v>
      </c>
      <c r="K77" s="100">
        <v>3</v>
      </c>
      <c r="L77" s="100">
        <v>2</v>
      </c>
      <c r="M77" s="100">
        <v>1</v>
      </c>
      <c r="N77" s="100">
        <v>2</v>
      </c>
      <c r="O77" s="100">
        <v>0</v>
      </c>
      <c r="P77" s="100">
        <v>1.55</v>
      </c>
      <c r="Q77" s="100">
        <v>33.200000000000003</v>
      </c>
      <c r="R77" s="100">
        <v>1</v>
      </c>
      <c r="S77" s="100">
        <v>0</v>
      </c>
      <c r="T77" s="100">
        <v>1</v>
      </c>
      <c r="U77" s="100">
        <v>0</v>
      </c>
      <c r="V77" s="100">
        <v>0</v>
      </c>
      <c r="W77" s="100">
        <v>1</v>
      </c>
      <c r="X77" s="100">
        <v>0</v>
      </c>
      <c r="Y77" s="100">
        <v>0</v>
      </c>
      <c r="Z77" s="100">
        <v>0</v>
      </c>
      <c r="AA77" s="100">
        <v>1</v>
      </c>
      <c r="AB77" s="100">
        <v>0</v>
      </c>
      <c r="AC77" s="100">
        <v>1</v>
      </c>
      <c r="AD77" s="100">
        <v>0</v>
      </c>
      <c r="AE77" s="100">
        <v>1</v>
      </c>
      <c r="AF77" s="100">
        <v>0</v>
      </c>
      <c r="AG77" s="100">
        <v>0</v>
      </c>
      <c r="AH77" s="100">
        <v>0</v>
      </c>
      <c r="AI77" s="100">
        <v>1</v>
      </c>
      <c r="AJ77" s="100">
        <v>0</v>
      </c>
      <c r="AK77" s="100">
        <v>0</v>
      </c>
      <c r="AL77" s="100">
        <v>0</v>
      </c>
      <c r="AM77" s="100">
        <v>0</v>
      </c>
      <c r="AN77" s="100">
        <v>0</v>
      </c>
      <c r="AO77" s="100">
        <v>1</v>
      </c>
      <c r="AP77" s="100">
        <v>0</v>
      </c>
      <c r="AQ77" s="100">
        <v>0</v>
      </c>
      <c r="AR77" s="100">
        <v>0</v>
      </c>
      <c r="AS77" s="100">
        <v>0</v>
      </c>
      <c r="AT77" s="100">
        <v>1</v>
      </c>
      <c r="AU77" s="100">
        <v>0</v>
      </c>
      <c r="AV77" s="100">
        <v>0</v>
      </c>
      <c r="AW77" s="100">
        <v>0</v>
      </c>
      <c r="AX77" s="100">
        <v>0</v>
      </c>
      <c r="AY77" s="100">
        <v>0</v>
      </c>
      <c r="AZ77" s="100">
        <v>0</v>
      </c>
      <c r="BA77" s="100">
        <v>0</v>
      </c>
      <c r="BB77" s="100">
        <v>0</v>
      </c>
      <c r="BC77" s="100">
        <v>0</v>
      </c>
      <c r="BD77" s="100">
        <v>0</v>
      </c>
      <c r="BE77" s="100">
        <v>0</v>
      </c>
      <c r="BF77" s="100">
        <v>0</v>
      </c>
      <c r="BG77" s="100">
        <v>0</v>
      </c>
      <c r="BH77" s="100">
        <v>0</v>
      </c>
      <c r="BI77" s="100">
        <v>0</v>
      </c>
      <c r="BJ77" s="100">
        <v>1</v>
      </c>
      <c r="BK77" s="100">
        <v>0</v>
      </c>
      <c r="BL77" s="100">
        <v>0</v>
      </c>
      <c r="BM77" s="100">
        <v>0</v>
      </c>
      <c r="BN77" s="100">
        <v>0</v>
      </c>
      <c r="BO77" s="100">
        <v>1</v>
      </c>
      <c r="BP77" s="100">
        <v>0</v>
      </c>
      <c r="BQ77" s="100">
        <v>0</v>
      </c>
      <c r="BR77" s="100">
        <v>0</v>
      </c>
      <c r="BS77" s="100">
        <v>0</v>
      </c>
      <c r="BT77" s="100">
        <v>0</v>
      </c>
      <c r="BU77" s="100">
        <v>0</v>
      </c>
      <c r="BV77" s="100">
        <v>0</v>
      </c>
      <c r="BW77" s="100">
        <v>0</v>
      </c>
      <c r="BX77" s="100">
        <v>0</v>
      </c>
      <c r="BY77" s="100">
        <v>0</v>
      </c>
      <c r="BZ77" s="100">
        <v>0</v>
      </c>
      <c r="CA77" s="100">
        <v>0</v>
      </c>
      <c r="CB77" s="100" t="s">
        <v>2090</v>
      </c>
      <c r="CC77" s="100">
        <v>0</v>
      </c>
      <c r="CD77" s="100">
        <v>0</v>
      </c>
      <c r="CE77" s="100">
        <v>0</v>
      </c>
      <c r="CF77" s="100">
        <v>0</v>
      </c>
      <c r="CG77" s="103">
        <v>410497.69773000001</v>
      </c>
      <c r="CH77" s="103">
        <v>25.79</v>
      </c>
      <c r="CI77" s="103">
        <v>4195654.1760400003</v>
      </c>
      <c r="CJ77" s="103">
        <v>25.69</v>
      </c>
      <c r="CK77" s="103">
        <f t="shared" si="4"/>
        <v>662.54510000000005</v>
      </c>
      <c r="CL77" s="103">
        <v>822519.2</v>
      </c>
      <c r="CM77" s="103">
        <v>504569.9</v>
      </c>
      <c r="CN77" s="104">
        <v>1.6301392532531169</v>
      </c>
      <c r="CO77" s="103">
        <v>46608.998890000003</v>
      </c>
      <c r="CP77" s="103">
        <v>1.95</v>
      </c>
      <c r="CQ77" s="103">
        <v>2003740.1296000001</v>
      </c>
      <c r="CR77" s="103">
        <v>9.26</v>
      </c>
      <c r="CS77" s="103">
        <f t="shared" si="5"/>
        <v>18.056999999999999</v>
      </c>
      <c r="CT77" s="103">
        <v>147825.1</v>
      </c>
      <c r="CU77" s="103">
        <v>268321.7</v>
      </c>
      <c r="CV77" s="104">
        <v>0.55092487860653838</v>
      </c>
      <c r="CW77" s="103">
        <v>1238076.76874</v>
      </c>
      <c r="CX77" s="103">
        <v>84.2</v>
      </c>
      <c r="CY77" s="103">
        <v>5122168.1406100001</v>
      </c>
      <c r="CZ77" s="103">
        <v>57.469097003980728</v>
      </c>
      <c r="DA77" s="103">
        <f t="shared" si="6"/>
        <v>4838.8979677351772</v>
      </c>
      <c r="DB77" s="103">
        <v>860357.1</v>
      </c>
      <c r="DC77" s="103">
        <v>362759.7</v>
      </c>
      <c r="DD77" s="104">
        <v>2.3716997781175801</v>
      </c>
      <c r="DE77" s="103">
        <v>29831.06842</v>
      </c>
      <c r="DF77" s="103">
        <v>1.41</v>
      </c>
      <c r="DG77" s="103">
        <v>1613372.3248999999</v>
      </c>
      <c r="DH77" s="103">
        <v>8.83</v>
      </c>
      <c r="DI77" s="103">
        <f t="shared" si="7"/>
        <v>12.450299999999999</v>
      </c>
      <c r="DJ77" s="103">
        <v>101962.6</v>
      </c>
      <c r="DK77" s="103">
        <v>320352.59999999998</v>
      </c>
      <c r="DL77" s="104">
        <v>0.31828241756114983</v>
      </c>
    </row>
    <row r="78" spans="1:116" s="15" customFormat="1" ht="171.95" customHeight="1" x14ac:dyDescent="0.25">
      <c r="A78" s="100" t="s">
        <v>163</v>
      </c>
      <c r="B78" s="100" t="s">
        <v>2273</v>
      </c>
      <c r="C78" s="100" t="s">
        <v>87</v>
      </c>
      <c r="D78" s="101" t="str">
        <f>"Chemistry 217"</f>
        <v>Chemistry 217</v>
      </c>
      <c r="E78" s="102" t="s">
        <v>2274</v>
      </c>
      <c r="F78" s="100">
        <v>9</v>
      </c>
      <c r="G78" s="100">
        <v>3</v>
      </c>
      <c r="H78" s="100">
        <v>0.33</v>
      </c>
      <c r="I78" s="100">
        <v>13</v>
      </c>
      <c r="J78" s="100">
        <v>4</v>
      </c>
      <c r="K78" s="100">
        <v>3</v>
      </c>
      <c r="L78" s="100">
        <v>2</v>
      </c>
      <c r="M78" s="100">
        <v>1</v>
      </c>
      <c r="N78" s="100">
        <v>3</v>
      </c>
      <c r="O78" s="100">
        <v>0</v>
      </c>
      <c r="P78" s="100">
        <v>1.95</v>
      </c>
      <c r="Q78" s="100">
        <v>33.200000000000003</v>
      </c>
      <c r="R78" s="100">
        <v>1</v>
      </c>
      <c r="S78" s="100">
        <v>0</v>
      </c>
      <c r="T78" s="100">
        <v>1</v>
      </c>
      <c r="U78" s="100">
        <v>0</v>
      </c>
      <c r="V78" s="100">
        <v>0</v>
      </c>
      <c r="W78" s="100">
        <v>1</v>
      </c>
      <c r="X78" s="100">
        <v>0</v>
      </c>
      <c r="Y78" s="100">
        <v>0</v>
      </c>
      <c r="Z78" s="100">
        <v>0</v>
      </c>
      <c r="AA78" s="100">
        <v>1</v>
      </c>
      <c r="AB78" s="100">
        <v>0</v>
      </c>
      <c r="AC78" s="100">
        <v>1</v>
      </c>
      <c r="AD78" s="100">
        <v>0</v>
      </c>
      <c r="AE78" s="100">
        <v>0</v>
      </c>
      <c r="AF78" s="100">
        <v>1</v>
      </c>
      <c r="AG78" s="100">
        <v>0</v>
      </c>
      <c r="AH78" s="100">
        <v>0</v>
      </c>
      <c r="AI78" s="100">
        <v>1</v>
      </c>
      <c r="AJ78" s="100">
        <v>0</v>
      </c>
      <c r="AK78" s="100">
        <v>1</v>
      </c>
      <c r="AL78" s="100">
        <v>1</v>
      </c>
      <c r="AM78" s="100">
        <v>0</v>
      </c>
      <c r="AN78" s="100">
        <v>0</v>
      </c>
      <c r="AO78" s="100">
        <v>1</v>
      </c>
      <c r="AP78" s="100">
        <v>0</v>
      </c>
      <c r="AQ78" s="100">
        <v>0</v>
      </c>
      <c r="AR78" s="100">
        <v>0</v>
      </c>
      <c r="AS78" s="100">
        <v>0</v>
      </c>
      <c r="AT78" s="100">
        <v>0</v>
      </c>
      <c r="AU78" s="100">
        <v>1</v>
      </c>
      <c r="AV78" s="100">
        <v>0</v>
      </c>
      <c r="AW78" s="100">
        <v>0</v>
      </c>
      <c r="AX78" s="100">
        <v>0</v>
      </c>
      <c r="AY78" s="100">
        <v>0</v>
      </c>
      <c r="AZ78" s="100">
        <v>0</v>
      </c>
      <c r="BA78" s="100">
        <v>1</v>
      </c>
      <c r="BB78" s="100">
        <v>0</v>
      </c>
      <c r="BC78" s="100">
        <v>0</v>
      </c>
      <c r="BD78" s="100">
        <v>0</v>
      </c>
      <c r="BE78" s="100">
        <v>0</v>
      </c>
      <c r="BF78" s="100">
        <v>0</v>
      </c>
      <c r="BG78" s="100">
        <v>0</v>
      </c>
      <c r="BH78" s="100">
        <v>0</v>
      </c>
      <c r="BI78" s="100">
        <v>0</v>
      </c>
      <c r="BJ78" s="100">
        <v>2</v>
      </c>
      <c r="BK78" s="100">
        <v>0</v>
      </c>
      <c r="BL78" s="100">
        <v>0</v>
      </c>
      <c r="BM78" s="100">
        <v>0</v>
      </c>
      <c r="BN78" s="100">
        <v>0</v>
      </c>
      <c r="BO78" s="100">
        <v>0</v>
      </c>
      <c r="BP78" s="100">
        <v>1</v>
      </c>
      <c r="BQ78" s="100">
        <v>0</v>
      </c>
      <c r="BR78" s="100">
        <v>0</v>
      </c>
      <c r="BS78" s="100">
        <v>0</v>
      </c>
      <c r="BT78" s="100">
        <v>0</v>
      </c>
      <c r="BU78" s="100">
        <v>0</v>
      </c>
      <c r="BV78" s="100">
        <v>0</v>
      </c>
      <c r="BW78" s="100">
        <v>0</v>
      </c>
      <c r="BX78" s="100">
        <v>0</v>
      </c>
      <c r="BY78" s="100">
        <v>0</v>
      </c>
      <c r="BZ78" s="100">
        <v>0</v>
      </c>
      <c r="CA78" s="100">
        <v>0</v>
      </c>
      <c r="CB78" s="100" t="s">
        <v>2090</v>
      </c>
      <c r="CC78" s="100">
        <v>0</v>
      </c>
      <c r="CD78" s="100">
        <v>0</v>
      </c>
      <c r="CE78" s="100">
        <v>0</v>
      </c>
      <c r="CF78" s="100">
        <v>0</v>
      </c>
      <c r="CG78" s="103">
        <v>0</v>
      </c>
      <c r="CH78" s="103">
        <v>0</v>
      </c>
      <c r="CI78" s="103">
        <v>17098.973429999998</v>
      </c>
      <c r="CJ78" s="103">
        <v>0.72</v>
      </c>
      <c r="CK78" s="103">
        <f t="shared" si="4"/>
        <v>0</v>
      </c>
      <c r="CL78" s="103">
        <v>12460.3</v>
      </c>
      <c r="CM78" s="103">
        <v>658682.80000000005</v>
      </c>
      <c r="CN78" s="104">
        <v>1.8916996162644598E-2</v>
      </c>
      <c r="CO78" s="103">
        <v>12159.80154</v>
      </c>
      <c r="CP78" s="103">
        <v>0.93</v>
      </c>
      <c r="CQ78" s="103">
        <v>63708.92525</v>
      </c>
      <c r="CR78" s="103">
        <v>0.93</v>
      </c>
      <c r="CS78" s="103">
        <f t="shared" si="5"/>
        <v>0.86490000000000011</v>
      </c>
      <c r="CT78" s="103">
        <v>9691.7000000000007</v>
      </c>
      <c r="CU78" s="103">
        <v>485536.8</v>
      </c>
      <c r="CV78" s="104">
        <v>1.9960793908927195E-2</v>
      </c>
      <c r="CW78" s="103">
        <v>0</v>
      </c>
      <c r="CX78" s="103">
        <v>0</v>
      </c>
      <c r="CY78" s="103">
        <v>67311.017189999999</v>
      </c>
      <c r="CZ78" s="103">
        <v>0.89200761179828736</v>
      </c>
      <c r="DA78" s="103">
        <f t="shared" si="6"/>
        <v>0</v>
      </c>
      <c r="DB78" s="103">
        <v>5908</v>
      </c>
      <c r="DC78" s="103">
        <v>613788.30000000005</v>
      </c>
      <c r="DD78" s="104">
        <v>9.625468585829999E-3</v>
      </c>
      <c r="DE78" s="103">
        <v>26362.746579999999</v>
      </c>
      <c r="DF78" s="103">
        <v>2.44</v>
      </c>
      <c r="DG78" s="103">
        <v>69995.230769999995</v>
      </c>
      <c r="DH78" s="103">
        <v>3.52</v>
      </c>
      <c r="DI78" s="103">
        <f t="shared" si="7"/>
        <v>8.5887999999999991</v>
      </c>
      <c r="DJ78" s="103">
        <v>161808.5</v>
      </c>
      <c r="DK78" s="103">
        <v>364737.6</v>
      </c>
      <c r="DL78" s="104">
        <v>0.44362988625247302</v>
      </c>
    </row>
    <row r="79" spans="1:116" s="15" customFormat="1" ht="235.7" customHeight="1" x14ac:dyDescent="0.25">
      <c r="A79" s="100" t="s">
        <v>164</v>
      </c>
      <c r="B79" s="100" t="s">
        <v>2275</v>
      </c>
      <c r="C79" s="100" t="s">
        <v>87</v>
      </c>
      <c r="D79" s="101" t="str">
        <f>"Chemistry 216"</f>
        <v>Chemistry 216</v>
      </c>
      <c r="E79" s="102" t="s">
        <v>2276</v>
      </c>
      <c r="F79" s="100">
        <v>8</v>
      </c>
      <c r="G79" s="100">
        <v>2</v>
      </c>
      <c r="H79" s="100">
        <v>0.25</v>
      </c>
      <c r="I79" s="100">
        <v>13</v>
      </c>
      <c r="J79" s="100">
        <v>5</v>
      </c>
      <c r="K79" s="100">
        <v>4</v>
      </c>
      <c r="L79" s="100">
        <v>3</v>
      </c>
      <c r="M79" s="100">
        <v>2</v>
      </c>
      <c r="N79" s="100">
        <v>2</v>
      </c>
      <c r="O79" s="100">
        <v>0</v>
      </c>
      <c r="P79" s="100">
        <v>1.52</v>
      </c>
      <c r="Q79" s="100">
        <v>43.85</v>
      </c>
      <c r="R79" s="100">
        <v>1</v>
      </c>
      <c r="S79" s="100">
        <v>0</v>
      </c>
      <c r="T79" s="100">
        <v>1</v>
      </c>
      <c r="U79" s="100">
        <v>0</v>
      </c>
      <c r="V79" s="100">
        <v>0</v>
      </c>
      <c r="W79" s="100">
        <v>1</v>
      </c>
      <c r="X79" s="100">
        <v>0</v>
      </c>
      <c r="Y79" s="100">
        <v>0</v>
      </c>
      <c r="Z79" s="100">
        <v>0</v>
      </c>
      <c r="AA79" s="100">
        <v>1</v>
      </c>
      <c r="AB79" s="100">
        <v>0</v>
      </c>
      <c r="AC79" s="100">
        <v>1</v>
      </c>
      <c r="AD79" s="100">
        <v>0</v>
      </c>
      <c r="AE79" s="100">
        <v>1</v>
      </c>
      <c r="AF79" s="100">
        <v>0</v>
      </c>
      <c r="AG79" s="100">
        <v>0</v>
      </c>
      <c r="AH79" s="100">
        <v>0</v>
      </c>
      <c r="AI79" s="100">
        <v>1</v>
      </c>
      <c r="AJ79" s="100">
        <v>0</v>
      </c>
      <c r="AK79" s="100">
        <v>1</v>
      </c>
      <c r="AL79" s="100">
        <v>1</v>
      </c>
      <c r="AM79" s="100">
        <v>0</v>
      </c>
      <c r="AN79" s="100">
        <v>1</v>
      </c>
      <c r="AO79" s="100">
        <v>0</v>
      </c>
      <c r="AP79" s="100">
        <v>0</v>
      </c>
      <c r="AQ79" s="100">
        <v>0</v>
      </c>
      <c r="AR79" s="100">
        <v>0</v>
      </c>
      <c r="AS79" s="100">
        <v>0</v>
      </c>
      <c r="AT79" s="100">
        <v>0</v>
      </c>
      <c r="AU79" s="100">
        <v>0</v>
      </c>
      <c r="AV79" s="100">
        <v>0</v>
      </c>
      <c r="AW79" s="100">
        <v>0</v>
      </c>
      <c r="AX79" s="100">
        <v>0</v>
      </c>
      <c r="AY79" s="100">
        <v>0</v>
      </c>
      <c r="AZ79" s="100">
        <v>0</v>
      </c>
      <c r="BA79" s="100">
        <v>0</v>
      </c>
      <c r="BB79" s="100">
        <v>0</v>
      </c>
      <c r="BC79" s="100">
        <v>0</v>
      </c>
      <c r="BD79" s="100">
        <v>0</v>
      </c>
      <c r="BE79" s="100">
        <v>0</v>
      </c>
      <c r="BF79" s="100">
        <v>0</v>
      </c>
      <c r="BG79" s="100">
        <v>0</v>
      </c>
      <c r="BH79" s="100">
        <v>0</v>
      </c>
      <c r="BI79" s="100">
        <v>0</v>
      </c>
      <c r="BJ79" s="100">
        <v>0</v>
      </c>
      <c r="BK79" s="100">
        <v>0</v>
      </c>
      <c r="BL79" s="100">
        <v>0</v>
      </c>
      <c r="BM79" s="100">
        <v>0</v>
      </c>
      <c r="BN79" s="100">
        <v>0</v>
      </c>
      <c r="BO79" s="100">
        <v>0</v>
      </c>
      <c r="BP79" s="100">
        <v>0</v>
      </c>
      <c r="BQ79" s="100">
        <v>1</v>
      </c>
      <c r="BR79" s="100">
        <v>0</v>
      </c>
      <c r="BS79" s="100">
        <v>0</v>
      </c>
      <c r="BT79" s="100">
        <v>0</v>
      </c>
      <c r="BU79" s="100">
        <v>1</v>
      </c>
      <c r="BV79" s="100">
        <v>1</v>
      </c>
      <c r="BW79" s="100">
        <v>0</v>
      </c>
      <c r="BX79" s="100">
        <v>0</v>
      </c>
      <c r="BY79" s="100">
        <v>0</v>
      </c>
      <c r="BZ79" s="100">
        <v>0</v>
      </c>
      <c r="CA79" s="100">
        <v>0</v>
      </c>
      <c r="CB79" s="100" t="s">
        <v>2090</v>
      </c>
      <c r="CC79" s="100">
        <v>0</v>
      </c>
      <c r="CD79" s="100">
        <v>0</v>
      </c>
      <c r="CE79" s="100">
        <v>0</v>
      </c>
      <c r="CF79" s="100">
        <v>0</v>
      </c>
      <c r="CG79" s="103">
        <v>99241.250790000006</v>
      </c>
      <c r="CH79" s="103">
        <v>6.78</v>
      </c>
      <c r="CI79" s="103">
        <v>2786545.7552399999</v>
      </c>
      <c r="CJ79" s="103">
        <v>25.91</v>
      </c>
      <c r="CK79" s="103">
        <f t="shared" si="4"/>
        <v>175.66980000000001</v>
      </c>
      <c r="CL79" s="103">
        <v>283954</v>
      </c>
      <c r="CM79" s="103">
        <v>879873.7</v>
      </c>
      <c r="CN79" s="104">
        <v>0.32272131784368602</v>
      </c>
      <c r="CO79" s="103">
        <v>0</v>
      </c>
      <c r="CP79" s="103">
        <v>0</v>
      </c>
      <c r="CQ79" s="103">
        <v>0</v>
      </c>
      <c r="CR79" s="103">
        <v>0</v>
      </c>
      <c r="CS79" s="103">
        <f t="shared" si="5"/>
        <v>0</v>
      </c>
      <c r="CT79" s="103">
        <v>3511</v>
      </c>
      <c r="CU79" s="103">
        <v>634418.69999999995</v>
      </c>
      <c r="CV79" s="104">
        <v>5.5342000480124564E-3</v>
      </c>
      <c r="CW79" s="103">
        <v>0</v>
      </c>
      <c r="CX79" s="103">
        <v>0</v>
      </c>
      <c r="CY79" s="103">
        <v>96831.460890000002</v>
      </c>
      <c r="CZ79" s="103">
        <v>1.3700234192037468</v>
      </c>
      <c r="DA79" s="103">
        <f t="shared" si="6"/>
        <v>0</v>
      </c>
      <c r="DB79" s="103">
        <v>2014.5</v>
      </c>
      <c r="DC79" s="103">
        <v>301767.3</v>
      </c>
      <c r="DD79" s="104">
        <v>6.6756736067824446E-3</v>
      </c>
      <c r="DE79" s="103">
        <v>0</v>
      </c>
      <c r="DF79" s="103">
        <v>0</v>
      </c>
      <c r="DG79" s="103">
        <v>15352.72875</v>
      </c>
      <c r="DH79" s="103">
        <v>0</v>
      </c>
      <c r="DI79" s="103">
        <f t="shared" si="7"/>
        <v>0</v>
      </c>
      <c r="DJ79" s="103">
        <v>80522</v>
      </c>
      <c r="DK79" s="103">
        <v>978798.8</v>
      </c>
      <c r="DL79" s="104">
        <v>8.2266140906588764E-2</v>
      </c>
    </row>
    <row r="80" spans="1:116" s="15" customFormat="1" ht="163.69999999999999" customHeight="1" x14ac:dyDescent="0.25">
      <c r="A80" s="100" t="s">
        <v>165</v>
      </c>
      <c r="B80" s="100" t="s">
        <v>2277</v>
      </c>
      <c r="C80" s="100" t="s">
        <v>87</v>
      </c>
      <c r="D80" s="101" t="str">
        <f>"Chemistry 346"</f>
        <v>Chemistry 346</v>
      </c>
      <c r="E80" s="102" t="s">
        <v>2278</v>
      </c>
      <c r="F80" s="100">
        <v>8</v>
      </c>
      <c r="G80" s="100">
        <v>2</v>
      </c>
      <c r="H80" s="100">
        <v>0.25</v>
      </c>
      <c r="I80" s="100">
        <v>13</v>
      </c>
      <c r="J80" s="100">
        <v>5</v>
      </c>
      <c r="K80" s="100">
        <v>4</v>
      </c>
      <c r="L80" s="100">
        <v>2</v>
      </c>
      <c r="M80" s="100">
        <v>1</v>
      </c>
      <c r="N80" s="100">
        <v>3</v>
      </c>
      <c r="O80" s="100">
        <v>0</v>
      </c>
      <c r="P80" s="100">
        <v>1.1000000000000001</v>
      </c>
      <c r="Q80" s="100">
        <v>42.43</v>
      </c>
      <c r="R80" s="100">
        <v>2</v>
      </c>
      <c r="S80" s="100">
        <v>0</v>
      </c>
      <c r="T80" s="100">
        <v>1</v>
      </c>
      <c r="U80" s="100">
        <v>0</v>
      </c>
      <c r="V80" s="100">
        <v>0</v>
      </c>
      <c r="W80" s="100">
        <v>1</v>
      </c>
      <c r="X80" s="100">
        <v>0</v>
      </c>
      <c r="Y80" s="100">
        <v>0</v>
      </c>
      <c r="Z80" s="100">
        <v>0</v>
      </c>
      <c r="AA80" s="100">
        <v>1</v>
      </c>
      <c r="AB80" s="100">
        <v>0</v>
      </c>
      <c r="AC80" s="100">
        <v>1</v>
      </c>
      <c r="AD80" s="100">
        <v>0</v>
      </c>
      <c r="AE80" s="100">
        <v>1</v>
      </c>
      <c r="AF80" s="100">
        <v>0</v>
      </c>
      <c r="AG80" s="100">
        <v>0</v>
      </c>
      <c r="AH80" s="100">
        <v>0</v>
      </c>
      <c r="AI80" s="100">
        <v>1</v>
      </c>
      <c r="AJ80" s="100">
        <v>0</v>
      </c>
      <c r="AK80" s="100">
        <v>1</v>
      </c>
      <c r="AL80" s="100">
        <v>1</v>
      </c>
      <c r="AM80" s="100">
        <v>0</v>
      </c>
      <c r="AN80" s="100">
        <v>0</v>
      </c>
      <c r="AO80" s="100">
        <v>1</v>
      </c>
      <c r="AP80" s="100">
        <v>0</v>
      </c>
      <c r="AQ80" s="100">
        <v>0</v>
      </c>
      <c r="AR80" s="100">
        <v>0</v>
      </c>
      <c r="AS80" s="100">
        <v>0</v>
      </c>
      <c r="AT80" s="100">
        <v>1</v>
      </c>
      <c r="AU80" s="100">
        <v>0</v>
      </c>
      <c r="AV80" s="100">
        <v>0</v>
      </c>
      <c r="AW80" s="100">
        <v>0</v>
      </c>
      <c r="AX80" s="100">
        <v>0</v>
      </c>
      <c r="AY80" s="100">
        <v>0</v>
      </c>
      <c r="AZ80" s="100">
        <v>0</v>
      </c>
      <c r="BA80" s="100">
        <v>0</v>
      </c>
      <c r="BB80" s="100">
        <v>0</v>
      </c>
      <c r="BC80" s="100">
        <v>0</v>
      </c>
      <c r="BD80" s="100">
        <v>0</v>
      </c>
      <c r="BE80" s="100">
        <v>0</v>
      </c>
      <c r="BF80" s="100">
        <v>0</v>
      </c>
      <c r="BG80" s="100">
        <v>0</v>
      </c>
      <c r="BH80" s="100">
        <v>0</v>
      </c>
      <c r="BI80" s="100">
        <v>0</v>
      </c>
      <c r="BJ80" s="100">
        <v>1</v>
      </c>
      <c r="BK80" s="100">
        <v>0</v>
      </c>
      <c r="BL80" s="100">
        <v>0</v>
      </c>
      <c r="BM80" s="100">
        <v>0</v>
      </c>
      <c r="BN80" s="100">
        <v>0</v>
      </c>
      <c r="BO80" s="100">
        <v>0</v>
      </c>
      <c r="BP80" s="100">
        <v>1</v>
      </c>
      <c r="BQ80" s="100">
        <v>1</v>
      </c>
      <c r="BR80" s="100">
        <v>0</v>
      </c>
      <c r="BS80" s="100">
        <v>0</v>
      </c>
      <c r="BT80" s="100">
        <v>0</v>
      </c>
      <c r="BU80" s="100">
        <v>0</v>
      </c>
      <c r="BV80" s="100">
        <v>0</v>
      </c>
      <c r="BW80" s="100">
        <v>0</v>
      </c>
      <c r="BX80" s="100">
        <v>0</v>
      </c>
      <c r="BY80" s="100">
        <v>0</v>
      </c>
      <c r="BZ80" s="100">
        <v>0</v>
      </c>
      <c r="CA80" s="100">
        <v>0</v>
      </c>
      <c r="CB80" s="100" t="s">
        <v>2090</v>
      </c>
      <c r="CC80" s="100">
        <v>0</v>
      </c>
      <c r="CD80" s="100">
        <v>0</v>
      </c>
      <c r="CE80" s="100">
        <v>0</v>
      </c>
      <c r="CF80" s="100">
        <v>0</v>
      </c>
      <c r="CG80" s="103">
        <v>8711.95327</v>
      </c>
      <c r="CH80" s="103">
        <v>1.1400000000000001</v>
      </c>
      <c r="CI80" s="103">
        <v>586003.27876000002</v>
      </c>
      <c r="CJ80" s="103">
        <v>5.31</v>
      </c>
      <c r="CK80" s="103">
        <f t="shared" si="4"/>
        <v>6.0533999999999999</v>
      </c>
      <c r="CL80" s="103">
        <v>6190.1</v>
      </c>
      <c r="CM80" s="103">
        <v>430234.2</v>
      </c>
      <c r="CN80" s="104">
        <v>1.4387745093253862E-2</v>
      </c>
      <c r="CO80" s="103">
        <v>0</v>
      </c>
      <c r="CP80" s="103">
        <v>0</v>
      </c>
      <c r="CQ80" s="103">
        <v>3293.0907499999998</v>
      </c>
      <c r="CR80" s="103">
        <v>0</v>
      </c>
      <c r="CS80" s="103">
        <f t="shared" si="5"/>
        <v>0</v>
      </c>
      <c r="CT80" s="103">
        <v>18858.900000000001</v>
      </c>
      <c r="CU80" s="103">
        <v>487809</v>
      </c>
      <c r="CV80" s="104">
        <v>3.8660418319465206E-2</v>
      </c>
      <c r="CW80" s="103">
        <v>0</v>
      </c>
      <c r="CX80" s="103">
        <v>0</v>
      </c>
      <c r="CY80" s="103">
        <v>148373.40585000001</v>
      </c>
      <c r="CZ80" s="103">
        <v>1.8606814745900688</v>
      </c>
      <c r="DA80" s="103">
        <f t="shared" si="6"/>
        <v>0</v>
      </c>
      <c r="DB80" s="103">
        <v>7186.4</v>
      </c>
      <c r="DC80" s="103">
        <v>647487.19999999995</v>
      </c>
      <c r="DD80" s="104">
        <v>1.1098906665645282E-2</v>
      </c>
      <c r="DE80" s="103">
        <v>0</v>
      </c>
      <c r="DF80" s="103">
        <v>0</v>
      </c>
      <c r="DG80" s="103">
        <v>9738.9594500000003</v>
      </c>
      <c r="DH80" s="103">
        <v>1.53</v>
      </c>
      <c r="DI80" s="103">
        <f t="shared" si="7"/>
        <v>0</v>
      </c>
      <c r="DJ80" s="103">
        <v>6994.8</v>
      </c>
      <c r="DK80" s="103">
        <v>396341.7</v>
      </c>
      <c r="DL80" s="104">
        <v>1.7648407926796499E-2</v>
      </c>
    </row>
    <row r="81" spans="1:116" s="15" customFormat="1" ht="215.45" customHeight="1" x14ac:dyDescent="0.25">
      <c r="A81" s="100" t="s">
        <v>166</v>
      </c>
      <c r="B81" s="100" t="s">
        <v>2279</v>
      </c>
      <c r="C81" s="100" t="s">
        <v>87</v>
      </c>
      <c r="D81" s="101" t="str">
        <f>"Chemistry 270"</f>
        <v>Chemistry 270</v>
      </c>
      <c r="E81" s="102" t="s">
        <v>2280</v>
      </c>
      <c r="F81" s="100">
        <v>7</v>
      </c>
      <c r="G81" s="100">
        <v>2</v>
      </c>
      <c r="H81" s="100">
        <v>0.28999999999999998</v>
      </c>
      <c r="I81" s="100">
        <v>13</v>
      </c>
      <c r="J81" s="100">
        <v>6</v>
      </c>
      <c r="K81" s="100">
        <v>2</v>
      </c>
      <c r="L81" s="100">
        <v>1</v>
      </c>
      <c r="M81" s="100">
        <v>1</v>
      </c>
      <c r="N81" s="100">
        <v>2</v>
      </c>
      <c r="O81" s="100">
        <v>1</v>
      </c>
      <c r="P81" s="100">
        <v>1.33</v>
      </c>
      <c r="Q81" s="100">
        <v>33.119999999999997</v>
      </c>
      <c r="R81" s="100">
        <v>2</v>
      </c>
      <c r="S81" s="100">
        <v>1</v>
      </c>
      <c r="T81" s="100">
        <v>0</v>
      </c>
      <c r="U81" s="100">
        <v>0</v>
      </c>
      <c r="V81" s="100">
        <v>0</v>
      </c>
      <c r="W81" s="100">
        <v>0</v>
      </c>
      <c r="X81" s="100">
        <v>1</v>
      </c>
      <c r="Y81" s="100">
        <v>0</v>
      </c>
      <c r="Z81" s="100">
        <v>1</v>
      </c>
      <c r="AA81" s="100">
        <v>0</v>
      </c>
      <c r="AB81" s="100">
        <v>0</v>
      </c>
      <c r="AC81" s="100">
        <v>1</v>
      </c>
      <c r="AD81" s="100">
        <v>0</v>
      </c>
      <c r="AE81" s="100">
        <v>1</v>
      </c>
      <c r="AF81" s="100">
        <v>0</v>
      </c>
      <c r="AG81" s="100">
        <v>0</v>
      </c>
      <c r="AH81" s="100">
        <v>0</v>
      </c>
      <c r="AI81" s="100">
        <v>1</v>
      </c>
      <c r="AJ81" s="100">
        <v>0</v>
      </c>
      <c r="AK81" s="100">
        <v>0</v>
      </c>
      <c r="AL81" s="100">
        <v>0</v>
      </c>
      <c r="AM81" s="100">
        <v>0</v>
      </c>
      <c r="AN81" s="100">
        <v>0</v>
      </c>
      <c r="AO81" s="100">
        <v>1</v>
      </c>
      <c r="AP81" s="100">
        <v>1</v>
      </c>
      <c r="AQ81" s="100">
        <v>0</v>
      </c>
      <c r="AR81" s="100">
        <v>0</v>
      </c>
      <c r="AS81" s="100">
        <v>0</v>
      </c>
      <c r="AT81" s="100">
        <v>0</v>
      </c>
      <c r="AU81" s="100">
        <v>0</v>
      </c>
      <c r="AV81" s="100">
        <v>0</v>
      </c>
      <c r="AW81" s="100">
        <v>0</v>
      </c>
      <c r="AX81" s="100">
        <v>0</v>
      </c>
      <c r="AY81" s="100">
        <v>0</v>
      </c>
      <c r="AZ81" s="100">
        <v>0</v>
      </c>
      <c r="BA81" s="100">
        <v>0</v>
      </c>
      <c r="BB81" s="100">
        <v>0</v>
      </c>
      <c r="BC81" s="100">
        <v>0</v>
      </c>
      <c r="BD81" s="100">
        <v>0</v>
      </c>
      <c r="BE81" s="100">
        <v>0</v>
      </c>
      <c r="BF81" s="100">
        <v>0</v>
      </c>
      <c r="BG81" s="100">
        <v>0</v>
      </c>
      <c r="BH81" s="100">
        <v>0</v>
      </c>
      <c r="BI81" s="100">
        <v>0</v>
      </c>
      <c r="BJ81" s="100">
        <v>1</v>
      </c>
      <c r="BK81" s="100">
        <v>0</v>
      </c>
      <c r="BL81" s="100">
        <v>0</v>
      </c>
      <c r="BM81" s="100">
        <v>0</v>
      </c>
      <c r="BN81" s="100">
        <v>0</v>
      </c>
      <c r="BO81" s="100">
        <v>0</v>
      </c>
      <c r="BP81" s="100">
        <v>1</v>
      </c>
      <c r="BQ81" s="100">
        <v>0</v>
      </c>
      <c r="BR81" s="100">
        <v>0</v>
      </c>
      <c r="BS81" s="100">
        <v>0</v>
      </c>
      <c r="BT81" s="100">
        <v>0</v>
      </c>
      <c r="BU81" s="100">
        <v>0</v>
      </c>
      <c r="BV81" s="100">
        <v>0</v>
      </c>
      <c r="BW81" s="100">
        <v>0</v>
      </c>
      <c r="BX81" s="100">
        <v>0</v>
      </c>
      <c r="BY81" s="100">
        <v>0</v>
      </c>
      <c r="BZ81" s="100">
        <v>0</v>
      </c>
      <c r="CA81" s="100">
        <v>0</v>
      </c>
      <c r="CB81" s="100" t="s">
        <v>2090</v>
      </c>
      <c r="CC81" s="100">
        <v>0</v>
      </c>
      <c r="CD81" s="100">
        <v>0</v>
      </c>
      <c r="CE81" s="100">
        <v>0</v>
      </c>
      <c r="CF81" s="100">
        <v>0</v>
      </c>
      <c r="CG81" s="103">
        <v>243581.26108</v>
      </c>
      <c r="CH81" s="103">
        <v>31.5</v>
      </c>
      <c r="CI81" s="103">
        <v>2549324.0153700002</v>
      </c>
      <c r="CJ81" s="103">
        <v>27.23</v>
      </c>
      <c r="CK81" s="103">
        <f t="shared" si="4"/>
        <v>857.745</v>
      </c>
      <c r="CL81" s="103">
        <v>191041.3</v>
      </c>
      <c r="CM81" s="103">
        <v>838163.4</v>
      </c>
      <c r="CN81" s="104">
        <v>0.22792846836309005</v>
      </c>
      <c r="CO81" s="103">
        <v>0</v>
      </c>
      <c r="CP81" s="103">
        <v>0</v>
      </c>
      <c r="CQ81" s="103">
        <v>114471.05048000001</v>
      </c>
      <c r="CR81" s="103">
        <v>1.65</v>
      </c>
      <c r="CS81" s="103">
        <f t="shared" si="5"/>
        <v>0</v>
      </c>
      <c r="CT81" s="103">
        <v>25547.4</v>
      </c>
      <c r="CU81" s="103">
        <v>1059600.7</v>
      </c>
      <c r="CV81" s="104">
        <v>2.4110403098072702E-2</v>
      </c>
      <c r="CW81" s="103">
        <v>0</v>
      </c>
      <c r="CX81" s="103">
        <v>0</v>
      </c>
      <c r="CY81" s="103">
        <v>141965.68685</v>
      </c>
      <c r="CZ81" s="103">
        <v>2.0214624407287247</v>
      </c>
      <c r="DA81" s="103">
        <f t="shared" si="6"/>
        <v>0</v>
      </c>
      <c r="DB81" s="103">
        <v>12711.9</v>
      </c>
      <c r="DC81" s="103">
        <v>805096.6</v>
      </c>
      <c r="DD81" s="104">
        <v>1.5789285409974405E-2</v>
      </c>
      <c r="DE81" s="103">
        <v>32500.0203</v>
      </c>
      <c r="DF81" s="103">
        <v>2.88</v>
      </c>
      <c r="DG81" s="103">
        <v>887824.82350000006</v>
      </c>
      <c r="DH81" s="103">
        <v>7.02</v>
      </c>
      <c r="DI81" s="103">
        <f t="shared" si="7"/>
        <v>20.217599999999997</v>
      </c>
      <c r="DJ81" s="103">
        <v>19113.3</v>
      </c>
      <c r="DK81" s="103">
        <v>574128.19999999995</v>
      </c>
      <c r="DL81" s="104">
        <v>3.3290996679835622E-2</v>
      </c>
    </row>
    <row r="82" spans="1:116" s="15" customFormat="1" ht="256.7" customHeight="1" x14ac:dyDescent="0.25">
      <c r="A82" s="100" t="s">
        <v>167</v>
      </c>
      <c r="B82" s="100" t="s">
        <v>2281</v>
      </c>
      <c r="C82" s="100" t="s">
        <v>87</v>
      </c>
      <c r="D82" s="101" t="str">
        <f>"Chemistry 195"</f>
        <v>Chemistry 195</v>
      </c>
      <c r="E82" s="102" t="s">
        <v>2282</v>
      </c>
      <c r="F82" s="100">
        <v>9</v>
      </c>
      <c r="G82" s="100">
        <v>2</v>
      </c>
      <c r="H82" s="100">
        <v>0.22</v>
      </c>
      <c r="I82" s="100">
        <v>14</v>
      </c>
      <c r="J82" s="100">
        <v>5</v>
      </c>
      <c r="K82" s="100">
        <v>4</v>
      </c>
      <c r="L82" s="100">
        <v>1</v>
      </c>
      <c r="M82" s="100">
        <v>1</v>
      </c>
      <c r="N82" s="100">
        <v>4</v>
      </c>
      <c r="O82" s="100">
        <v>0</v>
      </c>
      <c r="P82" s="100">
        <v>1.1499999999999999</v>
      </c>
      <c r="Q82" s="100">
        <v>56.26</v>
      </c>
      <c r="R82" s="100">
        <v>4</v>
      </c>
      <c r="S82" s="100">
        <v>1</v>
      </c>
      <c r="T82" s="100">
        <v>0</v>
      </c>
      <c r="U82" s="100">
        <v>0</v>
      </c>
      <c r="V82" s="100">
        <v>0</v>
      </c>
      <c r="W82" s="100">
        <v>0</v>
      </c>
      <c r="X82" s="100">
        <v>1</v>
      </c>
      <c r="Y82" s="100">
        <v>0</v>
      </c>
      <c r="Z82" s="100">
        <v>0</v>
      </c>
      <c r="AA82" s="100">
        <v>1</v>
      </c>
      <c r="AB82" s="100">
        <v>1</v>
      </c>
      <c r="AC82" s="100">
        <v>0</v>
      </c>
      <c r="AD82" s="100">
        <v>0</v>
      </c>
      <c r="AE82" s="100">
        <v>1</v>
      </c>
      <c r="AF82" s="100">
        <v>0</v>
      </c>
      <c r="AG82" s="100">
        <v>0</v>
      </c>
      <c r="AH82" s="100">
        <v>0</v>
      </c>
      <c r="AI82" s="100">
        <v>0</v>
      </c>
      <c r="AJ82" s="100">
        <v>1</v>
      </c>
      <c r="AK82" s="100">
        <v>0</v>
      </c>
      <c r="AL82" s="100">
        <v>0</v>
      </c>
      <c r="AM82" s="100">
        <v>0</v>
      </c>
      <c r="AN82" s="100">
        <v>0</v>
      </c>
      <c r="AO82" s="100">
        <v>1</v>
      </c>
      <c r="AP82" s="100">
        <v>0</v>
      </c>
      <c r="AQ82" s="100">
        <v>0</v>
      </c>
      <c r="AR82" s="100">
        <v>0</v>
      </c>
      <c r="AS82" s="100">
        <v>0</v>
      </c>
      <c r="AT82" s="100">
        <v>0</v>
      </c>
      <c r="AU82" s="100">
        <v>0</v>
      </c>
      <c r="AV82" s="100">
        <v>0</v>
      </c>
      <c r="AW82" s="100">
        <v>0</v>
      </c>
      <c r="AX82" s="100">
        <v>1</v>
      </c>
      <c r="AY82" s="100">
        <v>0</v>
      </c>
      <c r="AZ82" s="100">
        <v>0</v>
      </c>
      <c r="BA82" s="100">
        <v>1</v>
      </c>
      <c r="BB82" s="100">
        <v>0</v>
      </c>
      <c r="BC82" s="100">
        <v>0</v>
      </c>
      <c r="BD82" s="100">
        <v>0</v>
      </c>
      <c r="BE82" s="100">
        <v>0</v>
      </c>
      <c r="BF82" s="100">
        <v>0</v>
      </c>
      <c r="BG82" s="100">
        <v>0</v>
      </c>
      <c r="BH82" s="100">
        <v>0</v>
      </c>
      <c r="BI82" s="100">
        <v>0</v>
      </c>
      <c r="BJ82" s="100">
        <v>2</v>
      </c>
      <c r="BK82" s="100">
        <v>0</v>
      </c>
      <c r="BL82" s="100">
        <v>0</v>
      </c>
      <c r="BM82" s="100">
        <v>0</v>
      </c>
      <c r="BN82" s="100">
        <v>0</v>
      </c>
      <c r="BO82" s="100">
        <v>0</v>
      </c>
      <c r="BP82" s="100">
        <v>1</v>
      </c>
      <c r="BQ82" s="100">
        <v>0</v>
      </c>
      <c r="BR82" s="100">
        <v>0</v>
      </c>
      <c r="BS82" s="100">
        <v>0</v>
      </c>
      <c r="BT82" s="100">
        <v>0</v>
      </c>
      <c r="BU82" s="100">
        <v>0</v>
      </c>
      <c r="BV82" s="100">
        <v>0</v>
      </c>
      <c r="BW82" s="100">
        <v>0</v>
      </c>
      <c r="BX82" s="100">
        <v>0</v>
      </c>
      <c r="BY82" s="100">
        <v>0</v>
      </c>
      <c r="BZ82" s="100">
        <v>0</v>
      </c>
      <c r="CA82" s="100">
        <v>0</v>
      </c>
      <c r="CB82" s="100" t="s">
        <v>2090</v>
      </c>
      <c r="CC82" s="100">
        <v>0</v>
      </c>
      <c r="CD82" s="100">
        <v>0</v>
      </c>
      <c r="CE82" s="100">
        <v>0</v>
      </c>
      <c r="CF82" s="100">
        <v>0</v>
      </c>
      <c r="CG82" s="103">
        <v>7136.51829</v>
      </c>
      <c r="CH82" s="103">
        <v>0.8</v>
      </c>
      <c r="CI82" s="103">
        <v>16604.335930000001</v>
      </c>
      <c r="CJ82" s="103">
        <v>0</v>
      </c>
      <c r="CK82" s="103">
        <f t="shared" si="4"/>
        <v>0</v>
      </c>
      <c r="CL82" s="103">
        <v>1908.5</v>
      </c>
      <c r="CM82" s="103">
        <v>613602.80000000005</v>
      </c>
      <c r="CN82" s="104">
        <v>3.1103182710378765E-3</v>
      </c>
      <c r="CO82" s="103">
        <v>0</v>
      </c>
      <c r="CP82" s="103">
        <v>0</v>
      </c>
      <c r="CQ82" s="103">
        <v>12972.81351</v>
      </c>
      <c r="CR82" s="103">
        <v>0</v>
      </c>
      <c r="CS82" s="103">
        <f t="shared" si="5"/>
        <v>0</v>
      </c>
      <c r="CT82" s="103">
        <v>613.4</v>
      </c>
      <c r="CU82" s="103">
        <v>99957.5</v>
      </c>
      <c r="CV82" s="104">
        <v>6.1366080584248301E-3</v>
      </c>
      <c r="CW82" s="103">
        <v>52591.92</v>
      </c>
      <c r="CX82" s="103">
        <v>5.77</v>
      </c>
      <c r="CY82" s="103">
        <v>64183.175759999998</v>
      </c>
      <c r="CZ82" s="103">
        <v>7.353447286910634</v>
      </c>
      <c r="DA82" s="103">
        <f t="shared" si="6"/>
        <v>42.429390845474352</v>
      </c>
      <c r="DB82" s="103">
        <v>793.2</v>
      </c>
      <c r="DC82" s="103">
        <v>288394.3</v>
      </c>
      <c r="DD82" s="104">
        <v>2.7504011001604402E-3</v>
      </c>
      <c r="DE82" s="103">
        <v>0</v>
      </c>
      <c r="DF82" s="103">
        <v>0</v>
      </c>
      <c r="DG82" s="103">
        <v>42935.079429999998</v>
      </c>
      <c r="DH82" s="103">
        <v>0</v>
      </c>
      <c r="DI82" s="103">
        <f t="shared" si="7"/>
        <v>0</v>
      </c>
      <c r="DJ82" s="103">
        <v>735.2</v>
      </c>
      <c r="DK82" s="103">
        <v>196977</v>
      </c>
      <c r="DL82" s="104">
        <v>3.732415459672957E-3</v>
      </c>
    </row>
    <row r="83" spans="1:116" s="15" customFormat="1" ht="265.7" customHeight="1" x14ac:dyDescent="0.25">
      <c r="A83" s="100" t="s">
        <v>168</v>
      </c>
      <c r="B83" s="100" t="s">
        <v>2283</v>
      </c>
      <c r="C83" s="100" t="s">
        <v>87</v>
      </c>
      <c r="D83" s="101" t="str">
        <f>"Chemistry 342"</f>
        <v>Chemistry 342</v>
      </c>
      <c r="E83" s="102" t="s">
        <v>2284</v>
      </c>
      <c r="F83" s="100">
        <v>7</v>
      </c>
      <c r="G83" s="100">
        <v>1</v>
      </c>
      <c r="H83" s="100">
        <v>0.14000000000000001</v>
      </c>
      <c r="I83" s="100">
        <v>14</v>
      </c>
      <c r="J83" s="100">
        <v>7</v>
      </c>
      <c r="K83" s="100">
        <v>6</v>
      </c>
      <c r="L83" s="100">
        <v>2</v>
      </c>
      <c r="M83" s="100">
        <v>1</v>
      </c>
      <c r="N83" s="100">
        <v>5</v>
      </c>
      <c r="O83" s="100">
        <v>0</v>
      </c>
      <c r="P83" s="100">
        <v>1.06</v>
      </c>
      <c r="Q83" s="100">
        <v>85.01</v>
      </c>
      <c r="R83" s="100">
        <v>3</v>
      </c>
      <c r="S83" s="100">
        <v>1</v>
      </c>
      <c r="T83" s="100">
        <v>0</v>
      </c>
      <c r="U83" s="100">
        <v>0</v>
      </c>
      <c r="V83" s="100">
        <v>0</v>
      </c>
      <c r="W83" s="100">
        <v>0</v>
      </c>
      <c r="X83" s="100">
        <v>0</v>
      </c>
      <c r="Y83" s="100">
        <v>0</v>
      </c>
      <c r="Z83" s="100">
        <v>0</v>
      </c>
      <c r="AA83" s="100">
        <v>1</v>
      </c>
      <c r="AB83" s="100">
        <v>1</v>
      </c>
      <c r="AC83" s="100">
        <v>0</v>
      </c>
      <c r="AD83" s="100">
        <v>0</v>
      </c>
      <c r="AE83" s="100">
        <v>1</v>
      </c>
      <c r="AF83" s="100">
        <v>0</v>
      </c>
      <c r="AG83" s="100">
        <v>0</v>
      </c>
      <c r="AH83" s="100">
        <v>0</v>
      </c>
      <c r="AI83" s="100">
        <v>0</v>
      </c>
      <c r="AJ83" s="100">
        <v>1</v>
      </c>
      <c r="AK83" s="100">
        <v>0</v>
      </c>
      <c r="AL83" s="100">
        <v>0</v>
      </c>
      <c r="AM83" s="100">
        <v>0</v>
      </c>
      <c r="AN83" s="100">
        <v>0</v>
      </c>
      <c r="AO83" s="100">
        <v>1</v>
      </c>
      <c r="AP83" s="100">
        <v>0</v>
      </c>
      <c r="AQ83" s="100">
        <v>0</v>
      </c>
      <c r="AR83" s="100">
        <v>0</v>
      </c>
      <c r="AS83" s="100">
        <v>0</v>
      </c>
      <c r="AT83" s="100">
        <v>0</v>
      </c>
      <c r="AU83" s="100">
        <v>0</v>
      </c>
      <c r="AV83" s="100">
        <v>0</v>
      </c>
      <c r="AW83" s="100">
        <v>0</v>
      </c>
      <c r="AX83" s="100">
        <v>1</v>
      </c>
      <c r="AY83" s="100">
        <v>0</v>
      </c>
      <c r="AZ83" s="100">
        <v>0</v>
      </c>
      <c r="BA83" s="100">
        <v>0</v>
      </c>
      <c r="BB83" s="100">
        <v>0</v>
      </c>
      <c r="BC83" s="100">
        <v>1</v>
      </c>
      <c r="BD83" s="100">
        <v>0</v>
      </c>
      <c r="BE83" s="100">
        <v>0</v>
      </c>
      <c r="BF83" s="100">
        <v>0</v>
      </c>
      <c r="BG83" s="100">
        <v>0</v>
      </c>
      <c r="BH83" s="100">
        <v>0</v>
      </c>
      <c r="BI83" s="100">
        <v>0</v>
      </c>
      <c r="BJ83" s="100">
        <v>2</v>
      </c>
      <c r="BK83" s="100">
        <v>0</v>
      </c>
      <c r="BL83" s="100">
        <v>0</v>
      </c>
      <c r="BM83" s="100">
        <v>0</v>
      </c>
      <c r="BN83" s="100">
        <v>0</v>
      </c>
      <c r="BO83" s="100">
        <v>1</v>
      </c>
      <c r="BP83" s="100">
        <v>0</v>
      </c>
      <c r="BQ83" s="100">
        <v>0</v>
      </c>
      <c r="BR83" s="100">
        <v>0</v>
      </c>
      <c r="BS83" s="100">
        <v>0</v>
      </c>
      <c r="BT83" s="100">
        <v>0</v>
      </c>
      <c r="BU83" s="100">
        <v>0</v>
      </c>
      <c r="BV83" s="100">
        <v>0</v>
      </c>
      <c r="BW83" s="100">
        <v>0</v>
      </c>
      <c r="BX83" s="100">
        <v>0</v>
      </c>
      <c r="BY83" s="100">
        <v>0</v>
      </c>
      <c r="BZ83" s="100">
        <v>0</v>
      </c>
      <c r="CA83" s="100">
        <v>0</v>
      </c>
      <c r="CB83" s="100" t="s">
        <v>2090</v>
      </c>
      <c r="CC83" s="100">
        <v>0</v>
      </c>
      <c r="CD83" s="100">
        <v>0</v>
      </c>
      <c r="CE83" s="100">
        <v>0</v>
      </c>
      <c r="CF83" s="100">
        <v>0</v>
      </c>
      <c r="CG83" s="103">
        <v>26550.853449999999</v>
      </c>
      <c r="CH83" s="103">
        <v>2.1800000000000002</v>
      </c>
      <c r="CI83" s="103">
        <v>1219874.68894</v>
      </c>
      <c r="CJ83" s="103">
        <v>9.16</v>
      </c>
      <c r="CK83" s="103">
        <f t="shared" si="4"/>
        <v>19.968800000000002</v>
      </c>
      <c r="CL83" s="103">
        <v>9641.2000000000007</v>
      </c>
      <c r="CM83" s="103">
        <v>682857.3</v>
      </c>
      <c r="CN83" s="104">
        <v>1.4118908884769922E-2</v>
      </c>
      <c r="CO83" s="103">
        <v>28081.304349999999</v>
      </c>
      <c r="CP83" s="103">
        <v>1.1400000000000001</v>
      </c>
      <c r="CQ83" s="103">
        <v>415532.84065999999</v>
      </c>
      <c r="CR83" s="103">
        <v>1.52</v>
      </c>
      <c r="CS83" s="103">
        <f t="shared" si="5"/>
        <v>1.7328000000000001</v>
      </c>
      <c r="CT83" s="103">
        <v>0</v>
      </c>
      <c r="CU83" s="103">
        <v>13381</v>
      </c>
      <c r="CV83" s="104">
        <v>0</v>
      </c>
      <c r="CW83" s="103">
        <v>430502.79139000003</v>
      </c>
      <c r="CX83" s="103">
        <v>54.19</v>
      </c>
      <c r="CY83" s="103">
        <v>1967281.38304</v>
      </c>
      <c r="CZ83" s="103">
        <v>22.472391980272331</v>
      </c>
      <c r="DA83" s="103">
        <f t="shared" si="6"/>
        <v>1217.7789214109575</v>
      </c>
      <c r="DB83" s="103">
        <v>30549.7</v>
      </c>
      <c r="DC83" s="103">
        <v>561320</v>
      </c>
      <c r="DD83" s="104">
        <v>5.4424748806384954E-2</v>
      </c>
      <c r="DE83" s="103">
        <v>0</v>
      </c>
      <c r="DF83" s="103">
        <v>0</v>
      </c>
      <c r="DG83" s="103">
        <v>23452.90208</v>
      </c>
      <c r="DH83" s="103">
        <v>0</v>
      </c>
      <c r="DI83" s="103">
        <f t="shared" si="7"/>
        <v>0</v>
      </c>
      <c r="DJ83" s="103">
        <v>0</v>
      </c>
      <c r="DK83" s="103">
        <v>33436.9</v>
      </c>
      <c r="DL83" s="104">
        <v>0</v>
      </c>
    </row>
    <row r="84" spans="1:116" s="15" customFormat="1" ht="254.45" customHeight="1" x14ac:dyDescent="0.25">
      <c r="A84" s="100" t="s">
        <v>169</v>
      </c>
      <c r="B84" s="100" t="s">
        <v>2285</v>
      </c>
      <c r="C84" s="100" t="s">
        <v>87</v>
      </c>
      <c r="D84" s="101" t="str">
        <f>"Chemistry 284"</f>
        <v>Chemistry 284</v>
      </c>
      <c r="E84" s="102" t="s">
        <v>2286</v>
      </c>
      <c r="F84" s="100">
        <v>9</v>
      </c>
      <c r="G84" s="100">
        <v>6</v>
      </c>
      <c r="H84" s="100">
        <v>0.67</v>
      </c>
      <c r="I84" s="100">
        <v>14</v>
      </c>
      <c r="J84" s="100">
        <v>5</v>
      </c>
      <c r="K84" s="100">
        <v>4</v>
      </c>
      <c r="L84" s="100">
        <v>2</v>
      </c>
      <c r="M84" s="100">
        <v>1</v>
      </c>
      <c r="N84" s="100">
        <v>3</v>
      </c>
      <c r="O84" s="100">
        <v>2</v>
      </c>
      <c r="P84" s="100">
        <v>0.69</v>
      </c>
      <c r="Q84" s="100">
        <v>58.28</v>
      </c>
      <c r="R84" s="100">
        <v>1</v>
      </c>
      <c r="S84" s="100">
        <v>1</v>
      </c>
      <c r="T84" s="100">
        <v>0</v>
      </c>
      <c r="U84" s="100">
        <v>0</v>
      </c>
      <c r="V84" s="100">
        <v>0</v>
      </c>
      <c r="W84" s="100">
        <v>1</v>
      </c>
      <c r="X84" s="100">
        <v>0</v>
      </c>
      <c r="Y84" s="100">
        <v>1</v>
      </c>
      <c r="Z84" s="100">
        <v>0</v>
      </c>
      <c r="AA84" s="100">
        <v>0</v>
      </c>
      <c r="AB84" s="100">
        <v>0</v>
      </c>
      <c r="AC84" s="100">
        <v>1</v>
      </c>
      <c r="AD84" s="100">
        <v>0</v>
      </c>
      <c r="AE84" s="100">
        <v>1</v>
      </c>
      <c r="AF84" s="100">
        <v>0</v>
      </c>
      <c r="AG84" s="100">
        <v>0</v>
      </c>
      <c r="AH84" s="100">
        <v>0</v>
      </c>
      <c r="AI84" s="100">
        <v>0</v>
      </c>
      <c r="AJ84" s="100">
        <v>1</v>
      </c>
      <c r="AK84" s="100">
        <v>0</v>
      </c>
      <c r="AL84" s="100">
        <v>0</v>
      </c>
      <c r="AM84" s="100">
        <v>0</v>
      </c>
      <c r="AN84" s="100">
        <v>1</v>
      </c>
      <c r="AO84" s="100">
        <v>0</v>
      </c>
      <c r="AP84" s="100">
        <v>1</v>
      </c>
      <c r="AQ84" s="100">
        <v>0</v>
      </c>
      <c r="AR84" s="100">
        <v>0</v>
      </c>
      <c r="AS84" s="100">
        <v>0</v>
      </c>
      <c r="AT84" s="100">
        <v>0</v>
      </c>
      <c r="AU84" s="100">
        <v>0</v>
      </c>
      <c r="AV84" s="100">
        <v>0</v>
      </c>
      <c r="AW84" s="100">
        <v>0</v>
      </c>
      <c r="AX84" s="100">
        <v>0</v>
      </c>
      <c r="AY84" s="100">
        <v>0</v>
      </c>
      <c r="AZ84" s="100">
        <v>0</v>
      </c>
      <c r="BA84" s="100">
        <v>0</v>
      </c>
      <c r="BB84" s="100">
        <v>0</v>
      </c>
      <c r="BC84" s="100">
        <v>0</v>
      </c>
      <c r="BD84" s="100">
        <v>0</v>
      </c>
      <c r="BE84" s="100">
        <v>0</v>
      </c>
      <c r="BF84" s="100">
        <v>0</v>
      </c>
      <c r="BG84" s="100">
        <v>0</v>
      </c>
      <c r="BH84" s="100">
        <v>0</v>
      </c>
      <c r="BI84" s="100">
        <v>0</v>
      </c>
      <c r="BJ84" s="100">
        <v>2</v>
      </c>
      <c r="BK84" s="100">
        <v>0</v>
      </c>
      <c r="BL84" s="100">
        <v>0</v>
      </c>
      <c r="BM84" s="100">
        <v>0</v>
      </c>
      <c r="BN84" s="100">
        <v>0</v>
      </c>
      <c r="BO84" s="100">
        <v>0</v>
      </c>
      <c r="BP84" s="100">
        <v>0</v>
      </c>
      <c r="BQ84" s="100">
        <v>0</v>
      </c>
      <c r="BR84" s="100">
        <v>0</v>
      </c>
      <c r="BS84" s="100">
        <v>0</v>
      </c>
      <c r="BT84" s="100">
        <v>0</v>
      </c>
      <c r="BU84" s="100">
        <v>0</v>
      </c>
      <c r="BV84" s="100">
        <v>1</v>
      </c>
      <c r="BW84" s="100">
        <v>0</v>
      </c>
      <c r="BX84" s="100">
        <v>0</v>
      </c>
      <c r="BY84" s="100">
        <v>0</v>
      </c>
      <c r="BZ84" s="100">
        <v>0</v>
      </c>
      <c r="CA84" s="100">
        <v>0</v>
      </c>
      <c r="CB84" s="100" t="s">
        <v>2090</v>
      </c>
      <c r="CC84" s="100">
        <v>0</v>
      </c>
      <c r="CD84" s="100">
        <v>0</v>
      </c>
      <c r="CE84" s="100">
        <v>0</v>
      </c>
      <c r="CF84" s="100">
        <v>0</v>
      </c>
      <c r="CG84" s="103">
        <v>55983.662850000001</v>
      </c>
      <c r="CH84" s="103">
        <v>10.67</v>
      </c>
      <c r="CI84" s="103">
        <v>1851058.25966</v>
      </c>
      <c r="CJ84" s="103">
        <v>20.81</v>
      </c>
      <c r="CK84" s="103">
        <f t="shared" si="4"/>
        <v>222.0427</v>
      </c>
      <c r="CL84" s="103">
        <v>20044.8</v>
      </c>
      <c r="CM84" s="103">
        <v>751088.5</v>
      </c>
      <c r="CN84" s="104">
        <v>2.6687667298860254E-2</v>
      </c>
      <c r="CO84" s="103">
        <v>0</v>
      </c>
      <c r="CP84" s="103">
        <v>0</v>
      </c>
      <c r="CQ84" s="103">
        <v>0</v>
      </c>
      <c r="CR84" s="103">
        <v>0</v>
      </c>
      <c r="CS84" s="103">
        <f t="shared" si="5"/>
        <v>0</v>
      </c>
      <c r="CT84" s="103">
        <v>7807.8</v>
      </c>
      <c r="CU84" s="103">
        <v>926506.7</v>
      </c>
      <c r="CV84" s="104">
        <v>8.4271381955467791E-3</v>
      </c>
      <c r="CW84" s="103">
        <v>26599.553169999999</v>
      </c>
      <c r="CX84" s="103">
        <v>5.12</v>
      </c>
      <c r="CY84" s="103">
        <v>212212.72867000001</v>
      </c>
      <c r="CZ84" s="103">
        <v>4.9842418582934513</v>
      </c>
      <c r="DA84" s="103">
        <f t="shared" si="6"/>
        <v>25.51931831446247</v>
      </c>
      <c r="DB84" s="103">
        <v>1297.0999999999999</v>
      </c>
      <c r="DC84" s="103">
        <v>31548.5</v>
      </c>
      <c r="DD84" s="104">
        <v>4.1114474539201543E-2</v>
      </c>
      <c r="DE84" s="103">
        <v>0</v>
      </c>
      <c r="DF84" s="103">
        <v>0</v>
      </c>
      <c r="DG84" s="103">
        <v>0</v>
      </c>
      <c r="DH84" s="103">
        <v>0</v>
      </c>
      <c r="DI84" s="103">
        <f t="shared" si="7"/>
        <v>0</v>
      </c>
      <c r="DJ84" s="103">
        <v>8272.5</v>
      </c>
      <c r="DK84" s="103">
        <v>748758.7</v>
      </c>
      <c r="DL84" s="104">
        <v>1.1048285649301971E-2</v>
      </c>
    </row>
    <row r="85" spans="1:116" s="15" customFormat="1" ht="171.2" customHeight="1" x14ac:dyDescent="0.25">
      <c r="A85" s="100" t="s">
        <v>170</v>
      </c>
      <c r="B85" s="100" t="s">
        <v>2287</v>
      </c>
      <c r="C85" s="100" t="s">
        <v>87</v>
      </c>
      <c r="D85" s="101" t="str">
        <f>"Chemistry 364"</f>
        <v>Chemistry 364</v>
      </c>
      <c r="E85" s="102" t="s">
        <v>2288</v>
      </c>
      <c r="F85" s="100">
        <v>10</v>
      </c>
      <c r="G85" s="100">
        <v>1</v>
      </c>
      <c r="H85" s="100">
        <v>0.1</v>
      </c>
      <c r="I85" s="100">
        <v>15</v>
      </c>
      <c r="J85" s="100">
        <v>5</v>
      </c>
      <c r="K85" s="100">
        <v>1</v>
      </c>
      <c r="L85" s="100">
        <v>1</v>
      </c>
      <c r="M85" s="100">
        <v>2</v>
      </c>
      <c r="N85" s="100">
        <v>1</v>
      </c>
      <c r="O85" s="100">
        <v>0</v>
      </c>
      <c r="P85" s="100">
        <v>3.92</v>
      </c>
      <c r="Q85" s="100">
        <v>12.89</v>
      </c>
      <c r="R85" s="100">
        <v>1</v>
      </c>
      <c r="S85" s="100">
        <v>1</v>
      </c>
      <c r="T85" s="100">
        <v>0</v>
      </c>
      <c r="U85" s="100">
        <v>0</v>
      </c>
      <c r="V85" s="100">
        <v>0</v>
      </c>
      <c r="W85" s="100">
        <v>0</v>
      </c>
      <c r="X85" s="100">
        <v>1</v>
      </c>
      <c r="Y85" s="100">
        <v>0</v>
      </c>
      <c r="Z85" s="100">
        <v>0</v>
      </c>
      <c r="AA85" s="100">
        <v>1</v>
      </c>
      <c r="AB85" s="100">
        <v>0</v>
      </c>
      <c r="AC85" s="100">
        <v>1</v>
      </c>
      <c r="AD85" s="100">
        <v>0</v>
      </c>
      <c r="AE85" s="100">
        <v>0</v>
      </c>
      <c r="AF85" s="100">
        <v>0</v>
      </c>
      <c r="AG85" s="100">
        <v>1</v>
      </c>
      <c r="AH85" s="100">
        <v>1</v>
      </c>
      <c r="AI85" s="100">
        <v>0</v>
      </c>
      <c r="AJ85" s="100">
        <v>0</v>
      </c>
      <c r="AK85" s="100">
        <v>0</v>
      </c>
      <c r="AL85" s="100">
        <v>0</v>
      </c>
      <c r="AM85" s="100">
        <v>0</v>
      </c>
      <c r="AN85" s="100">
        <v>0</v>
      </c>
      <c r="AO85" s="100">
        <v>1</v>
      </c>
      <c r="AP85" s="100">
        <v>0</v>
      </c>
      <c r="AQ85" s="100">
        <v>0</v>
      </c>
      <c r="AR85" s="100">
        <v>0</v>
      </c>
      <c r="AS85" s="100">
        <v>0</v>
      </c>
      <c r="AT85" s="100">
        <v>0</v>
      </c>
      <c r="AU85" s="100">
        <v>0</v>
      </c>
      <c r="AV85" s="100">
        <v>0</v>
      </c>
      <c r="AW85" s="100">
        <v>0</v>
      </c>
      <c r="AX85" s="100">
        <v>0</v>
      </c>
      <c r="AY85" s="100">
        <v>0</v>
      </c>
      <c r="AZ85" s="100">
        <v>0</v>
      </c>
      <c r="BA85" s="100">
        <v>0</v>
      </c>
      <c r="BB85" s="100">
        <v>0</v>
      </c>
      <c r="BC85" s="100">
        <v>0</v>
      </c>
      <c r="BD85" s="100">
        <v>0</v>
      </c>
      <c r="BE85" s="100">
        <v>0</v>
      </c>
      <c r="BF85" s="100">
        <v>0</v>
      </c>
      <c r="BG85" s="100">
        <v>0</v>
      </c>
      <c r="BH85" s="100">
        <v>0</v>
      </c>
      <c r="BI85" s="100">
        <v>0</v>
      </c>
      <c r="BJ85" s="100">
        <v>0</v>
      </c>
      <c r="BK85" s="100">
        <v>0</v>
      </c>
      <c r="BL85" s="100">
        <v>0</v>
      </c>
      <c r="BM85" s="100">
        <v>0</v>
      </c>
      <c r="BN85" s="100">
        <v>0</v>
      </c>
      <c r="BO85" s="100">
        <v>1</v>
      </c>
      <c r="BP85" s="100">
        <v>0</v>
      </c>
      <c r="BQ85" s="100">
        <v>0</v>
      </c>
      <c r="BR85" s="100">
        <v>0</v>
      </c>
      <c r="BS85" s="100">
        <v>0</v>
      </c>
      <c r="BT85" s="100">
        <v>0</v>
      </c>
      <c r="BU85" s="100">
        <v>0</v>
      </c>
      <c r="BV85" s="100">
        <v>0</v>
      </c>
      <c r="BW85" s="100">
        <v>0</v>
      </c>
      <c r="BX85" s="100">
        <v>0</v>
      </c>
      <c r="BY85" s="100">
        <v>0</v>
      </c>
      <c r="BZ85" s="100">
        <v>0</v>
      </c>
      <c r="CA85" s="100">
        <v>0</v>
      </c>
      <c r="CB85" s="100" t="s">
        <v>2090</v>
      </c>
      <c r="CC85" s="100">
        <v>0</v>
      </c>
      <c r="CD85" s="100">
        <v>0</v>
      </c>
      <c r="CE85" s="100">
        <v>0</v>
      </c>
      <c r="CF85" s="100">
        <v>0</v>
      </c>
      <c r="CG85" s="103">
        <v>163590.44920999999</v>
      </c>
      <c r="CH85" s="103">
        <v>13.4</v>
      </c>
      <c r="CI85" s="103">
        <v>3009604.3888500002</v>
      </c>
      <c r="CJ85" s="103">
        <v>41.32</v>
      </c>
      <c r="CK85" s="103">
        <f t="shared" si="4"/>
        <v>553.68799999999999</v>
      </c>
      <c r="CL85" s="103">
        <v>199469</v>
      </c>
      <c r="CM85" s="103">
        <v>402489.5</v>
      </c>
      <c r="CN85" s="104">
        <v>0.49558808366429435</v>
      </c>
      <c r="CO85" s="103">
        <v>181981.86366</v>
      </c>
      <c r="CP85" s="103">
        <v>4.78</v>
      </c>
      <c r="CQ85" s="103">
        <v>3550069.8453700002</v>
      </c>
      <c r="CR85" s="103">
        <v>15.65</v>
      </c>
      <c r="CS85" s="103">
        <f t="shared" si="5"/>
        <v>74.807000000000002</v>
      </c>
      <c r="CT85" s="103">
        <v>66568.399999999994</v>
      </c>
      <c r="CU85" s="103">
        <v>210961.1</v>
      </c>
      <c r="CV85" s="104">
        <v>0.31554822192337828</v>
      </c>
      <c r="CW85" s="103">
        <v>392752.03907</v>
      </c>
      <c r="CX85" s="103">
        <v>52.45</v>
      </c>
      <c r="CY85" s="103">
        <v>3792612.7128499998</v>
      </c>
      <c r="CZ85" s="103">
        <v>49.780092592592581</v>
      </c>
      <c r="DA85" s="103">
        <f t="shared" si="6"/>
        <v>2610.9658564814808</v>
      </c>
      <c r="DB85" s="103">
        <v>619681.9</v>
      </c>
      <c r="DC85" s="103">
        <v>847148.8</v>
      </c>
      <c r="DD85" s="104">
        <v>0.73149120910045551</v>
      </c>
      <c r="DE85" s="103">
        <v>141448.13795999999</v>
      </c>
      <c r="DF85" s="103">
        <v>4.1100000000000003</v>
      </c>
      <c r="DG85" s="103">
        <v>3121556.6278599999</v>
      </c>
      <c r="DH85" s="103">
        <v>12.87</v>
      </c>
      <c r="DI85" s="103">
        <f t="shared" si="7"/>
        <v>52.895699999999998</v>
      </c>
      <c r="DJ85" s="103">
        <v>31931.5</v>
      </c>
      <c r="DK85" s="103">
        <v>106677.5</v>
      </c>
      <c r="DL85" s="104">
        <v>0.29932741205971269</v>
      </c>
    </row>
    <row r="86" spans="1:116" s="15" customFormat="1" ht="265.7" customHeight="1" x14ac:dyDescent="0.25">
      <c r="A86" s="100" t="s">
        <v>171</v>
      </c>
      <c r="B86" s="100" t="s">
        <v>2289</v>
      </c>
      <c r="C86" s="100" t="s">
        <v>87</v>
      </c>
      <c r="D86" s="101" t="str">
        <f>"Chemistry 316"</f>
        <v>Chemistry 316</v>
      </c>
      <c r="E86" s="102" t="s">
        <v>2290</v>
      </c>
      <c r="F86" s="100">
        <v>10</v>
      </c>
      <c r="G86" s="100">
        <v>1</v>
      </c>
      <c r="H86" s="100">
        <v>0.1</v>
      </c>
      <c r="I86" s="100">
        <v>16</v>
      </c>
      <c r="J86" s="100">
        <v>6</v>
      </c>
      <c r="K86" s="100">
        <v>5</v>
      </c>
      <c r="L86" s="100">
        <v>3</v>
      </c>
      <c r="M86" s="100">
        <v>2</v>
      </c>
      <c r="N86" s="100">
        <v>3</v>
      </c>
      <c r="O86" s="100">
        <v>1</v>
      </c>
      <c r="P86" s="100">
        <v>0.7</v>
      </c>
      <c r="Q86" s="100">
        <v>68.02</v>
      </c>
      <c r="R86" s="100">
        <v>3</v>
      </c>
      <c r="S86" s="100">
        <v>1</v>
      </c>
      <c r="T86" s="100">
        <v>0</v>
      </c>
      <c r="U86" s="100">
        <v>0</v>
      </c>
      <c r="V86" s="100">
        <v>0</v>
      </c>
      <c r="W86" s="100">
        <v>1</v>
      </c>
      <c r="X86" s="100">
        <v>0</v>
      </c>
      <c r="Y86" s="100">
        <v>0</v>
      </c>
      <c r="Z86" s="100">
        <v>1</v>
      </c>
      <c r="AA86" s="100">
        <v>0</v>
      </c>
      <c r="AB86" s="100">
        <v>0</v>
      </c>
      <c r="AC86" s="100">
        <v>1</v>
      </c>
      <c r="AD86" s="100">
        <v>0</v>
      </c>
      <c r="AE86" s="100">
        <v>1</v>
      </c>
      <c r="AF86" s="100">
        <v>0</v>
      </c>
      <c r="AG86" s="100">
        <v>0</v>
      </c>
      <c r="AH86" s="100">
        <v>0</v>
      </c>
      <c r="AI86" s="100">
        <v>0</v>
      </c>
      <c r="AJ86" s="100">
        <v>1</v>
      </c>
      <c r="AK86" s="100">
        <v>0</v>
      </c>
      <c r="AL86" s="100">
        <v>0</v>
      </c>
      <c r="AM86" s="100">
        <v>0</v>
      </c>
      <c r="AN86" s="100">
        <v>1</v>
      </c>
      <c r="AO86" s="100">
        <v>1</v>
      </c>
      <c r="AP86" s="100">
        <v>0</v>
      </c>
      <c r="AQ86" s="100">
        <v>0</v>
      </c>
      <c r="AR86" s="100">
        <v>0</v>
      </c>
      <c r="AS86" s="100">
        <v>0</v>
      </c>
      <c r="AT86" s="100">
        <v>1</v>
      </c>
      <c r="AU86" s="100">
        <v>0</v>
      </c>
      <c r="AV86" s="100">
        <v>0</v>
      </c>
      <c r="AW86" s="100">
        <v>0</v>
      </c>
      <c r="AX86" s="100">
        <v>0</v>
      </c>
      <c r="AY86" s="100">
        <v>0</v>
      </c>
      <c r="AZ86" s="100">
        <v>0</v>
      </c>
      <c r="BA86" s="100">
        <v>0</v>
      </c>
      <c r="BB86" s="100">
        <v>0</v>
      </c>
      <c r="BC86" s="100">
        <v>0</v>
      </c>
      <c r="BD86" s="100">
        <v>0</v>
      </c>
      <c r="BE86" s="100">
        <v>0</v>
      </c>
      <c r="BF86" s="100">
        <v>0</v>
      </c>
      <c r="BG86" s="100">
        <v>0</v>
      </c>
      <c r="BH86" s="100">
        <v>0</v>
      </c>
      <c r="BI86" s="100">
        <v>0</v>
      </c>
      <c r="BJ86" s="100">
        <v>1</v>
      </c>
      <c r="BK86" s="100">
        <v>0</v>
      </c>
      <c r="BL86" s="100">
        <v>1</v>
      </c>
      <c r="BM86" s="100">
        <v>0</v>
      </c>
      <c r="BN86" s="100">
        <v>0</v>
      </c>
      <c r="BO86" s="100">
        <v>1</v>
      </c>
      <c r="BP86" s="100">
        <v>0</v>
      </c>
      <c r="BQ86" s="100">
        <v>0</v>
      </c>
      <c r="BR86" s="100">
        <v>0</v>
      </c>
      <c r="BS86" s="100">
        <v>0</v>
      </c>
      <c r="BT86" s="100">
        <v>0</v>
      </c>
      <c r="BU86" s="100">
        <v>0</v>
      </c>
      <c r="BV86" s="100">
        <v>1</v>
      </c>
      <c r="BW86" s="100">
        <v>0</v>
      </c>
      <c r="BX86" s="100">
        <v>0</v>
      </c>
      <c r="BY86" s="100">
        <v>0</v>
      </c>
      <c r="BZ86" s="100">
        <v>0</v>
      </c>
      <c r="CA86" s="100">
        <v>0</v>
      </c>
      <c r="CB86" s="100" t="s">
        <v>2090</v>
      </c>
      <c r="CC86" s="100">
        <v>0</v>
      </c>
      <c r="CD86" s="100">
        <v>0</v>
      </c>
      <c r="CE86" s="100">
        <v>0</v>
      </c>
      <c r="CF86" s="100">
        <v>0</v>
      </c>
      <c r="CG86" s="103">
        <v>537382.12052</v>
      </c>
      <c r="CH86" s="103">
        <v>37.85</v>
      </c>
      <c r="CI86" s="103">
        <v>3710366.94435</v>
      </c>
      <c r="CJ86" s="103">
        <v>27.1</v>
      </c>
      <c r="CK86" s="103">
        <f t="shared" si="4"/>
        <v>1025.7350000000001</v>
      </c>
      <c r="CL86" s="103">
        <v>488614.3</v>
      </c>
      <c r="CM86" s="103">
        <v>675278.7</v>
      </c>
      <c r="CN86" s="104">
        <v>0.72357428125602075</v>
      </c>
      <c r="CO86" s="103">
        <v>41399.728499999997</v>
      </c>
      <c r="CP86" s="103">
        <v>2.5099999999999998</v>
      </c>
      <c r="CQ86" s="103">
        <v>1328778.9476099999</v>
      </c>
      <c r="CR86" s="103">
        <v>8.8000000000000007</v>
      </c>
      <c r="CS86" s="103">
        <f t="shared" si="5"/>
        <v>22.088000000000001</v>
      </c>
      <c r="CT86" s="103">
        <v>48799.5</v>
      </c>
      <c r="CU86" s="103">
        <v>381151</v>
      </c>
      <c r="CV86" s="104">
        <v>0.12803193484996761</v>
      </c>
      <c r="CW86" s="103">
        <v>533696.43651000003</v>
      </c>
      <c r="CX86" s="103">
        <v>39.340000000000003</v>
      </c>
      <c r="CY86" s="103">
        <v>3401687.9390099999</v>
      </c>
      <c r="CZ86" s="103">
        <v>27.767616998386227</v>
      </c>
      <c r="DA86" s="103">
        <f t="shared" si="6"/>
        <v>1092.3780527165143</v>
      </c>
      <c r="DB86" s="103">
        <v>552780.30000000005</v>
      </c>
      <c r="DC86" s="103">
        <v>687531.9</v>
      </c>
      <c r="DD86" s="104">
        <v>0.80400676681329264</v>
      </c>
      <c r="DE86" s="103">
        <v>21914.461350000001</v>
      </c>
      <c r="DF86" s="103">
        <v>1.43</v>
      </c>
      <c r="DG86" s="103">
        <v>822307.89223</v>
      </c>
      <c r="DH86" s="103">
        <v>4.74</v>
      </c>
      <c r="DI86" s="103">
        <f t="shared" si="7"/>
        <v>6.7782</v>
      </c>
      <c r="DJ86" s="103">
        <v>12872.4</v>
      </c>
      <c r="DK86" s="103">
        <v>251691.4</v>
      </c>
      <c r="DL86" s="104">
        <v>5.1143582975024179E-2</v>
      </c>
    </row>
    <row r="87" spans="1:116" s="15" customFormat="1" ht="265.7" customHeight="1" x14ac:dyDescent="0.25">
      <c r="A87" s="100" t="s">
        <v>172</v>
      </c>
      <c r="B87" s="100" t="s">
        <v>2291</v>
      </c>
      <c r="C87" s="100" t="s">
        <v>87</v>
      </c>
      <c r="D87" s="101" t="str">
        <f>"Chemistry 265"</f>
        <v>Chemistry 265</v>
      </c>
      <c r="E87" s="102" t="s">
        <v>2292</v>
      </c>
      <c r="F87" s="100">
        <v>10</v>
      </c>
      <c r="G87" s="100">
        <v>0</v>
      </c>
      <c r="H87" s="100">
        <v>0</v>
      </c>
      <c r="I87" s="100">
        <v>17</v>
      </c>
      <c r="J87" s="100">
        <v>7</v>
      </c>
      <c r="K87" s="100">
        <v>6</v>
      </c>
      <c r="L87" s="100">
        <v>5</v>
      </c>
      <c r="M87" s="100">
        <v>3</v>
      </c>
      <c r="N87" s="100">
        <v>5</v>
      </c>
      <c r="O87" s="100">
        <v>0</v>
      </c>
      <c r="P87" s="100">
        <v>0.57999999999999996</v>
      </c>
      <c r="Q87" s="100">
        <v>65.72</v>
      </c>
      <c r="R87" s="100">
        <v>2</v>
      </c>
      <c r="S87" s="100">
        <v>1</v>
      </c>
      <c r="T87" s="100">
        <v>0</v>
      </c>
      <c r="U87" s="100">
        <v>0</v>
      </c>
      <c r="V87" s="100">
        <v>1</v>
      </c>
      <c r="W87" s="100">
        <v>0</v>
      </c>
      <c r="X87" s="100">
        <v>0</v>
      </c>
      <c r="Y87" s="100">
        <v>0</v>
      </c>
      <c r="Z87" s="100">
        <v>0</v>
      </c>
      <c r="AA87" s="100">
        <v>1</v>
      </c>
      <c r="AB87" s="100">
        <v>1</v>
      </c>
      <c r="AC87" s="100">
        <v>0</v>
      </c>
      <c r="AD87" s="100">
        <v>0</v>
      </c>
      <c r="AE87" s="100">
        <v>1</v>
      </c>
      <c r="AF87" s="100">
        <v>0</v>
      </c>
      <c r="AG87" s="100">
        <v>0</v>
      </c>
      <c r="AH87" s="100">
        <v>0</v>
      </c>
      <c r="AI87" s="100">
        <v>0</v>
      </c>
      <c r="AJ87" s="100">
        <v>1</v>
      </c>
      <c r="AK87" s="100">
        <v>0</v>
      </c>
      <c r="AL87" s="100">
        <v>0</v>
      </c>
      <c r="AM87" s="100">
        <v>0</v>
      </c>
      <c r="AN87" s="100">
        <v>1</v>
      </c>
      <c r="AO87" s="100">
        <v>1</v>
      </c>
      <c r="AP87" s="100">
        <v>0</v>
      </c>
      <c r="AQ87" s="100">
        <v>0</v>
      </c>
      <c r="AR87" s="100">
        <v>0</v>
      </c>
      <c r="AS87" s="100">
        <v>0</v>
      </c>
      <c r="AT87" s="100">
        <v>0</v>
      </c>
      <c r="AU87" s="100">
        <v>0</v>
      </c>
      <c r="AV87" s="100">
        <v>0</v>
      </c>
      <c r="AW87" s="100">
        <v>0</v>
      </c>
      <c r="AX87" s="100">
        <v>0</v>
      </c>
      <c r="AY87" s="100">
        <v>0</v>
      </c>
      <c r="AZ87" s="100">
        <v>0</v>
      </c>
      <c r="BA87" s="100">
        <v>0</v>
      </c>
      <c r="BB87" s="100">
        <v>0</v>
      </c>
      <c r="BC87" s="100">
        <v>0</v>
      </c>
      <c r="BD87" s="100">
        <v>0</v>
      </c>
      <c r="BE87" s="100">
        <v>0</v>
      </c>
      <c r="BF87" s="100">
        <v>0</v>
      </c>
      <c r="BG87" s="100">
        <v>0</v>
      </c>
      <c r="BH87" s="100">
        <v>0</v>
      </c>
      <c r="BI87" s="100">
        <v>0</v>
      </c>
      <c r="BJ87" s="100">
        <v>0</v>
      </c>
      <c r="BK87" s="100">
        <v>0</v>
      </c>
      <c r="BL87" s="100">
        <v>0</v>
      </c>
      <c r="BM87" s="100">
        <v>0</v>
      </c>
      <c r="BN87" s="100">
        <v>0</v>
      </c>
      <c r="BO87" s="100">
        <v>0</v>
      </c>
      <c r="BP87" s="100">
        <v>1</v>
      </c>
      <c r="BQ87" s="100">
        <v>1</v>
      </c>
      <c r="BR87" s="100">
        <v>0</v>
      </c>
      <c r="BS87" s="100">
        <v>0</v>
      </c>
      <c r="BT87" s="100">
        <v>0</v>
      </c>
      <c r="BU87" s="100">
        <v>0</v>
      </c>
      <c r="BV87" s="100">
        <v>1</v>
      </c>
      <c r="BW87" s="100">
        <v>0</v>
      </c>
      <c r="BX87" s="100">
        <v>0</v>
      </c>
      <c r="BY87" s="100">
        <v>0</v>
      </c>
      <c r="BZ87" s="100">
        <v>0</v>
      </c>
      <c r="CA87" s="100">
        <v>0</v>
      </c>
      <c r="CB87" s="100" t="s">
        <v>2090</v>
      </c>
      <c r="CC87" s="100">
        <v>0</v>
      </c>
      <c r="CD87" s="100">
        <v>0</v>
      </c>
      <c r="CE87" s="100">
        <v>0</v>
      </c>
      <c r="CF87" s="100">
        <v>0</v>
      </c>
      <c r="CG87" s="103">
        <v>0</v>
      </c>
      <c r="CH87" s="103">
        <v>0</v>
      </c>
      <c r="CI87" s="103">
        <v>411.12729000000002</v>
      </c>
      <c r="CJ87" s="103">
        <v>0</v>
      </c>
      <c r="CK87" s="103">
        <f t="shared" si="4"/>
        <v>0</v>
      </c>
      <c r="CL87" s="103">
        <v>5237.3999999999996</v>
      </c>
      <c r="CM87" s="103">
        <v>818070.2</v>
      </c>
      <c r="CN87" s="104">
        <v>6.4021400608407445E-3</v>
      </c>
      <c r="CO87" s="103">
        <v>0</v>
      </c>
      <c r="CP87" s="103">
        <v>0</v>
      </c>
      <c r="CQ87" s="103">
        <v>2264.4520499999999</v>
      </c>
      <c r="CR87" s="103">
        <v>0</v>
      </c>
      <c r="CS87" s="103">
        <f t="shared" si="5"/>
        <v>0</v>
      </c>
      <c r="CT87" s="103">
        <v>8955.2000000000007</v>
      </c>
      <c r="CU87" s="103">
        <v>907443.5</v>
      </c>
      <c r="CV87" s="104">
        <v>9.8686033896325225E-3</v>
      </c>
      <c r="CW87" s="103">
        <v>0</v>
      </c>
      <c r="CX87" s="103">
        <v>0</v>
      </c>
      <c r="CY87" s="103">
        <v>1557.2260900000001</v>
      </c>
      <c r="CZ87" s="103">
        <v>0</v>
      </c>
      <c r="DA87" s="103">
        <f t="shared" si="6"/>
        <v>0</v>
      </c>
      <c r="DB87" s="103">
        <v>4767.8</v>
      </c>
      <c r="DC87" s="103">
        <v>178507.8</v>
      </c>
      <c r="DD87" s="104">
        <v>2.6709197021082556E-2</v>
      </c>
      <c r="DE87" s="103">
        <v>0</v>
      </c>
      <c r="DF87" s="103">
        <v>0</v>
      </c>
      <c r="DG87" s="103">
        <v>9916.3713399999997</v>
      </c>
      <c r="DH87" s="103">
        <v>1.1100000000000001</v>
      </c>
      <c r="DI87" s="103">
        <f t="shared" si="7"/>
        <v>0</v>
      </c>
      <c r="DJ87" s="103">
        <v>10060.6</v>
      </c>
      <c r="DK87" s="103">
        <v>651312.30000000005</v>
      </c>
      <c r="DL87" s="104">
        <v>1.5446660534431791E-2</v>
      </c>
    </row>
    <row r="88" spans="1:116" s="15" customFormat="1" ht="218.45" customHeight="1" x14ac:dyDescent="0.25">
      <c r="A88" s="100" t="s">
        <v>173</v>
      </c>
      <c r="B88" s="100" t="s">
        <v>2293</v>
      </c>
      <c r="C88" s="100" t="s">
        <v>87</v>
      </c>
      <c r="D88" s="101" t="str">
        <f>"Chemistry 301"</f>
        <v>Chemistry 301</v>
      </c>
      <c r="E88" s="102" t="s">
        <v>2294</v>
      </c>
      <c r="F88" s="100">
        <v>10</v>
      </c>
      <c r="G88" s="100">
        <v>2</v>
      </c>
      <c r="H88" s="100">
        <v>0.2</v>
      </c>
      <c r="I88" s="100">
        <v>17</v>
      </c>
      <c r="J88" s="100">
        <v>7</v>
      </c>
      <c r="K88" s="100">
        <v>6</v>
      </c>
      <c r="L88" s="100">
        <v>4</v>
      </c>
      <c r="M88" s="100">
        <v>2</v>
      </c>
      <c r="N88" s="100">
        <v>5</v>
      </c>
      <c r="O88" s="100">
        <v>0</v>
      </c>
      <c r="P88" s="100">
        <v>0.99</v>
      </c>
      <c r="Q88" s="100">
        <v>69.900000000000006</v>
      </c>
      <c r="R88" s="100">
        <v>4</v>
      </c>
      <c r="S88" s="100">
        <v>1</v>
      </c>
      <c r="T88" s="100">
        <v>0</v>
      </c>
      <c r="U88" s="100">
        <v>0</v>
      </c>
      <c r="V88" s="100">
        <v>1</v>
      </c>
      <c r="W88" s="100">
        <v>0</v>
      </c>
      <c r="X88" s="100">
        <v>0</v>
      </c>
      <c r="Y88" s="100">
        <v>0</v>
      </c>
      <c r="Z88" s="100">
        <v>0</v>
      </c>
      <c r="AA88" s="100">
        <v>1</v>
      </c>
      <c r="AB88" s="100">
        <v>1</v>
      </c>
      <c r="AC88" s="100">
        <v>0</v>
      </c>
      <c r="AD88" s="100">
        <v>0</v>
      </c>
      <c r="AE88" s="100">
        <v>1</v>
      </c>
      <c r="AF88" s="100">
        <v>0</v>
      </c>
      <c r="AG88" s="100">
        <v>0</v>
      </c>
      <c r="AH88" s="100">
        <v>0</v>
      </c>
      <c r="AI88" s="100">
        <v>0</v>
      </c>
      <c r="AJ88" s="100">
        <v>1</v>
      </c>
      <c r="AK88" s="100">
        <v>0</v>
      </c>
      <c r="AL88" s="100">
        <v>0</v>
      </c>
      <c r="AM88" s="100">
        <v>0</v>
      </c>
      <c r="AN88" s="100">
        <v>1</v>
      </c>
      <c r="AO88" s="100">
        <v>1</v>
      </c>
      <c r="AP88" s="100">
        <v>0</v>
      </c>
      <c r="AQ88" s="100">
        <v>0</v>
      </c>
      <c r="AR88" s="100">
        <v>0</v>
      </c>
      <c r="AS88" s="100">
        <v>0</v>
      </c>
      <c r="AT88" s="100">
        <v>0</v>
      </c>
      <c r="AU88" s="100">
        <v>0</v>
      </c>
      <c r="AV88" s="100">
        <v>0</v>
      </c>
      <c r="AW88" s="100">
        <v>0</v>
      </c>
      <c r="AX88" s="100">
        <v>1</v>
      </c>
      <c r="AY88" s="100">
        <v>0</v>
      </c>
      <c r="AZ88" s="100">
        <v>0</v>
      </c>
      <c r="BA88" s="100">
        <v>0</v>
      </c>
      <c r="BB88" s="100">
        <v>0</v>
      </c>
      <c r="BC88" s="100">
        <v>0</v>
      </c>
      <c r="BD88" s="100">
        <v>0</v>
      </c>
      <c r="BE88" s="100">
        <v>0</v>
      </c>
      <c r="BF88" s="100">
        <v>0</v>
      </c>
      <c r="BG88" s="100">
        <v>0</v>
      </c>
      <c r="BH88" s="100">
        <v>0</v>
      </c>
      <c r="BI88" s="100">
        <v>0</v>
      </c>
      <c r="BJ88" s="100">
        <v>1</v>
      </c>
      <c r="BK88" s="100">
        <v>0</v>
      </c>
      <c r="BL88" s="100">
        <v>0</v>
      </c>
      <c r="BM88" s="100">
        <v>0</v>
      </c>
      <c r="BN88" s="100">
        <v>0</v>
      </c>
      <c r="BO88" s="100">
        <v>1</v>
      </c>
      <c r="BP88" s="100">
        <v>0</v>
      </c>
      <c r="BQ88" s="100">
        <v>0</v>
      </c>
      <c r="BR88" s="100">
        <v>0</v>
      </c>
      <c r="BS88" s="100">
        <v>0</v>
      </c>
      <c r="BT88" s="100">
        <v>0</v>
      </c>
      <c r="BU88" s="100">
        <v>0</v>
      </c>
      <c r="BV88" s="100">
        <v>1</v>
      </c>
      <c r="BW88" s="100">
        <v>0</v>
      </c>
      <c r="BX88" s="100">
        <v>0</v>
      </c>
      <c r="BY88" s="100">
        <v>0</v>
      </c>
      <c r="BZ88" s="100">
        <v>0</v>
      </c>
      <c r="CA88" s="100">
        <v>0</v>
      </c>
      <c r="CB88" s="100" t="s">
        <v>2090</v>
      </c>
      <c r="CC88" s="100">
        <v>0</v>
      </c>
      <c r="CD88" s="100">
        <v>0</v>
      </c>
      <c r="CE88" s="100">
        <v>0</v>
      </c>
      <c r="CF88" s="100">
        <v>0</v>
      </c>
      <c r="CG88" s="103">
        <v>418928.95309999998</v>
      </c>
      <c r="CH88" s="103">
        <v>40.229999999999997</v>
      </c>
      <c r="CI88" s="103">
        <v>3777657.8384099999</v>
      </c>
      <c r="CJ88" s="103">
        <v>25.71</v>
      </c>
      <c r="CK88" s="103">
        <f t="shared" si="4"/>
        <v>1034.3133</v>
      </c>
      <c r="CL88" s="103">
        <v>221563.1</v>
      </c>
      <c r="CM88" s="103">
        <v>874448.3</v>
      </c>
      <c r="CN88" s="104">
        <v>0.2533747278140972</v>
      </c>
      <c r="CO88" s="103">
        <v>99793.332339999994</v>
      </c>
      <c r="CP88" s="103">
        <v>6.12</v>
      </c>
      <c r="CQ88" s="103">
        <v>2324747.6874299999</v>
      </c>
      <c r="CR88" s="103">
        <v>11.86</v>
      </c>
      <c r="CS88" s="103">
        <f t="shared" si="5"/>
        <v>72.583199999999991</v>
      </c>
      <c r="CT88" s="103">
        <v>30871</v>
      </c>
      <c r="CU88" s="103">
        <v>419810.7</v>
      </c>
      <c r="CV88" s="104">
        <v>7.3535524463764268E-2</v>
      </c>
      <c r="CW88" s="103">
        <v>359015.68521999998</v>
      </c>
      <c r="CX88" s="103">
        <v>36.1</v>
      </c>
      <c r="CY88" s="103">
        <v>3290773.3911100002</v>
      </c>
      <c r="CZ88" s="103">
        <v>26.287862038470042</v>
      </c>
      <c r="DA88" s="103">
        <f t="shared" si="6"/>
        <v>948.99181958876852</v>
      </c>
      <c r="DB88" s="103">
        <v>49931.3</v>
      </c>
      <c r="DC88" s="103">
        <v>202366.2</v>
      </c>
      <c r="DD88" s="104">
        <v>0.24673735040733086</v>
      </c>
      <c r="DE88" s="103">
        <v>55655.165309999997</v>
      </c>
      <c r="DF88" s="103">
        <v>3.83</v>
      </c>
      <c r="DG88" s="103">
        <v>1787346.10216</v>
      </c>
      <c r="DH88" s="103">
        <v>8.9499999999999993</v>
      </c>
      <c r="DI88" s="103">
        <f t="shared" si="7"/>
        <v>34.278500000000001</v>
      </c>
      <c r="DJ88" s="103">
        <v>9684.7999999999993</v>
      </c>
      <c r="DK88" s="103">
        <v>438709.8</v>
      </c>
      <c r="DL88" s="104">
        <v>2.2075640890629751E-2</v>
      </c>
    </row>
    <row r="89" spans="1:116" s="15" customFormat="1" ht="265.7" customHeight="1" x14ac:dyDescent="0.25">
      <c r="A89" s="100" t="s">
        <v>174</v>
      </c>
      <c r="B89" s="100" t="s">
        <v>2295</v>
      </c>
      <c r="C89" s="100" t="s">
        <v>87</v>
      </c>
      <c r="D89" s="101" t="str">
        <f>"Chemistry 361"</f>
        <v>Chemistry 361</v>
      </c>
      <c r="E89" s="102" t="s">
        <v>2296</v>
      </c>
      <c r="F89" s="100">
        <v>12</v>
      </c>
      <c r="G89" s="100">
        <v>6</v>
      </c>
      <c r="H89" s="100">
        <v>0.5</v>
      </c>
      <c r="I89" s="100">
        <v>17</v>
      </c>
      <c r="J89" s="100">
        <v>5</v>
      </c>
      <c r="K89" s="100">
        <v>4</v>
      </c>
      <c r="L89" s="100">
        <v>1</v>
      </c>
      <c r="M89" s="100">
        <v>1</v>
      </c>
      <c r="N89" s="100">
        <v>4</v>
      </c>
      <c r="O89" s="100">
        <v>0</v>
      </c>
      <c r="P89" s="100">
        <v>3.11</v>
      </c>
      <c r="Q89" s="100">
        <v>48.42</v>
      </c>
      <c r="R89" s="100">
        <v>6</v>
      </c>
      <c r="S89" s="100">
        <v>1</v>
      </c>
      <c r="T89" s="100">
        <v>0</v>
      </c>
      <c r="U89" s="100">
        <v>0</v>
      </c>
      <c r="V89" s="100">
        <v>0</v>
      </c>
      <c r="W89" s="100">
        <v>0</v>
      </c>
      <c r="X89" s="100">
        <v>1</v>
      </c>
      <c r="Y89" s="100">
        <v>0</v>
      </c>
      <c r="Z89" s="100">
        <v>0</v>
      </c>
      <c r="AA89" s="100">
        <v>1</v>
      </c>
      <c r="AB89" s="100">
        <v>1</v>
      </c>
      <c r="AC89" s="100">
        <v>0</v>
      </c>
      <c r="AD89" s="100">
        <v>0</v>
      </c>
      <c r="AE89" s="100">
        <v>0</v>
      </c>
      <c r="AF89" s="100">
        <v>0</v>
      </c>
      <c r="AG89" s="100">
        <v>1</v>
      </c>
      <c r="AH89" s="100">
        <v>0</v>
      </c>
      <c r="AI89" s="100">
        <v>0</v>
      </c>
      <c r="AJ89" s="100">
        <v>1</v>
      </c>
      <c r="AK89" s="100">
        <v>0</v>
      </c>
      <c r="AL89" s="100">
        <v>0</v>
      </c>
      <c r="AM89" s="100">
        <v>0</v>
      </c>
      <c r="AN89" s="100">
        <v>0</v>
      </c>
      <c r="AO89" s="100">
        <v>1</v>
      </c>
      <c r="AP89" s="100">
        <v>0</v>
      </c>
      <c r="AQ89" s="100">
        <v>0</v>
      </c>
      <c r="AR89" s="100">
        <v>0</v>
      </c>
      <c r="AS89" s="100">
        <v>0</v>
      </c>
      <c r="AT89" s="100">
        <v>0</v>
      </c>
      <c r="AU89" s="100">
        <v>0</v>
      </c>
      <c r="AV89" s="100">
        <v>0</v>
      </c>
      <c r="AW89" s="100">
        <v>0</v>
      </c>
      <c r="AX89" s="100">
        <v>1</v>
      </c>
      <c r="AY89" s="100">
        <v>0</v>
      </c>
      <c r="AZ89" s="100">
        <v>0</v>
      </c>
      <c r="BA89" s="100">
        <v>0</v>
      </c>
      <c r="BB89" s="100">
        <v>0</v>
      </c>
      <c r="BC89" s="100">
        <v>0</v>
      </c>
      <c r="BD89" s="100">
        <v>0</v>
      </c>
      <c r="BE89" s="100">
        <v>0</v>
      </c>
      <c r="BF89" s="100">
        <v>0</v>
      </c>
      <c r="BG89" s="100">
        <v>0</v>
      </c>
      <c r="BH89" s="100">
        <v>0</v>
      </c>
      <c r="BI89" s="100">
        <v>0</v>
      </c>
      <c r="BJ89" s="100">
        <v>1</v>
      </c>
      <c r="BK89" s="100">
        <v>0</v>
      </c>
      <c r="BL89" s="100">
        <v>0</v>
      </c>
      <c r="BM89" s="100">
        <v>0</v>
      </c>
      <c r="BN89" s="100">
        <v>0</v>
      </c>
      <c r="BO89" s="100">
        <v>1</v>
      </c>
      <c r="BP89" s="100">
        <v>0</v>
      </c>
      <c r="BQ89" s="100">
        <v>0</v>
      </c>
      <c r="BR89" s="100">
        <v>0</v>
      </c>
      <c r="BS89" s="100">
        <v>0</v>
      </c>
      <c r="BT89" s="100">
        <v>0</v>
      </c>
      <c r="BU89" s="100">
        <v>0</v>
      </c>
      <c r="BV89" s="100">
        <v>0</v>
      </c>
      <c r="BW89" s="100">
        <v>0</v>
      </c>
      <c r="BX89" s="100">
        <v>0</v>
      </c>
      <c r="BY89" s="100">
        <v>0</v>
      </c>
      <c r="BZ89" s="100">
        <v>0</v>
      </c>
      <c r="CA89" s="100">
        <v>0</v>
      </c>
      <c r="CB89" s="100" t="s">
        <v>2090</v>
      </c>
      <c r="CC89" s="100">
        <v>0</v>
      </c>
      <c r="CD89" s="100">
        <v>0</v>
      </c>
      <c r="CE89" s="100">
        <v>0</v>
      </c>
      <c r="CF89" s="100">
        <v>0</v>
      </c>
      <c r="CG89" s="103">
        <v>296642.09464999998</v>
      </c>
      <c r="CH89" s="103">
        <v>26.92</v>
      </c>
      <c r="CI89" s="103">
        <v>4571213.6098699998</v>
      </c>
      <c r="CJ89" s="103">
        <v>31.58</v>
      </c>
      <c r="CK89" s="103">
        <f t="shared" si="4"/>
        <v>850.1336</v>
      </c>
      <c r="CL89" s="103">
        <v>556704.69999999995</v>
      </c>
      <c r="CM89" s="103">
        <v>804673.5</v>
      </c>
      <c r="CN89" s="104">
        <v>0.69183923665934066</v>
      </c>
      <c r="CO89" s="103">
        <v>14204.26866</v>
      </c>
      <c r="CP89" s="103">
        <v>0.88</v>
      </c>
      <c r="CQ89" s="103">
        <v>1317364.5614499999</v>
      </c>
      <c r="CR89" s="103">
        <v>8.3800000000000008</v>
      </c>
      <c r="CS89" s="103">
        <f t="shared" si="5"/>
        <v>7.3744000000000005</v>
      </c>
      <c r="CT89" s="103">
        <v>42359.9</v>
      </c>
      <c r="CU89" s="103">
        <v>716764.5</v>
      </c>
      <c r="CV89" s="104">
        <v>5.9098769540065113E-2</v>
      </c>
      <c r="CW89" s="103">
        <v>184577.17910000001</v>
      </c>
      <c r="CX89" s="103">
        <v>20.59</v>
      </c>
      <c r="CY89" s="103">
        <v>3769504.27024</v>
      </c>
      <c r="CZ89" s="103">
        <v>25.10382513661202</v>
      </c>
      <c r="DA89" s="103">
        <f t="shared" si="6"/>
        <v>516.88775956284144</v>
      </c>
      <c r="DB89" s="103">
        <v>294417.5</v>
      </c>
      <c r="DC89" s="103">
        <v>605510</v>
      </c>
      <c r="DD89" s="104">
        <v>0.48623061551419466</v>
      </c>
      <c r="DE89" s="103">
        <v>22537.303070000002</v>
      </c>
      <c r="DF89" s="103">
        <v>1.26</v>
      </c>
      <c r="DG89" s="103">
        <v>463280.91382000002</v>
      </c>
      <c r="DH89" s="103">
        <v>3.68</v>
      </c>
      <c r="DI89" s="103">
        <f t="shared" si="7"/>
        <v>4.6368</v>
      </c>
      <c r="DJ89" s="103">
        <v>9259</v>
      </c>
      <c r="DK89" s="103">
        <v>682348.9</v>
      </c>
      <c r="DL89" s="104">
        <v>1.3569304500967173E-2</v>
      </c>
    </row>
    <row r="90" spans="1:116" s="15" customFormat="1" ht="251.45" customHeight="1" x14ac:dyDescent="0.25">
      <c r="A90" s="100" t="s">
        <v>175</v>
      </c>
      <c r="B90" s="100" t="s">
        <v>2297</v>
      </c>
      <c r="C90" s="100" t="s">
        <v>87</v>
      </c>
      <c r="D90" s="101" t="str">
        <f>"Chemistry 330"</f>
        <v>Chemistry 330</v>
      </c>
      <c r="E90" s="102" t="s">
        <v>2298</v>
      </c>
      <c r="F90" s="100">
        <v>11</v>
      </c>
      <c r="G90" s="100">
        <v>6</v>
      </c>
      <c r="H90" s="100">
        <v>0.55000000000000004</v>
      </c>
      <c r="I90" s="100">
        <v>16</v>
      </c>
      <c r="J90" s="100">
        <v>5</v>
      </c>
      <c r="K90" s="100">
        <v>4</v>
      </c>
      <c r="L90" s="100">
        <v>2</v>
      </c>
      <c r="M90" s="100">
        <v>1</v>
      </c>
      <c r="N90" s="100">
        <v>2</v>
      </c>
      <c r="O90" s="100">
        <v>1</v>
      </c>
      <c r="P90" s="100">
        <v>3.15</v>
      </c>
      <c r="Q90" s="100">
        <v>34.03</v>
      </c>
      <c r="R90" s="100">
        <v>5</v>
      </c>
      <c r="S90" s="100">
        <v>1</v>
      </c>
      <c r="T90" s="100">
        <v>0</v>
      </c>
      <c r="U90" s="100">
        <v>0</v>
      </c>
      <c r="V90" s="100">
        <v>0</v>
      </c>
      <c r="W90" s="100">
        <v>1</v>
      </c>
      <c r="X90" s="100">
        <v>0</v>
      </c>
      <c r="Y90" s="100">
        <v>0</v>
      </c>
      <c r="Z90" s="100">
        <v>1</v>
      </c>
      <c r="AA90" s="100">
        <v>0</v>
      </c>
      <c r="AB90" s="100">
        <v>0</v>
      </c>
      <c r="AC90" s="100">
        <v>1</v>
      </c>
      <c r="AD90" s="100">
        <v>0</v>
      </c>
      <c r="AE90" s="100">
        <v>0</v>
      </c>
      <c r="AF90" s="100">
        <v>0</v>
      </c>
      <c r="AG90" s="100">
        <v>1</v>
      </c>
      <c r="AH90" s="100">
        <v>0</v>
      </c>
      <c r="AI90" s="100">
        <v>1</v>
      </c>
      <c r="AJ90" s="100">
        <v>0</v>
      </c>
      <c r="AK90" s="100">
        <v>0</v>
      </c>
      <c r="AL90" s="100">
        <v>0</v>
      </c>
      <c r="AM90" s="100">
        <v>0</v>
      </c>
      <c r="AN90" s="100">
        <v>1</v>
      </c>
      <c r="AO90" s="100">
        <v>0</v>
      </c>
      <c r="AP90" s="100">
        <v>0</v>
      </c>
      <c r="AQ90" s="100">
        <v>0</v>
      </c>
      <c r="AR90" s="100">
        <v>0</v>
      </c>
      <c r="AS90" s="100">
        <v>0</v>
      </c>
      <c r="AT90" s="100">
        <v>1</v>
      </c>
      <c r="AU90" s="100">
        <v>0</v>
      </c>
      <c r="AV90" s="100">
        <v>0</v>
      </c>
      <c r="AW90" s="100">
        <v>0</v>
      </c>
      <c r="AX90" s="100">
        <v>0</v>
      </c>
      <c r="AY90" s="100">
        <v>0</v>
      </c>
      <c r="AZ90" s="100">
        <v>0</v>
      </c>
      <c r="BA90" s="100">
        <v>0</v>
      </c>
      <c r="BB90" s="100">
        <v>0</v>
      </c>
      <c r="BC90" s="100">
        <v>0</v>
      </c>
      <c r="BD90" s="100">
        <v>0</v>
      </c>
      <c r="BE90" s="100">
        <v>1</v>
      </c>
      <c r="BF90" s="100">
        <v>0</v>
      </c>
      <c r="BG90" s="100">
        <v>0</v>
      </c>
      <c r="BH90" s="100">
        <v>0</v>
      </c>
      <c r="BI90" s="100">
        <v>0</v>
      </c>
      <c r="BJ90" s="100">
        <v>2</v>
      </c>
      <c r="BK90" s="100">
        <v>0</v>
      </c>
      <c r="BL90" s="100">
        <v>1</v>
      </c>
      <c r="BM90" s="100">
        <v>0</v>
      </c>
      <c r="BN90" s="100">
        <v>0</v>
      </c>
      <c r="BO90" s="100">
        <v>0</v>
      </c>
      <c r="BP90" s="100">
        <v>0</v>
      </c>
      <c r="BQ90" s="100">
        <v>0</v>
      </c>
      <c r="BR90" s="100">
        <v>0</v>
      </c>
      <c r="BS90" s="100">
        <v>0</v>
      </c>
      <c r="BT90" s="100">
        <v>0</v>
      </c>
      <c r="BU90" s="100">
        <v>0</v>
      </c>
      <c r="BV90" s="100">
        <v>1</v>
      </c>
      <c r="BW90" s="100">
        <v>0</v>
      </c>
      <c r="BX90" s="100">
        <v>0</v>
      </c>
      <c r="BY90" s="100">
        <v>0</v>
      </c>
      <c r="BZ90" s="100">
        <v>0</v>
      </c>
      <c r="CA90" s="100">
        <v>0</v>
      </c>
      <c r="CB90" s="100" t="s">
        <v>2090</v>
      </c>
      <c r="CC90" s="100">
        <v>0</v>
      </c>
      <c r="CD90" s="100">
        <v>0</v>
      </c>
      <c r="CE90" s="100">
        <v>0</v>
      </c>
      <c r="CF90" s="100">
        <v>0</v>
      </c>
      <c r="CG90" s="103">
        <v>93814.309179999997</v>
      </c>
      <c r="CH90" s="103">
        <v>9.59</v>
      </c>
      <c r="CI90" s="103">
        <v>2323002.4108699998</v>
      </c>
      <c r="CJ90" s="103">
        <v>22.7</v>
      </c>
      <c r="CK90" s="103">
        <f t="shared" si="4"/>
        <v>217.69299999999998</v>
      </c>
      <c r="CL90" s="103">
        <v>172470.9</v>
      </c>
      <c r="CM90" s="103">
        <v>849465.2</v>
      </c>
      <c r="CN90" s="104">
        <v>0.20303468582350401</v>
      </c>
      <c r="CO90" s="103">
        <v>34180.200109999998</v>
      </c>
      <c r="CP90" s="103">
        <v>2.1</v>
      </c>
      <c r="CQ90" s="103">
        <v>8495.8624400000008</v>
      </c>
      <c r="CR90" s="103">
        <v>11.4</v>
      </c>
      <c r="CS90" s="103">
        <f t="shared" si="5"/>
        <v>23.94</v>
      </c>
      <c r="CT90" s="103">
        <v>8996.7000000000007</v>
      </c>
      <c r="CU90" s="103">
        <v>765150.5</v>
      </c>
      <c r="CV90" s="104">
        <v>1.1758078966164175E-2</v>
      </c>
      <c r="CW90" s="103">
        <v>26058.90742</v>
      </c>
      <c r="CX90" s="103">
        <v>2.2800000000000002</v>
      </c>
      <c r="CY90" s="103">
        <v>8992.6944700000004</v>
      </c>
      <c r="CZ90" s="103">
        <v>10.756556045486189</v>
      </c>
      <c r="DA90" s="103">
        <f t="shared" si="6"/>
        <v>24.524947783708512</v>
      </c>
      <c r="DB90" s="103">
        <v>3915</v>
      </c>
      <c r="DC90" s="103">
        <v>868269.4</v>
      </c>
      <c r="DD90" s="104">
        <v>4.5089692208432081E-3</v>
      </c>
      <c r="DE90" s="103">
        <v>121478.33327</v>
      </c>
      <c r="DF90" s="103">
        <v>7.36</v>
      </c>
      <c r="DG90" s="103">
        <v>12296.16948</v>
      </c>
      <c r="DH90" s="103">
        <v>15.24</v>
      </c>
      <c r="DI90" s="103">
        <f t="shared" si="7"/>
        <v>112.16640000000001</v>
      </c>
      <c r="DJ90" s="103">
        <v>13762.3</v>
      </c>
      <c r="DK90" s="103">
        <v>863194.5</v>
      </c>
      <c r="DL90" s="104">
        <v>1.5943451910316851E-2</v>
      </c>
    </row>
    <row r="91" spans="1:116" s="15" customFormat="1" ht="206.45" customHeight="1" x14ac:dyDescent="0.25">
      <c r="A91" s="100" t="s">
        <v>176</v>
      </c>
      <c r="B91" s="100" t="s">
        <v>2299</v>
      </c>
      <c r="C91" s="100" t="s">
        <v>87</v>
      </c>
      <c r="D91" s="101" t="str">
        <f>"Chemistry 311"</f>
        <v>Chemistry 311</v>
      </c>
      <c r="E91" s="102" t="s">
        <v>2300</v>
      </c>
      <c r="F91" s="100">
        <v>12</v>
      </c>
      <c r="G91" s="100">
        <v>2</v>
      </c>
      <c r="H91" s="100">
        <v>0.17</v>
      </c>
      <c r="I91" s="100">
        <v>19</v>
      </c>
      <c r="J91" s="100">
        <v>7</v>
      </c>
      <c r="K91" s="100">
        <v>3</v>
      </c>
      <c r="L91" s="100">
        <v>3</v>
      </c>
      <c r="M91" s="100">
        <v>2</v>
      </c>
      <c r="N91" s="100">
        <v>3</v>
      </c>
      <c r="O91" s="100">
        <v>1</v>
      </c>
      <c r="P91" s="100">
        <v>4.33</v>
      </c>
      <c r="Q91" s="100">
        <v>37.81</v>
      </c>
      <c r="R91" s="100">
        <v>3</v>
      </c>
      <c r="S91" s="100">
        <v>1</v>
      </c>
      <c r="T91" s="100">
        <v>0</v>
      </c>
      <c r="U91" s="100">
        <v>0</v>
      </c>
      <c r="V91" s="100">
        <v>0</v>
      </c>
      <c r="W91" s="100">
        <v>1</v>
      </c>
      <c r="X91" s="100">
        <v>0</v>
      </c>
      <c r="Y91" s="100">
        <v>0</v>
      </c>
      <c r="Z91" s="100">
        <v>1</v>
      </c>
      <c r="AA91" s="100">
        <v>0</v>
      </c>
      <c r="AB91" s="100">
        <v>0</v>
      </c>
      <c r="AC91" s="100">
        <v>1</v>
      </c>
      <c r="AD91" s="100">
        <v>0</v>
      </c>
      <c r="AE91" s="100">
        <v>0</v>
      </c>
      <c r="AF91" s="100">
        <v>0</v>
      </c>
      <c r="AG91" s="100">
        <v>1</v>
      </c>
      <c r="AH91" s="100">
        <v>0</v>
      </c>
      <c r="AI91" s="100">
        <v>1</v>
      </c>
      <c r="AJ91" s="100">
        <v>0</v>
      </c>
      <c r="AK91" s="100">
        <v>0</v>
      </c>
      <c r="AL91" s="100">
        <v>0</v>
      </c>
      <c r="AM91" s="100">
        <v>0</v>
      </c>
      <c r="AN91" s="100">
        <v>0</v>
      </c>
      <c r="AO91" s="100">
        <v>1</v>
      </c>
      <c r="AP91" s="100">
        <v>0</v>
      </c>
      <c r="AQ91" s="100">
        <v>0</v>
      </c>
      <c r="AR91" s="100">
        <v>0</v>
      </c>
      <c r="AS91" s="100">
        <v>0</v>
      </c>
      <c r="AT91" s="100">
        <v>0</v>
      </c>
      <c r="AU91" s="100">
        <v>1</v>
      </c>
      <c r="AV91" s="100">
        <v>0</v>
      </c>
      <c r="AW91" s="100">
        <v>0</v>
      </c>
      <c r="AX91" s="100">
        <v>0</v>
      </c>
      <c r="AY91" s="100">
        <v>0</v>
      </c>
      <c r="AZ91" s="100">
        <v>0</v>
      </c>
      <c r="BA91" s="100">
        <v>0</v>
      </c>
      <c r="BB91" s="100">
        <v>0</v>
      </c>
      <c r="BC91" s="100">
        <v>0</v>
      </c>
      <c r="BD91" s="100">
        <v>0</v>
      </c>
      <c r="BE91" s="100">
        <v>0</v>
      </c>
      <c r="BF91" s="100">
        <v>0</v>
      </c>
      <c r="BG91" s="100">
        <v>0</v>
      </c>
      <c r="BH91" s="100">
        <v>0</v>
      </c>
      <c r="BI91" s="100">
        <v>0</v>
      </c>
      <c r="BJ91" s="100">
        <v>1</v>
      </c>
      <c r="BK91" s="100">
        <v>0</v>
      </c>
      <c r="BL91" s="100">
        <v>0</v>
      </c>
      <c r="BM91" s="100">
        <v>1</v>
      </c>
      <c r="BN91" s="100">
        <v>1</v>
      </c>
      <c r="BO91" s="100">
        <v>1</v>
      </c>
      <c r="BP91" s="100">
        <v>0</v>
      </c>
      <c r="BQ91" s="100">
        <v>0</v>
      </c>
      <c r="BR91" s="100">
        <v>0</v>
      </c>
      <c r="BS91" s="100">
        <v>0</v>
      </c>
      <c r="BT91" s="100">
        <v>0</v>
      </c>
      <c r="BU91" s="100">
        <v>0</v>
      </c>
      <c r="BV91" s="100">
        <v>0</v>
      </c>
      <c r="BW91" s="100">
        <v>0</v>
      </c>
      <c r="BX91" s="100">
        <v>0</v>
      </c>
      <c r="BY91" s="100">
        <v>0</v>
      </c>
      <c r="BZ91" s="100">
        <v>0</v>
      </c>
      <c r="CA91" s="100">
        <v>0</v>
      </c>
      <c r="CB91" s="100" t="s">
        <v>2090</v>
      </c>
      <c r="CC91" s="100">
        <v>0</v>
      </c>
      <c r="CD91" s="100">
        <v>0</v>
      </c>
      <c r="CE91" s="100">
        <v>0</v>
      </c>
      <c r="CF91" s="100">
        <v>0</v>
      </c>
      <c r="CG91" s="103">
        <v>572798.75003999996</v>
      </c>
      <c r="CH91" s="103">
        <v>37.14</v>
      </c>
      <c r="CI91" s="103">
        <v>5394711.3521100003</v>
      </c>
      <c r="CJ91" s="103">
        <v>32.93</v>
      </c>
      <c r="CK91" s="103">
        <f t="shared" si="4"/>
        <v>1223.0201999999999</v>
      </c>
      <c r="CL91" s="103">
        <v>989575.7</v>
      </c>
      <c r="CM91" s="103">
        <v>813115.7</v>
      </c>
      <c r="CN91" s="104">
        <v>1.2170170862523009</v>
      </c>
      <c r="CO91" s="103">
        <v>20573.319200000002</v>
      </c>
      <c r="CP91" s="103">
        <v>0.82</v>
      </c>
      <c r="CQ91" s="103">
        <v>1658429.3774699999</v>
      </c>
      <c r="CR91" s="103">
        <v>7.15</v>
      </c>
      <c r="CS91" s="103">
        <f t="shared" si="5"/>
        <v>5.8629999999999995</v>
      </c>
      <c r="CT91" s="103">
        <v>60470.3</v>
      </c>
      <c r="CU91" s="103">
        <v>589980.1</v>
      </c>
      <c r="CV91" s="104">
        <v>0.10249549094961001</v>
      </c>
      <c r="CW91" s="103">
        <v>101525.33207</v>
      </c>
      <c r="CX91" s="103">
        <v>7.95</v>
      </c>
      <c r="CY91" s="103">
        <v>2767819.69257</v>
      </c>
      <c r="CZ91" s="103">
        <v>24.233769087114137</v>
      </c>
      <c r="DA91" s="103">
        <f t="shared" si="6"/>
        <v>192.65846424255739</v>
      </c>
      <c r="DB91" s="103">
        <v>462083.1</v>
      </c>
      <c r="DC91" s="103">
        <v>725826.2</v>
      </c>
      <c r="DD91" s="104">
        <v>0.63663050465800219</v>
      </c>
      <c r="DE91" s="103">
        <v>0</v>
      </c>
      <c r="DF91" s="103">
        <v>0</v>
      </c>
      <c r="DG91" s="103">
        <v>579550.17810000002</v>
      </c>
      <c r="DH91" s="103">
        <v>1.7</v>
      </c>
      <c r="DI91" s="103">
        <f t="shared" si="7"/>
        <v>0</v>
      </c>
      <c r="DJ91" s="103">
        <v>20373.7</v>
      </c>
      <c r="DK91" s="103">
        <v>434802.5</v>
      </c>
      <c r="DL91" s="104">
        <v>4.6857366275492897E-2</v>
      </c>
    </row>
    <row r="92" spans="1:116" s="15" customFormat="1" ht="264.95" customHeight="1" x14ac:dyDescent="0.25">
      <c r="A92" s="100" t="s">
        <v>177</v>
      </c>
      <c r="B92" s="100" t="s">
        <v>2301</v>
      </c>
      <c r="C92" s="100" t="s">
        <v>87</v>
      </c>
      <c r="D92" s="101" t="str">
        <f>"Chemistry 233"</f>
        <v>Chemistry 233</v>
      </c>
      <c r="E92" s="102" t="s">
        <v>2302</v>
      </c>
      <c r="F92" s="100">
        <v>14</v>
      </c>
      <c r="G92" s="100">
        <v>8</v>
      </c>
      <c r="H92" s="100">
        <v>0.56999999999999995</v>
      </c>
      <c r="I92" s="100">
        <v>20</v>
      </c>
      <c r="J92" s="100">
        <v>6</v>
      </c>
      <c r="K92" s="100">
        <v>5</v>
      </c>
      <c r="L92" s="100">
        <v>3</v>
      </c>
      <c r="M92" s="100">
        <v>1</v>
      </c>
      <c r="N92" s="100">
        <v>4</v>
      </c>
      <c r="O92" s="100">
        <v>0</v>
      </c>
      <c r="P92" s="100">
        <v>4.08</v>
      </c>
      <c r="Q92" s="100">
        <v>45.67</v>
      </c>
      <c r="R92" s="100">
        <v>3</v>
      </c>
      <c r="S92" s="100">
        <v>1</v>
      </c>
      <c r="T92" s="100">
        <v>0</v>
      </c>
      <c r="U92" s="100">
        <v>0</v>
      </c>
      <c r="V92" s="100">
        <v>0</v>
      </c>
      <c r="W92" s="100">
        <v>0</v>
      </c>
      <c r="X92" s="100">
        <v>0</v>
      </c>
      <c r="Y92" s="100">
        <v>0</v>
      </c>
      <c r="Z92" s="100">
        <v>0</v>
      </c>
      <c r="AA92" s="100">
        <v>1</v>
      </c>
      <c r="AB92" s="100">
        <v>1</v>
      </c>
      <c r="AC92" s="100">
        <v>0</v>
      </c>
      <c r="AD92" s="100">
        <v>0</v>
      </c>
      <c r="AE92" s="100">
        <v>0</v>
      </c>
      <c r="AF92" s="100">
        <v>0</v>
      </c>
      <c r="AG92" s="100">
        <v>1</v>
      </c>
      <c r="AH92" s="100">
        <v>0</v>
      </c>
      <c r="AI92" s="100">
        <v>1</v>
      </c>
      <c r="AJ92" s="100">
        <v>0</v>
      </c>
      <c r="AK92" s="100">
        <v>0</v>
      </c>
      <c r="AL92" s="100">
        <v>0</v>
      </c>
      <c r="AM92" s="100">
        <v>0</v>
      </c>
      <c r="AN92" s="100">
        <v>0</v>
      </c>
      <c r="AO92" s="100">
        <v>1</v>
      </c>
      <c r="AP92" s="100">
        <v>0</v>
      </c>
      <c r="AQ92" s="100">
        <v>0</v>
      </c>
      <c r="AR92" s="100">
        <v>0</v>
      </c>
      <c r="AS92" s="100">
        <v>0</v>
      </c>
      <c r="AT92" s="100">
        <v>0</v>
      </c>
      <c r="AU92" s="100">
        <v>1</v>
      </c>
      <c r="AV92" s="100">
        <v>1</v>
      </c>
      <c r="AW92" s="100">
        <v>0</v>
      </c>
      <c r="AX92" s="100">
        <v>0</v>
      </c>
      <c r="AY92" s="100">
        <v>0</v>
      </c>
      <c r="AZ92" s="100">
        <v>0</v>
      </c>
      <c r="BA92" s="100">
        <v>0</v>
      </c>
      <c r="BB92" s="100">
        <v>0</v>
      </c>
      <c r="BC92" s="100">
        <v>0</v>
      </c>
      <c r="BD92" s="100">
        <v>0</v>
      </c>
      <c r="BE92" s="100">
        <v>0</v>
      </c>
      <c r="BF92" s="100">
        <v>0</v>
      </c>
      <c r="BG92" s="100">
        <v>0</v>
      </c>
      <c r="BH92" s="100">
        <v>0</v>
      </c>
      <c r="BI92" s="100">
        <v>0</v>
      </c>
      <c r="BJ92" s="100">
        <v>2</v>
      </c>
      <c r="BK92" s="100">
        <v>0</v>
      </c>
      <c r="BL92" s="100">
        <v>0</v>
      </c>
      <c r="BM92" s="100">
        <v>0</v>
      </c>
      <c r="BN92" s="100">
        <v>0</v>
      </c>
      <c r="BO92" s="100">
        <v>0</v>
      </c>
      <c r="BP92" s="100">
        <v>1</v>
      </c>
      <c r="BQ92" s="100">
        <v>0</v>
      </c>
      <c r="BR92" s="100">
        <v>0</v>
      </c>
      <c r="BS92" s="100">
        <v>0</v>
      </c>
      <c r="BT92" s="100">
        <v>0</v>
      </c>
      <c r="BU92" s="100">
        <v>0</v>
      </c>
      <c r="BV92" s="100">
        <v>0</v>
      </c>
      <c r="BW92" s="100">
        <v>0</v>
      </c>
      <c r="BX92" s="100">
        <v>0</v>
      </c>
      <c r="BY92" s="100">
        <v>0</v>
      </c>
      <c r="BZ92" s="100">
        <v>0</v>
      </c>
      <c r="CA92" s="100">
        <v>0</v>
      </c>
      <c r="CB92" s="100" t="s">
        <v>2090</v>
      </c>
      <c r="CC92" s="100">
        <v>0</v>
      </c>
      <c r="CD92" s="100">
        <v>0</v>
      </c>
      <c r="CE92" s="100">
        <v>0</v>
      </c>
      <c r="CF92" s="100">
        <v>0</v>
      </c>
      <c r="CG92" s="103">
        <v>122416.05800999999</v>
      </c>
      <c r="CH92" s="103">
        <v>12.08</v>
      </c>
      <c r="CI92" s="103">
        <v>2420764.6740999999</v>
      </c>
      <c r="CJ92" s="103">
        <v>20</v>
      </c>
      <c r="CK92" s="103">
        <f t="shared" si="4"/>
        <v>241.6</v>
      </c>
      <c r="CL92" s="103">
        <v>268372.2</v>
      </c>
      <c r="CM92" s="103">
        <v>884597</v>
      </c>
      <c r="CN92" s="104">
        <v>0.3033835746673344</v>
      </c>
      <c r="CO92" s="103">
        <v>63895.384590000001</v>
      </c>
      <c r="CP92" s="103">
        <v>3.33</v>
      </c>
      <c r="CQ92" s="103">
        <v>29700.455689999999</v>
      </c>
      <c r="CR92" s="103">
        <v>5.65</v>
      </c>
      <c r="CS92" s="103">
        <f t="shared" si="5"/>
        <v>18.814500000000002</v>
      </c>
      <c r="CT92" s="103">
        <v>65637.600000000006</v>
      </c>
      <c r="CU92" s="103">
        <v>738360.1</v>
      </c>
      <c r="CV92" s="104">
        <v>8.8896461225356035E-2</v>
      </c>
      <c r="CW92" s="103">
        <v>187766.69013999999</v>
      </c>
      <c r="CX92" s="103">
        <v>13.65</v>
      </c>
      <c r="CY92" s="103">
        <v>2536332.0735300002</v>
      </c>
      <c r="CZ92" s="103">
        <v>18.438292476754015</v>
      </c>
      <c r="DA92" s="103">
        <f t="shared" si="6"/>
        <v>251.68269230769229</v>
      </c>
      <c r="DB92" s="103">
        <v>280001.8</v>
      </c>
      <c r="DC92" s="103">
        <v>932227.3</v>
      </c>
      <c r="DD92" s="104">
        <v>0.30035786336658449</v>
      </c>
      <c r="DE92" s="103">
        <v>0</v>
      </c>
      <c r="DF92" s="103">
        <v>0</v>
      </c>
      <c r="DG92" s="103">
        <v>1382.8321800000001</v>
      </c>
      <c r="DH92" s="103">
        <v>0</v>
      </c>
      <c r="DI92" s="103">
        <f t="shared" si="7"/>
        <v>0</v>
      </c>
      <c r="DJ92" s="103">
        <v>30187.7</v>
      </c>
      <c r="DK92" s="103">
        <v>872556.9</v>
      </c>
      <c r="DL92" s="104">
        <v>3.4596826865961404E-2</v>
      </c>
    </row>
    <row r="93" spans="1:116" s="15" customFormat="1" ht="265.7" customHeight="1" x14ac:dyDescent="0.25">
      <c r="A93" s="100" t="s">
        <v>178</v>
      </c>
      <c r="B93" s="100" t="s">
        <v>2303</v>
      </c>
      <c r="C93" s="100" t="s">
        <v>87</v>
      </c>
      <c r="D93" s="101" t="str">
        <f>"Chemistry 337"</f>
        <v>Chemistry 337</v>
      </c>
      <c r="E93" s="102" t="s">
        <v>2304</v>
      </c>
      <c r="F93" s="100">
        <v>14</v>
      </c>
      <c r="G93" s="100">
        <v>8</v>
      </c>
      <c r="H93" s="100">
        <v>0.56999999999999995</v>
      </c>
      <c r="I93" s="100">
        <v>20</v>
      </c>
      <c r="J93" s="100">
        <v>6</v>
      </c>
      <c r="K93" s="100">
        <v>5</v>
      </c>
      <c r="L93" s="100">
        <v>3</v>
      </c>
      <c r="M93" s="100">
        <v>1</v>
      </c>
      <c r="N93" s="100">
        <v>4</v>
      </c>
      <c r="O93" s="100">
        <v>0</v>
      </c>
      <c r="P93" s="100">
        <v>4.08</v>
      </c>
      <c r="Q93" s="100">
        <v>45.67</v>
      </c>
      <c r="R93" s="100">
        <v>3</v>
      </c>
      <c r="S93" s="100">
        <v>1</v>
      </c>
      <c r="T93" s="100">
        <v>0</v>
      </c>
      <c r="U93" s="100">
        <v>0</v>
      </c>
      <c r="V93" s="100">
        <v>0</v>
      </c>
      <c r="W93" s="100">
        <v>0</v>
      </c>
      <c r="X93" s="100">
        <v>0</v>
      </c>
      <c r="Y93" s="100">
        <v>0</v>
      </c>
      <c r="Z93" s="100">
        <v>0</v>
      </c>
      <c r="AA93" s="100">
        <v>1</v>
      </c>
      <c r="AB93" s="100">
        <v>1</v>
      </c>
      <c r="AC93" s="100">
        <v>0</v>
      </c>
      <c r="AD93" s="100">
        <v>0</v>
      </c>
      <c r="AE93" s="100">
        <v>0</v>
      </c>
      <c r="AF93" s="100">
        <v>0</v>
      </c>
      <c r="AG93" s="100">
        <v>1</v>
      </c>
      <c r="AH93" s="100">
        <v>0</v>
      </c>
      <c r="AI93" s="100">
        <v>1</v>
      </c>
      <c r="AJ93" s="100">
        <v>0</v>
      </c>
      <c r="AK93" s="100">
        <v>0</v>
      </c>
      <c r="AL93" s="100">
        <v>0</v>
      </c>
      <c r="AM93" s="100">
        <v>0</v>
      </c>
      <c r="AN93" s="100">
        <v>0</v>
      </c>
      <c r="AO93" s="100">
        <v>1</v>
      </c>
      <c r="AP93" s="100">
        <v>0</v>
      </c>
      <c r="AQ93" s="100">
        <v>0</v>
      </c>
      <c r="AR93" s="100">
        <v>0</v>
      </c>
      <c r="AS93" s="100">
        <v>0</v>
      </c>
      <c r="AT93" s="100">
        <v>0</v>
      </c>
      <c r="AU93" s="100">
        <v>1</v>
      </c>
      <c r="AV93" s="100">
        <v>1</v>
      </c>
      <c r="AW93" s="100">
        <v>0</v>
      </c>
      <c r="AX93" s="100">
        <v>0</v>
      </c>
      <c r="AY93" s="100">
        <v>0</v>
      </c>
      <c r="AZ93" s="100">
        <v>0</v>
      </c>
      <c r="BA93" s="100">
        <v>0</v>
      </c>
      <c r="BB93" s="100">
        <v>0</v>
      </c>
      <c r="BC93" s="100">
        <v>0</v>
      </c>
      <c r="BD93" s="100">
        <v>0</v>
      </c>
      <c r="BE93" s="100">
        <v>0</v>
      </c>
      <c r="BF93" s="100">
        <v>0</v>
      </c>
      <c r="BG93" s="100">
        <v>0</v>
      </c>
      <c r="BH93" s="100">
        <v>0</v>
      </c>
      <c r="BI93" s="100">
        <v>0</v>
      </c>
      <c r="BJ93" s="100">
        <v>2</v>
      </c>
      <c r="BK93" s="100">
        <v>0</v>
      </c>
      <c r="BL93" s="100">
        <v>0</v>
      </c>
      <c r="BM93" s="100">
        <v>0</v>
      </c>
      <c r="BN93" s="100">
        <v>0</v>
      </c>
      <c r="BO93" s="100">
        <v>0</v>
      </c>
      <c r="BP93" s="100">
        <v>1</v>
      </c>
      <c r="BQ93" s="100">
        <v>0</v>
      </c>
      <c r="BR93" s="100">
        <v>0</v>
      </c>
      <c r="BS93" s="100">
        <v>0</v>
      </c>
      <c r="BT93" s="100">
        <v>0</v>
      </c>
      <c r="BU93" s="100">
        <v>0</v>
      </c>
      <c r="BV93" s="100">
        <v>0</v>
      </c>
      <c r="BW93" s="100">
        <v>0</v>
      </c>
      <c r="BX93" s="100">
        <v>0</v>
      </c>
      <c r="BY93" s="100">
        <v>0</v>
      </c>
      <c r="BZ93" s="100">
        <v>0</v>
      </c>
      <c r="CA93" s="100">
        <v>0</v>
      </c>
      <c r="CB93" s="100" t="s">
        <v>2090</v>
      </c>
      <c r="CC93" s="100">
        <v>0</v>
      </c>
      <c r="CD93" s="100">
        <v>0</v>
      </c>
      <c r="CE93" s="100">
        <v>0</v>
      </c>
      <c r="CF93" s="100">
        <v>0</v>
      </c>
      <c r="CG93" s="103">
        <v>220054.29590999999</v>
      </c>
      <c r="CH93" s="103">
        <v>16.78</v>
      </c>
      <c r="CI93" s="103">
        <v>3023884.21319</v>
      </c>
      <c r="CJ93" s="103">
        <v>24.77</v>
      </c>
      <c r="CK93" s="103">
        <f t="shared" si="4"/>
        <v>415.64060000000001</v>
      </c>
      <c r="CL93" s="103">
        <v>607442.5</v>
      </c>
      <c r="CM93" s="103">
        <v>720730.3</v>
      </c>
      <c r="CN93" s="104">
        <v>0.84281526668158668</v>
      </c>
      <c r="CO93" s="103">
        <v>179859.19915999999</v>
      </c>
      <c r="CP93" s="103">
        <v>8.08</v>
      </c>
      <c r="CQ93" s="103">
        <v>2803441.4458400002</v>
      </c>
      <c r="CR93" s="103">
        <v>19.68</v>
      </c>
      <c r="CS93" s="103">
        <f t="shared" si="5"/>
        <v>159.01439999999999</v>
      </c>
      <c r="CT93" s="103">
        <v>330638.90000000002</v>
      </c>
      <c r="CU93" s="103">
        <v>405674.4</v>
      </c>
      <c r="CV93" s="104">
        <v>0.81503516120317177</v>
      </c>
      <c r="CW93" s="103">
        <v>673819.38008000003</v>
      </c>
      <c r="CX93" s="103">
        <v>44.08</v>
      </c>
      <c r="CY93" s="103">
        <v>4313520.9844500003</v>
      </c>
      <c r="CZ93" s="103">
        <v>29.503861208082089</v>
      </c>
      <c r="DA93" s="103">
        <f t="shared" si="6"/>
        <v>1300.5302020522583</v>
      </c>
      <c r="DB93" s="103">
        <v>808919</v>
      </c>
      <c r="DC93" s="103">
        <v>737268.7</v>
      </c>
      <c r="DD93" s="104">
        <v>1.0971834285112063</v>
      </c>
      <c r="DE93" s="103">
        <v>64087.71327</v>
      </c>
      <c r="DF93" s="103">
        <v>3.45</v>
      </c>
      <c r="DG93" s="103">
        <v>1100702.37335</v>
      </c>
      <c r="DH93" s="103">
        <v>6.34</v>
      </c>
      <c r="DI93" s="103">
        <f t="shared" si="7"/>
        <v>21.873000000000001</v>
      </c>
      <c r="DJ93" s="103">
        <v>82933.600000000006</v>
      </c>
      <c r="DK93" s="103">
        <v>545464.1</v>
      </c>
      <c r="DL93" s="104">
        <v>0.15204227005956947</v>
      </c>
    </row>
    <row r="94" spans="1:116" s="15" customFormat="1" ht="240.95" customHeight="1" x14ac:dyDescent="0.25">
      <c r="A94" s="100" t="s">
        <v>179</v>
      </c>
      <c r="B94" s="100" t="s">
        <v>2305</v>
      </c>
      <c r="C94" s="100" t="s">
        <v>87</v>
      </c>
      <c r="D94" s="101" t="str">
        <f>"Chemistry 255"</f>
        <v>Chemistry 255</v>
      </c>
      <c r="E94" s="102" t="s">
        <v>2306</v>
      </c>
      <c r="F94" s="100">
        <v>16</v>
      </c>
      <c r="G94" s="100">
        <v>2</v>
      </c>
      <c r="H94" s="100">
        <v>0.13</v>
      </c>
      <c r="I94" s="100">
        <v>21</v>
      </c>
      <c r="J94" s="100">
        <v>5</v>
      </c>
      <c r="K94" s="100">
        <v>4</v>
      </c>
      <c r="L94" s="100">
        <v>3</v>
      </c>
      <c r="M94" s="100">
        <v>3</v>
      </c>
      <c r="N94" s="100">
        <v>3</v>
      </c>
      <c r="O94" s="100">
        <v>0</v>
      </c>
      <c r="P94" s="100">
        <v>3.09</v>
      </c>
      <c r="Q94" s="100">
        <v>39.94</v>
      </c>
      <c r="R94" s="100">
        <v>5</v>
      </c>
      <c r="S94" s="100">
        <v>1</v>
      </c>
      <c r="T94" s="100">
        <v>0</v>
      </c>
      <c r="U94" s="100">
        <v>0</v>
      </c>
      <c r="V94" s="100">
        <v>0</v>
      </c>
      <c r="W94" s="100">
        <v>1</v>
      </c>
      <c r="X94" s="100">
        <v>0</v>
      </c>
      <c r="Y94" s="100">
        <v>0</v>
      </c>
      <c r="Z94" s="100">
        <v>0</v>
      </c>
      <c r="AA94" s="100">
        <v>1</v>
      </c>
      <c r="AB94" s="100">
        <v>0</v>
      </c>
      <c r="AC94" s="100">
        <v>1</v>
      </c>
      <c r="AD94" s="100">
        <v>0</v>
      </c>
      <c r="AE94" s="100">
        <v>0</v>
      </c>
      <c r="AF94" s="100">
        <v>0</v>
      </c>
      <c r="AG94" s="100">
        <v>1</v>
      </c>
      <c r="AH94" s="100">
        <v>0</v>
      </c>
      <c r="AI94" s="100">
        <v>1</v>
      </c>
      <c r="AJ94" s="100">
        <v>0</v>
      </c>
      <c r="AK94" s="100">
        <v>0</v>
      </c>
      <c r="AL94" s="100">
        <v>0</v>
      </c>
      <c r="AM94" s="100">
        <v>0</v>
      </c>
      <c r="AN94" s="100">
        <v>1</v>
      </c>
      <c r="AO94" s="100">
        <v>1</v>
      </c>
      <c r="AP94" s="100">
        <v>0</v>
      </c>
      <c r="AQ94" s="100">
        <v>0</v>
      </c>
      <c r="AR94" s="100">
        <v>0</v>
      </c>
      <c r="AS94" s="100">
        <v>0</v>
      </c>
      <c r="AT94" s="100">
        <v>0</v>
      </c>
      <c r="AU94" s="100">
        <v>0</v>
      </c>
      <c r="AV94" s="100">
        <v>0</v>
      </c>
      <c r="AW94" s="100">
        <v>0</v>
      </c>
      <c r="AX94" s="100">
        <v>0</v>
      </c>
      <c r="AY94" s="100">
        <v>0</v>
      </c>
      <c r="AZ94" s="100">
        <v>0</v>
      </c>
      <c r="BA94" s="100">
        <v>0</v>
      </c>
      <c r="BB94" s="100">
        <v>0</v>
      </c>
      <c r="BC94" s="100">
        <v>0</v>
      </c>
      <c r="BD94" s="100">
        <v>0</v>
      </c>
      <c r="BE94" s="100">
        <v>0</v>
      </c>
      <c r="BF94" s="100">
        <v>0</v>
      </c>
      <c r="BG94" s="100">
        <v>0</v>
      </c>
      <c r="BH94" s="100">
        <v>0</v>
      </c>
      <c r="BI94" s="100">
        <v>0</v>
      </c>
      <c r="BJ94" s="100">
        <v>0</v>
      </c>
      <c r="BK94" s="100">
        <v>0</v>
      </c>
      <c r="BL94" s="100">
        <v>0</v>
      </c>
      <c r="BM94" s="100">
        <v>0</v>
      </c>
      <c r="BN94" s="100">
        <v>1</v>
      </c>
      <c r="BO94" s="100">
        <v>0</v>
      </c>
      <c r="BP94" s="100">
        <v>0</v>
      </c>
      <c r="BQ94" s="100">
        <v>0</v>
      </c>
      <c r="BR94" s="100">
        <v>0</v>
      </c>
      <c r="BS94" s="100">
        <v>0</v>
      </c>
      <c r="BT94" s="100">
        <v>0</v>
      </c>
      <c r="BU94" s="100">
        <v>0</v>
      </c>
      <c r="BV94" s="100">
        <v>1</v>
      </c>
      <c r="BW94" s="100">
        <v>0</v>
      </c>
      <c r="BX94" s="100">
        <v>0</v>
      </c>
      <c r="BY94" s="100">
        <v>0</v>
      </c>
      <c r="BZ94" s="100">
        <v>0</v>
      </c>
      <c r="CA94" s="100">
        <v>0</v>
      </c>
      <c r="CB94" s="100" t="s">
        <v>2090</v>
      </c>
      <c r="CC94" s="100">
        <v>0</v>
      </c>
      <c r="CD94" s="100">
        <v>0</v>
      </c>
      <c r="CE94" s="100">
        <v>0</v>
      </c>
      <c r="CF94" s="100">
        <v>0</v>
      </c>
      <c r="CG94" s="103">
        <v>0</v>
      </c>
      <c r="CH94" s="103">
        <v>0</v>
      </c>
      <c r="CI94" s="103">
        <v>36505.017</v>
      </c>
      <c r="CJ94" s="103">
        <v>1.03</v>
      </c>
      <c r="CK94" s="103">
        <f t="shared" si="4"/>
        <v>0</v>
      </c>
      <c r="CL94" s="103">
        <v>12669.4</v>
      </c>
      <c r="CM94" s="103">
        <v>960027.7</v>
      </c>
      <c r="CN94" s="104">
        <v>1.3196910880800628E-2</v>
      </c>
      <c r="CO94" s="103">
        <v>19223.5344</v>
      </c>
      <c r="CP94" s="103">
        <v>1.3900000000000001</v>
      </c>
      <c r="CQ94" s="103">
        <v>136647.79151000001</v>
      </c>
      <c r="CR94" s="103">
        <v>2.64</v>
      </c>
      <c r="CS94" s="103">
        <f t="shared" si="5"/>
        <v>3.6696000000000004</v>
      </c>
      <c r="CT94" s="103">
        <v>5542</v>
      </c>
      <c r="CU94" s="103">
        <v>502831</v>
      </c>
      <c r="CV94" s="104">
        <v>1.1021595725005022E-2</v>
      </c>
      <c r="CW94" s="103">
        <v>0</v>
      </c>
      <c r="CX94" s="103">
        <v>0</v>
      </c>
      <c r="CY94" s="103">
        <v>49699.650049999997</v>
      </c>
      <c r="CZ94" s="103">
        <v>0</v>
      </c>
      <c r="DA94" s="103">
        <f t="shared" si="6"/>
        <v>0</v>
      </c>
      <c r="DB94" s="103">
        <v>3447.3</v>
      </c>
      <c r="DC94" s="103">
        <v>865616.1</v>
      </c>
      <c r="DD94" s="104">
        <v>3.9824813794475406E-3</v>
      </c>
      <c r="DE94" s="103">
        <v>22825.8884</v>
      </c>
      <c r="DF94" s="103">
        <v>1.63</v>
      </c>
      <c r="DG94" s="103">
        <v>13618.417659999999</v>
      </c>
      <c r="DH94" s="103">
        <v>0</v>
      </c>
      <c r="DI94" s="103">
        <f t="shared" si="7"/>
        <v>0</v>
      </c>
      <c r="DJ94" s="103">
        <v>6356.5</v>
      </c>
      <c r="DK94" s="103">
        <v>569462.9</v>
      </c>
      <c r="DL94" s="104">
        <v>1.1162272379816138E-2</v>
      </c>
    </row>
    <row r="95" spans="1:116" s="15" customFormat="1" ht="265.7" customHeight="1" x14ac:dyDescent="0.25">
      <c r="A95" s="100" t="s">
        <v>180</v>
      </c>
      <c r="B95" s="100" t="s">
        <v>2307</v>
      </c>
      <c r="C95" s="100" t="s">
        <v>87</v>
      </c>
      <c r="D95" s="101" t="str">
        <f>"Chemistry 309"</f>
        <v>Chemistry 309</v>
      </c>
      <c r="E95" s="102" t="s">
        <v>2308</v>
      </c>
      <c r="F95" s="100">
        <v>13</v>
      </c>
      <c r="G95" s="100">
        <v>9</v>
      </c>
      <c r="H95" s="100">
        <v>0.69</v>
      </c>
      <c r="I95" s="100">
        <v>19</v>
      </c>
      <c r="J95" s="100">
        <v>6</v>
      </c>
      <c r="K95" s="100">
        <v>5</v>
      </c>
      <c r="L95" s="100">
        <v>3</v>
      </c>
      <c r="M95" s="100">
        <v>1</v>
      </c>
      <c r="N95" s="100">
        <v>3</v>
      </c>
      <c r="O95" s="100">
        <v>0</v>
      </c>
      <c r="P95" s="100">
        <v>1.34</v>
      </c>
      <c r="Q95" s="100">
        <v>36.44</v>
      </c>
      <c r="R95" s="100">
        <v>1</v>
      </c>
      <c r="S95" s="100">
        <v>1</v>
      </c>
      <c r="T95" s="100">
        <v>0</v>
      </c>
      <c r="U95" s="100">
        <v>0</v>
      </c>
      <c r="V95" s="100">
        <v>0</v>
      </c>
      <c r="W95" s="100">
        <v>1</v>
      </c>
      <c r="X95" s="100">
        <v>0</v>
      </c>
      <c r="Y95" s="100">
        <v>0</v>
      </c>
      <c r="Z95" s="100">
        <v>0</v>
      </c>
      <c r="AA95" s="100">
        <v>1</v>
      </c>
      <c r="AB95" s="100">
        <v>0</v>
      </c>
      <c r="AC95" s="100">
        <v>1</v>
      </c>
      <c r="AD95" s="100">
        <v>0</v>
      </c>
      <c r="AE95" s="100">
        <v>1</v>
      </c>
      <c r="AF95" s="100">
        <v>0</v>
      </c>
      <c r="AG95" s="100">
        <v>0</v>
      </c>
      <c r="AH95" s="100">
        <v>0</v>
      </c>
      <c r="AI95" s="100">
        <v>1</v>
      </c>
      <c r="AJ95" s="100">
        <v>0</v>
      </c>
      <c r="AK95" s="100">
        <v>0</v>
      </c>
      <c r="AL95" s="100">
        <v>0</v>
      </c>
      <c r="AM95" s="100">
        <v>0</v>
      </c>
      <c r="AN95" s="100">
        <v>1</v>
      </c>
      <c r="AO95" s="100">
        <v>0</v>
      </c>
      <c r="AP95" s="100">
        <v>0</v>
      </c>
      <c r="AQ95" s="100">
        <v>0</v>
      </c>
      <c r="AR95" s="100">
        <v>0</v>
      </c>
      <c r="AS95" s="100">
        <v>0</v>
      </c>
      <c r="AT95" s="100">
        <v>1</v>
      </c>
      <c r="AU95" s="100">
        <v>0</v>
      </c>
      <c r="AV95" s="100">
        <v>0</v>
      </c>
      <c r="AW95" s="100">
        <v>0</v>
      </c>
      <c r="AX95" s="100">
        <v>0</v>
      </c>
      <c r="AY95" s="100">
        <v>0</v>
      </c>
      <c r="AZ95" s="100">
        <v>0</v>
      </c>
      <c r="BA95" s="100">
        <v>0</v>
      </c>
      <c r="BB95" s="100">
        <v>0</v>
      </c>
      <c r="BC95" s="100">
        <v>0</v>
      </c>
      <c r="BD95" s="100">
        <v>0</v>
      </c>
      <c r="BE95" s="100">
        <v>0</v>
      </c>
      <c r="BF95" s="100">
        <v>0</v>
      </c>
      <c r="BG95" s="100">
        <v>0</v>
      </c>
      <c r="BH95" s="100">
        <v>1</v>
      </c>
      <c r="BI95" s="100">
        <v>0</v>
      </c>
      <c r="BJ95" s="100">
        <v>2</v>
      </c>
      <c r="BK95" s="100">
        <v>0</v>
      </c>
      <c r="BL95" s="100">
        <v>0</v>
      </c>
      <c r="BM95" s="100">
        <v>0</v>
      </c>
      <c r="BN95" s="100">
        <v>0</v>
      </c>
      <c r="BO95" s="100">
        <v>0</v>
      </c>
      <c r="BP95" s="100">
        <v>0</v>
      </c>
      <c r="BQ95" s="100">
        <v>0</v>
      </c>
      <c r="BR95" s="100">
        <v>0</v>
      </c>
      <c r="BS95" s="100">
        <v>0</v>
      </c>
      <c r="BT95" s="100">
        <v>0</v>
      </c>
      <c r="BU95" s="100">
        <v>0</v>
      </c>
      <c r="BV95" s="100">
        <v>1</v>
      </c>
      <c r="BW95" s="100">
        <v>0</v>
      </c>
      <c r="BX95" s="100">
        <v>0</v>
      </c>
      <c r="BY95" s="100">
        <v>0</v>
      </c>
      <c r="BZ95" s="100">
        <v>0</v>
      </c>
      <c r="CA95" s="100">
        <v>0</v>
      </c>
      <c r="CB95" s="100" t="s">
        <v>2090</v>
      </c>
      <c r="CC95" s="100">
        <v>0</v>
      </c>
      <c r="CD95" s="100">
        <v>0</v>
      </c>
      <c r="CE95" s="100">
        <v>0</v>
      </c>
      <c r="CF95" s="100">
        <v>0</v>
      </c>
      <c r="CG95" s="103">
        <v>226092.21405000001</v>
      </c>
      <c r="CH95" s="103">
        <v>31.35</v>
      </c>
      <c r="CI95" s="103">
        <v>3475819.4326200001</v>
      </c>
      <c r="CJ95" s="103">
        <v>32.61</v>
      </c>
      <c r="CK95" s="103">
        <f t="shared" si="4"/>
        <v>1022.3235000000001</v>
      </c>
      <c r="CL95" s="103">
        <v>412098</v>
      </c>
      <c r="CM95" s="103">
        <v>847247.6</v>
      </c>
      <c r="CN95" s="104">
        <v>0.48639618453920674</v>
      </c>
      <c r="CO95" s="103">
        <v>40375.041259999998</v>
      </c>
      <c r="CP95" s="103">
        <v>4.8499999999999996</v>
      </c>
      <c r="CQ95" s="103">
        <v>1557151.3549299999</v>
      </c>
      <c r="CR95" s="103">
        <v>15.8</v>
      </c>
      <c r="CS95" s="103">
        <f t="shared" si="5"/>
        <v>76.63</v>
      </c>
      <c r="CT95" s="103">
        <v>28568.7</v>
      </c>
      <c r="CU95" s="103">
        <v>375531.8</v>
      </c>
      <c r="CV95" s="104">
        <v>7.6075315059869766E-2</v>
      </c>
      <c r="CW95" s="103">
        <v>74287.304860000004</v>
      </c>
      <c r="CX95" s="103">
        <v>11.36</v>
      </c>
      <c r="CY95" s="103">
        <v>2040702.23639</v>
      </c>
      <c r="CZ95" s="103">
        <v>19.624359704040977</v>
      </c>
      <c r="DA95" s="103">
        <f t="shared" si="6"/>
        <v>222.93272623790548</v>
      </c>
      <c r="DB95" s="103">
        <v>275063.8</v>
      </c>
      <c r="DC95" s="103">
        <v>909633.3</v>
      </c>
      <c r="DD95" s="104">
        <v>0.30238976519439204</v>
      </c>
      <c r="DE95" s="103">
        <v>8928.8638599999995</v>
      </c>
      <c r="DF95" s="103">
        <v>1.19</v>
      </c>
      <c r="DG95" s="103">
        <v>377740.00741000002</v>
      </c>
      <c r="DH95" s="103">
        <v>3.41</v>
      </c>
      <c r="DI95" s="103">
        <f t="shared" si="7"/>
        <v>4.0579000000000001</v>
      </c>
      <c r="DJ95" s="103">
        <v>9634.7999999999993</v>
      </c>
      <c r="DK95" s="103">
        <v>468739.5</v>
      </c>
      <c r="DL95" s="104">
        <v>2.0554700425289524E-2</v>
      </c>
    </row>
    <row r="96" spans="1:116" s="15" customFormat="1" ht="226.7" customHeight="1" x14ac:dyDescent="0.25">
      <c r="A96" s="100" t="s">
        <v>181</v>
      </c>
      <c r="B96" s="100" t="s">
        <v>2309</v>
      </c>
      <c r="C96" s="100" t="s">
        <v>87</v>
      </c>
      <c r="D96" s="101" t="str">
        <f>"Chemistry 338"</f>
        <v>Chemistry 338</v>
      </c>
      <c r="E96" s="102" t="s">
        <v>2310</v>
      </c>
      <c r="F96" s="100">
        <v>14</v>
      </c>
      <c r="G96" s="100">
        <v>2</v>
      </c>
      <c r="H96" s="100">
        <v>0.14000000000000001</v>
      </c>
      <c r="I96" s="100">
        <v>21</v>
      </c>
      <c r="J96" s="100">
        <v>7</v>
      </c>
      <c r="K96" s="100">
        <v>6</v>
      </c>
      <c r="L96" s="100">
        <v>4</v>
      </c>
      <c r="M96" s="100">
        <v>3</v>
      </c>
      <c r="N96" s="100">
        <v>5</v>
      </c>
      <c r="O96" s="100">
        <v>1</v>
      </c>
      <c r="P96" s="100">
        <v>3.42</v>
      </c>
      <c r="Q96" s="100">
        <v>60.68</v>
      </c>
      <c r="R96" s="100">
        <v>4</v>
      </c>
      <c r="S96" s="100">
        <v>1</v>
      </c>
      <c r="T96" s="100">
        <v>0</v>
      </c>
      <c r="U96" s="100">
        <v>0</v>
      </c>
      <c r="V96" s="100">
        <v>1</v>
      </c>
      <c r="W96" s="100">
        <v>0</v>
      </c>
      <c r="X96" s="100">
        <v>0</v>
      </c>
      <c r="Y96" s="100">
        <v>0</v>
      </c>
      <c r="Z96" s="100">
        <v>1</v>
      </c>
      <c r="AA96" s="100">
        <v>0</v>
      </c>
      <c r="AB96" s="100">
        <v>1</v>
      </c>
      <c r="AC96" s="100">
        <v>0</v>
      </c>
      <c r="AD96" s="100">
        <v>0</v>
      </c>
      <c r="AE96" s="100">
        <v>0</v>
      </c>
      <c r="AF96" s="100">
        <v>0</v>
      </c>
      <c r="AG96" s="100">
        <v>1</v>
      </c>
      <c r="AH96" s="100">
        <v>0</v>
      </c>
      <c r="AI96" s="100">
        <v>0</v>
      </c>
      <c r="AJ96" s="100">
        <v>1</v>
      </c>
      <c r="AK96" s="100">
        <v>0</v>
      </c>
      <c r="AL96" s="100">
        <v>0</v>
      </c>
      <c r="AM96" s="100">
        <v>0</v>
      </c>
      <c r="AN96" s="100">
        <v>1</v>
      </c>
      <c r="AO96" s="100">
        <v>1</v>
      </c>
      <c r="AP96" s="100">
        <v>0</v>
      </c>
      <c r="AQ96" s="100">
        <v>0</v>
      </c>
      <c r="AR96" s="100">
        <v>0</v>
      </c>
      <c r="AS96" s="100">
        <v>0</v>
      </c>
      <c r="AT96" s="100">
        <v>0</v>
      </c>
      <c r="AU96" s="100">
        <v>1</v>
      </c>
      <c r="AV96" s="100">
        <v>0</v>
      </c>
      <c r="AW96" s="100">
        <v>0</v>
      </c>
      <c r="AX96" s="100">
        <v>0</v>
      </c>
      <c r="AY96" s="100">
        <v>0</v>
      </c>
      <c r="AZ96" s="100">
        <v>0</v>
      </c>
      <c r="BA96" s="100">
        <v>0</v>
      </c>
      <c r="BB96" s="100">
        <v>0</v>
      </c>
      <c r="BC96" s="100">
        <v>0</v>
      </c>
      <c r="BD96" s="100">
        <v>0</v>
      </c>
      <c r="BE96" s="100">
        <v>0</v>
      </c>
      <c r="BF96" s="100">
        <v>0</v>
      </c>
      <c r="BG96" s="100">
        <v>0</v>
      </c>
      <c r="BH96" s="100">
        <v>0</v>
      </c>
      <c r="BI96" s="100">
        <v>0</v>
      </c>
      <c r="BJ96" s="100">
        <v>1</v>
      </c>
      <c r="BK96" s="100">
        <v>0</v>
      </c>
      <c r="BL96" s="100">
        <v>0</v>
      </c>
      <c r="BM96" s="100">
        <v>1</v>
      </c>
      <c r="BN96" s="100">
        <v>0</v>
      </c>
      <c r="BO96" s="100">
        <v>1</v>
      </c>
      <c r="BP96" s="100">
        <v>0</v>
      </c>
      <c r="BQ96" s="100">
        <v>0</v>
      </c>
      <c r="BR96" s="100">
        <v>0</v>
      </c>
      <c r="BS96" s="100">
        <v>0</v>
      </c>
      <c r="BT96" s="100">
        <v>0</v>
      </c>
      <c r="BU96" s="100">
        <v>0</v>
      </c>
      <c r="BV96" s="100">
        <v>1</v>
      </c>
      <c r="BW96" s="100">
        <v>0</v>
      </c>
      <c r="BX96" s="100">
        <v>0</v>
      </c>
      <c r="BY96" s="100">
        <v>0</v>
      </c>
      <c r="BZ96" s="100">
        <v>0</v>
      </c>
      <c r="CA96" s="100">
        <v>0</v>
      </c>
      <c r="CB96" s="100" t="s">
        <v>2090</v>
      </c>
      <c r="CC96" s="100">
        <v>0</v>
      </c>
      <c r="CD96" s="100">
        <v>0</v>
      </c>
      <c r="CE96" s="100">
        <v>0</v>
      </c>
      <c r="CF96" s="100">
        <v>0</v>
      </c>
      <c r="CG96" s="103">
        <v>187259.24429</v>
      </c>
      <c r="CH96" s="103">
        <v>12.74</v>
      </c>
      <c r="CI96" s="103">
        <v>135314.49244999999</v>
      </c>
      <c r="CJ96" s="103">
        <v>13.97</v>
      </c>
      <c r="CK96" s="103">
        <f t="shared" si="4"/>
        <v>177.9778</v>
      </c>
      <c r="CL96" s="103">
        <v>61742.5</v>
      </c>
      <c r="CM96" s="103">
        <v>486161.2</v>
      </c>
      <c r="CN96" s="104">
        <v>0.12700005677129314</v>
      </c>
      <c r="CO96" s="103">
        <v>987528.61166000005</v>
      </c>
      <c r="CP96" s="103">
        <v>42.28</v>
      </c>
      <c r="CQ96" s="103">
        <v>298998.55531999998</v>
      </c>
      <c r="CR96" s="103">
        <v>20.85</v>
      </c>
      <c r="CS96" s="103">
        <f t="shared" si="5"/>
        <v>881.53800000000012</v>
      </c>
      <c r="CT96" s="103">
        <v>7147.4</v>
      </c>
      <c r="CU96" s="103">
        <v>243497</v>
      </c>
      <c r="CV96" s="104">
        <v>2.9353133714173068E-2</v>
      </c>
      <c r="CW96" s="103">
        <v>0</v>
      </c>
      <c r="CX96" s="103">
        <v>0</v>
      </c>
      <c r="CY96" s="103">
        <v>0</v>
      </c>
      <c r="CZ96" s="103">
        <v>0</v>
      </c>
      <c r="DA96" s="103">
        <f t="shared" si="6"/>
        <v>0</v>
      </c>
      <c r="DB96" s="103">
        <v>36284.199999999997</v>
      </c>
      <c r="DC96" s="103">
        <v>998529</v>
      </c>
      <c r="DD96" s="104">
        <v>3.6337652687102727E-2</v>
      </c>
      <c r="DE96" s="103">
        <v>570919.85557999997</v>
      </c>
      <c r="DF96" s="103">
        <v>29.98</v>
      </c>
      <c r="DG96" s="103">
        <v>233044.31224999999</v>
      </c>
      <c r="DH96" s="103">
        <v>20.11</v>
      </c>
      <c r="DI96" s="103">
        <f t="shared" si="7"/>
        <v>602.89779999999996</v>
      </c>
      <c r="DJ96" s="103">
        <v>821</v>
      </c>
      <c r="DK96" s="103">
        <v>11001.6</v>
      </c>
      <c r="DL96" s="104">
        <v>7.4625509016870276E-2</v>
      </c>
    </row>
    <row r="97" spans="1:116" s="15" customFormat="1" ht="265.7" customHeight="1" x14ac:dyDescent="0.25">
      <c r="A97" s="100" t="s">
        <v>182</v>
      </c>
      <c r="B97" s="100" t="s">
        <v>2311</v>
      </c>
      <c r="C97" s="100" t="s">
        <v>87</v>
      </c>
      <c r="D97" s="101" t="str">
        <f>"Chemistry 368"</f>
        <v>Chemistry 368</v>
      </c>
      <c r="E97" s="102" t="s">
        <v>2312</v>
      </c>
      <c r="F97" s="100">
        <v>17</v>
      </c>
      <c r="G97" s="100">
        <v>11</v>
      </c>
      <c r="H97" s="100">
        <v>0.65</v>
      </c>
      <c r="I97" s="100">
        <v>22</v>
      </c>
      <c r="J97" s="100">
        <v>5</v>
      </c>
      <c r="K97" s="100">
        <v>4</v>
      </c>
      <c r="L97" s="100">
        <v>1</v>
      </c>
      <c r="M97" s="100">
        <v>1</v>
      </c>
      <c r="N97" s="100">
        <v>4</v>
      </c>
      <c r="O97" s="100">
        <v>1</v>
      </c>
      <c r="P97" s="100">
        <v>3.29</v>
      </c>
      <c r="Q97" s="100">
        <v>59.42</v>
      </c>
      <c r="R97" s="100">
        <v>5</v>
      </c>
      <c r="S97" s="100">
        <v>1</v>
      </c>
      <c r="T97" s="100">
        <v>0</v>
      </c>
      <c r="U97" s="100">
        <v>0</v>
      </c>
      <c r="V97" s="100">
        <v>0</v>
      </c>
      <c r="W97" s="100">
        <v>0</v>
      </c>
      <c r="X97" s="100">
        <v>1</v>
      </c>
      <c r="Y97" s="100">
        <v>0</v>
      </c>
      <c r="Z97" s="100">
        <v>1</v>
      </c>
      <c r="AA97" s="100">
        <v>0</v>
      </c>
      <c r="AB97" s="100">
        <v>1</v>
      </c>
      <c r="AC97" s="100">
        <v>0</v>
      </c>
      <c r="AD97" s="100">
        <v>0</v>
      </c>
      <c r="AE97" s="100">
        <v>0</v>
      </c>
      <c r="AF97" s="100">
        <v>0</v>
      </c>
      <c r="AG97" s="100">
        <v>1</v>
      </c>
      <c r="AH97" s="100">
        <v>0</v>
      </c>
      <c r="AI97" s="100">
        <v>0</v>
      </c>
      <c r="AJ97" s="100">
        <v>1</v>
      </c>
      <c r="AK97" s="100">
        <v>0</v>
      </c>
      <c r="AL97" s="100">
        <v>0</v>
      </c>
      <c r="AM97" s="100">
        <v>0</v>
      </c>
      <c r="AN97" s="100">
        <v>0</v>
      </c>
      <c r="AO97" s="100">
        <v>1</v>
      </c>
      <c r="AP97" s="100">
        <v>1</v>
      </c>
      <c r="AQ97" s="100">
        <v>0</v>
      </c>
      <c r="AR97" s="100">
        <v>0</v>
      </c>
      <c r="AS97" s="100">
        <v>0</v>
      </c>
      <c r="AT97" s="100">
        <v>0</v>
      </c>
      <c r="AU97" s="100">
        <v>0</v>
      </c>
      <c r="AV97" s="100">
        <v>0</v>
      </c>
      <c r="AW97" s="100">
        <v>0</v>
      </c>
      <c r="AX97" s="100">
        <v>1</v>
      </c>
      <c r="AY97" s="100">
        <v>0</v>
      </c>
      <c r="AZ97" s="100">
        <v>0</v>
      </c>
      <c r="BA97" s="100">
        <v>0</v>
      </c>
      <c r="BB97" s="100">
        <v>0</v>
      </c>
      <c r="BC97" s="100">
        <v>0</v>
      </c>
      <c r="BD97" s="100">
        <v>0</v>
      </c>
      <c r="BE97" s="100">
        <v>0</v>
      </c>
      <c r="BF97" s="100">
        <v>0</v>
      </c>
      <c r="BG97" s="100">
        <v>0</v>
      </c>
      <c r="BH97" s="100">
        <v>0</v>
      </c>
      <c r="BI97" s="100">
        <v>0</v>
      </c>
      <c r="BJ97" s="100">
        <v>2</v>
      </c>
      <c r="BK97" s="100">
        <v>0</v>
      </c>
      <c r="BL97" s="100">
        <v>0</v>
      </c>
      <c r="BM97" s="100">
        <v>0</v>
      </c>
      <c r="BN97" s="100">
        <v>0</v>
      </c>
      <c r="BO97" s="100">
        <v>0</v>
      </c>
      <c r="BP97" s="100">
        <v>1</v>
      </c>
      <c r="BQ97" s="100">
        <v>0</v>
      </c>
      <c r="BR97" s="100">
        <v>0</v>
      </c>
      <c r="BS97" s="100">
        <v>0</v>
      </c>
      <c r="BT97" s="100">
        <v>0</v>
      </c>
      <c r="BU97" s="100">
        <v>0</v>
      </c>
      <c r="BV97" s="100">
        <v>0</v>
      </c>
      <c r="BW97" s="100">
        <v>0</v>
      </c>
      <c r="BX97" s="100">
        <v>0</v>
      </c>
      <c r="BY97" s="100">
        <v>0</v>
      </c>
      <c r="BZ97" s="100">
        <v>0</v>
      </c>
      <c r="CA97" s="100">
        <v>0</v>
      </c>
      <c r="CB97" s="100" t="s">
        <v>2090</v>
      </c>
      <c r="CC97" s="100">
        <v>0</v>
      </c>
      <c r="CD97" s="100">
        <v>0</v>
      </c>
      <c r="CE97" s="100">
        <v>0</v>
      </c>
      <c r="CF97" s="100">
        <v>0</v>
      </c>
      <c r="CG97" s="103">
        <v>186695.14378000001</v>
      </c>
      <c r="CH97" s="103">
        <v>24.75</v>
      </c>
      <c r="CI97" s="103">
        <v>4465681.54899</v>
      </c>
      <c r="CJ97" s="103">
        <v>27.12</v>
      </c>
      <c r="CK97" s="103">
        <f t="shared" si="4"/>
        <v>671.22</v>
      </c>
      <c r="CL97" s="103">
        <v>129529.3</v>
      </c>
      <c r="CM97" s="103">
        <v>487360.5</v>
      </c>
      <c r="CN97" s="104">
        <v>0.26577718136779654</v>
      </c>
      <c r="CO97" s="103">
        <v>77027.168279999998</v>
      </c>
      <c r="CP97" s="103">
        <v>7.36</v>
      </c>
      <c r="CQ97" s="103">
        <v>3307407.4371600002</v>
      </c>
      <c r="CR97" s="103">
        <v>7.74</v>
      </c>
      <c r="CS97" s="103">
        <f t="shared" si="5"/>
        <v>56.966400000000007</v>
      </c>
      <c r="CT97" s="103">
        <v>55414</v>
      </c>
      <c r="CU97" s="103">
        <v>760626</v>
      </c>
      <c r="CV97" s="104">
        <v>7.2853149905472592E-2</v>
      </c>
      <c r="CW97" s="103">
        <v>154625.85722999999</v>
      </c>
      <c r="CX97" s="103">
        <v>20.03</v>
      </c>
      <c r="CY97" s="103">
        <v>3951856.2180699999</v>
      </c>
      <c r="CZ97" s="103">
        <v>24.56882525219655</v>
      </c>
      <c r="DA97" s="103">
        <f t="shared" si="6"/>
        <v>492.11356980149691</v>
      </c>
      <c r="DB97" s="103">
        <v>129202</v>
      </c>
      <c r="DC97" s="103">
        <v>548587.80000000005</v>
      </c>
      <c r="DD97" s="104">
        <v>0.23551745044275499</v>
      </c>
      <c r="DE97" s="103">
        <v>54247.524270000002</v>
      </c>
      <c r="DF97" s="103">
        <v>4.5999999999999996</v>
      </c>
      <c r="DG97" s="103">
        <v>2361823.04911</v>
      </c>
      <c r="DH97" s="103">
        <v>8.75</v>
      </c>
      <c r="DI97" s="103">
        <f t="shared" si="7"/>
        <v>40.25</v>
      </c>
      <c r="DJ97" s="103">
        <v>76536.7</v>
      </c>
      <c r="DK97" s="103">
        <v>928648.6</v>
      </c>
      <c r="DL97" s="104">
        <v>8.2417288950847503E-2</v>
      </c>
    </row>
    <row r="98" spans="1:116" s="15" customFormat="1" ht="265.7" customHeight="1" x14ac:dyDescent="0.25">
      <c r="A98" s="100" t="s">
        <v>183</v>
      </c>
      <c r="B98" s="100" t="s">
        <v>2313</v>
      </c>
      <c r="C98" s="100" t="s">
        <v>87</v>
      </c>
      <c r="D98" s="101" t="str">
        <f>"Chemistry 239"</f>
        <v>Chemistry 239</v>
      </c>
      <c r="E98" s="102" t="s">
        <v>2314</v>
      </c>
      <c r="F98" s="100">
        <v>17</v>
      </c>
      <c r="G98" s="100">
        <v>4</v>
      </c>
      <c r="H98" s="100">
        <v>0.24</v>
      </c>
      <c r="I98" s="100">
        <v>23</v>
      </c>
      <c r="J98" s="100">
        <v>6</v>
      </c>
      <c r="K98" s="100">
        <v>5</v>
      </c>
      <c r="L98" s="100">
        <v>2</v>
      </c>
      <c r="M98" s="100">
        <v>2</v>
      </c>
      <c r="N98" s="100">
        <v>4</v>
      </c>
      <c r="O98" s="100">
        <v>0</v>
      </c>
      <c r="P98" s="100">
        <v>2.4300000000000002</v>
      </c>
      <c r="Q98" s="100">
        <v>59.5</v>
      </c>
      <c r="R98" s="100">
        <v>4</v>
      </c>
      <c r="S98" s="100">
        <v>1</v>
      </c>
      <c r="T98" s="100">
        <v>0</v>
      </c>
      <c r="U98" s="100">
        <v>0</v>
      </c>
      <c r="V98" s="100">
        <v>0</v>
      </c>
      <c r="W98" s="100">
        <v>0</v>
      </c>
      <c r="X98" s="100">
        <v>0</v>
      </c>
      <c r="Y98" s="100">
        <v>0</v>
      </c>
      <c r="Z98" s="100">
        <v>0</v>
      </c>
      <c r="AA98" s="100">
        <v>1</v>
      </c>
      <c r="AB98" s="100">
        <v>1</v>
      </c>
      <c r="AC98" s="100">
        <v>0</v>
      </c>
      <c r="AD98" s="100">
        <v>0</v>
      </c>
      <c r="AE98" s="100">
        <v>0</v>
      </c>
      <c r="AF98" s="100">
        <v>1</v>
      </c>
      <c r="AG98" s="100">
        <v>0</v>
      </c>
      <c r="AH98" s="100">
        <v>0</v>
      </c>
      <c r="AI98" s="100">
        <v>0</v>
      </c>
      <c r="AJ98" s="100">
        <v>1</v>
      </c>
      <c r="AK98" s="100">
        <v>0</v>
      </c>
      <c r="AL98" s="100">
        <v>0</v>
      </c>
      <c r="AM98" s="100">
        <v>0</v>
      </c>
      <c r="AN98" s="100">
        <v>0</v>
      </c>
      <c r="AO98" s="100">
        <v>1</v>
      </c>
      <c r="AP98" s="100">
        <v>0</v>
      </c>
      <c r="AQ98" s="100">
        <v>0</v>
      </c>
      <c r="AR98" s="100">
        <v>0</v>
      </c>
      <c r="AS98" s="100">
        <v>0</v>
      </c>
      <c r="AT98" s="100">
        <v>1</v>
      </c>
      <c r="AU98" s="100">
        <v>0</v>
      </c>
      <c r="AV98" s="100">
        <v>0</v>
      </c>
      <c r="AW98" s="100">
        <v>0</v>
      </c>
      <c r="AX98" s="100">
        <v>1</v>
      </c>
      <c r="AY98" s="100">
        <v>0</v>
      </c>
      <c r="AZ98" s="100">
        <v>0</v>
      </c>
      <c r="BA98" s="100">
        <v>0</v>
      </c>
      <c r="BB98" s="100">
        <v>0</v>
      </c>
      <c r="BC98" s="100">
        <v>0</v>
      </c>
      <c r="BD98" s="100">
        <v>0</v>
      </c>
      <c r="BE98" s="100">
        <v>0</v>
      </c>
      <c r="BF98" s="100">
        <v>0</v>
      </c>
      <c r="BG98" s="100">
        <v>0</v>
      </c>
      <c r="BH98" s="100">
        <v>0</v>
      </c>
      <c r="BI98" s="100">
        <v>0</v>
      </c>
      <c r="BJ98" s="100">
        <v>2</v>
      </c>
      <c r="BK98" s="100">
        <v>0</v>
      </c>
      <c r="BL98" s="100">
        <v>0</v>
      </c>
      <c r="BM98" s="100">
        <v>0</v>
      </c>
      <c r="BN98" s="100">
        <v>0</v>
      </c>
      <c r="BO98" s="100">
        <v>0</v>
      </c>
      <c r="BP98" s="100">
        <v>1</v>
      </c>
      <c r="BQ98" s="100">
        <v>0</v>
      </c>
      <c r="BR98" s="100">
        <v>0</v>
      </c>
      <c r="BS98" s="100">
        <v>0</v>
      </c>
      <c r="BT98" s="100">
        <v>0</v>
      </c>
      <c r="BU98" s="100">
        <v>0</v>
      </c>
      <c r="BV98" s="100">
        <v>0</v>
      </c>
      <c r="BW98" s="100">
        <v>0</v>
      </c>
      <c r="BX98" s="100">
        <v>0</v>
      </c>
      <c r="BY98" s="100">
        <v>0</v>
      </c>
      <c r="BZ98" s="100">
        <v>0</v>
      </c>
      <c r="CA98" s="100">
        <v>0</v>
      </c>
      <c r="CB98" s="100" t="s">
        <v>2090</v>
      </c>
      <c r="CC98" s="100">
        <v>0</v>
      </c>
      <c r="CD98" s="100">
        <v>0</v>
      </c>
      <c r="CE98" s="100">
        <v>0</v>
      </c>
      <c r="CF98" s="100">
        <v>0</v>
      </c>
      <c r="CG98" s="103">
        <v>226213.55699000001</v>
      </c>
      <c r="CH98" s="103">
        <v>17.54</v>
      </c>
      <c r="CI98" s="103">
        <v>2053989.4228399999</v>
      </c>
      <c r="CJ98" s="103">
        <v>18.11</v>
      </c>
      <c r="CK98" s="103">
        <f t="shared" si="4"/>
        <v>317.64939999999996</v>
      </c>
      <c r="CL98" s="103">
        <v>301613.3</v>
      </c>
      <c r="CM98" s="103">
        <v>828985.8</v>
      </c>
      <c r="CN98" s="104">
        <v>0.36383409703760905</v>
      </c>
      <c r="CO98" s="103">
        <v>0</v>
      </c>
      <c r="CP98" s="103">
        <v>0</v>
      </c>
      <c r="CQ98" s="103">
        <v>0</v>
      </c>
      <c r="CR98" s="103">
        <v>0</v>
      </c>
      <c r="CS98" s="103">
        <f t="shared" si="5"/>
        <v>0</v>
      </c>
      <c r="CT98" s="103">
        <v>0</v>
      </c>
      <c r="CU98" s="103">
        <v>143266.6</v>
      </c>
      <c r="CV98" s="104">
        <v>0</v>
      </c>
      <c r="CW98" s="103">
        <v>350144.76140999998</v>
      </c>
      <c r="CX98" s="103">
        <v>21.63</v>
      </c>
      <c r="CY98" s="103">
        <v>2396507.8355</v>
      </c>
      <c r="CZ98" s="103">
        <v>18.115622241835837</v>
      </c>
      <c r="DA98" s="103">
        <f t="shared" si="6"/>
        <v>391.84090909090912</v>
      </c>
      <c r="DB98" s="103">
        <v>236325.4</v>
      </c>
      <c r="DC98" s="103">
        <v>772888.7</v>
      </c>
      <c r="DD98" s="104">
        <v>0.30576899364682136</v>
      </c>
      <c r="DE98" s="103">
        <v>104000.85953</v>
      </c>
      <c r="DF98" s="103">
        <v>4.18</v>
      </c>
      <c r="DG98" s="103">
        <v>79235.102050000001</v>
      </c>
      <c r="DH98" s="103">
        <v>8.19</v>
      </c>
      <c r="DI98" s="103">
        <f t="shared" si="7"/>
        <v>34.234199999999994</v>
      </c>
      <c r="DJ98" s="103">
        <v>0</v>
      </c>
      <c r="DK98" s="103">
        <v>13949.6</v>
      </c>
      <c r="DL98" s="104">
        <v>0</v>
      </c>
    </row>
    <row r="99" spans="1:116" s="15" customFormat="1" ht="265.7" customHeight="1" x14ac:dyDescent="0.25">
      <c r="A99" s="100" t="s">
        <v>184</v>
      </c>
      <c r="B99" s="100" t="s">
        <v>2315</v>
      </c>
      <c r="C99" s="100" t="s">
        <v>87</v>
      </c>
      <c r="D99" s="101" t="str">
        <f>"Chemistry 268"</f>
        <v>Chemistry 268</v>
      </c>
      <c r="E99" s="102" t="s">
        <v>2316</v>
      </c>
      <c r="F99" s="100">
        <v>15</v>
      </c>
      <c r="G99" s="100">
        <v>11</v>
      </c>
      <c r="H99" s="100">
        <v>0.73</v>
      </c>
      <c r="I99" s="100">
        <v>21</v>
      </c>
      <c r="J99" s="100">
        <v>6</v>
      </c>
      <c r="K99" s="100">
        <v>5</v>
      </c>
      <c r="L99" s="100">
        <v>1</v>
      </c>
      <c r="M99" s="100">
        <v>1</v>
      </c>
      <c r="N99" s="100">
        <v>4</v>
      </c>
      <c r="O99" s="100">
        <v>1</v>
      </c>
      <c r="P99" s="100">
        <v>3.12</v>
      </c>
      <c r="Q99" s="100">
        <v>59.42</v>
      </c>
      <c r="R99" s="100">
        <v>4</v>
      </c>
      <c r="S99" s="100">
        <v>1</v>
      </c>
      <c r="T99" s="100">
        <v>0</v>
      </c>
      <c r="U99" s="100">
        <v>0</v>
      </c>
      <c r="V99" s="100">
        <v>0</v>
      </c>
      <c r="W99" s="100">
        <v>0</v>
      </c>
      <c r="X99" s="100">
        <v>1</v>
      </c>
      <c r="Y99" s="100">
        <v>0</v>
      </c>
      <c r="Z99" s="100">
        <v>1</v>
      </c>
      <c r="AA99" s="100">
        <v>0</v>
      </c>
      <c r="AB99" s="100">
        <v>1</v>
      </c>
      <c r="AC99" s="100">
        <v>0</v>
      </c>
      <c r="AD99" s="100">
        <v>0</v>
      </c>
      <c r="AE99" s="100">
        <v>0</v>
      </c>
      <c r="AF99" s="100">
        <v>0</v>
      </c>
      <c r="AG99" s="100">
        <v>1</v>
      </c>
      <c r="AH99" s="100">
        <v>0</v>
      </c>
      <c r="AI99" s="100">
        <v>0</v>
      </c>
      <c r="AJ99" s="100">
        <v>1</v>
      </c>
      <c r="AK99" s="100">
        <v>0</v>
      </c>
      <c r="AL99" s="100">
        <v>0</v>
      </c>
      <c r="AM99" s="100">
        <v>0</v>
      </c>
      <c r="AN99" s="100">
        <v>1</v>
      </c>
      <c r="AO99" s="100">
        <v>0</v>
      </c>
      <c r="AP99" s="100">
        <v>1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1</v>
      </c>
      <c r="AY99" s="100">
        <v>0</v>
      </c>
      <c r="AZ99" s="100">
        <v>0</v>
      </c>
      <c r="BA99" s="100">
        <v>0</v>
      </c>
      <c r="BB99" s="100">
        <v>0</v>
      </c>
      <c r="BC99" s="100">
        <v>0</v>
      </c>
      <c r="BD99" s="100">
        <v>0</v>
      </c>
      <c r="BE99" s="100">
        <v>0</v>
      </c>
      <c r="BF99" s="100">
        <v>0</v>
      </c>
      <c r="BG99" s="100">
        <v>0</v>
      </c>
      <c r="BH99" s="100">
        <v>0</v>
      </c>
      <c r="BI99" s="100">
        <v>0</v>
      </c>
      <c r="BJ99" s="100">
        <v>2</v>
      </c>
      <c r="BK99" s="100">
        <v>0</v>
      </c>
      <c r="BL99" s="100">
        <v>0</v>
      </c>
      <c r="BM99" s="100">
        <v>0</v>
      </c>
      <c r="BN99" s="100">
        <v>0</v>
      </c>
      <c r="BO99" s="100">
        <v>0</v>
      </c>
      <c r="BP99" s="100">
        <v>0</v>
      </c>
      <c r="BQ99" s="100">
        <v>0</v>
      </c>
      <c r="BR99" s="100">
        <v>0</v>
      </c>
      <c r="BS99" s="100">
        <v>0</v>
      </c>
      <c r="BT99" s="100">
        <v>0</v>
      </c>
      <c r="BU99" s="100">
        <v>0</v>
      </c>
      <c r="BV99" s="100">
        <v>1</v>
      </c>
      <c r="BW99" s="100">
        <v>0</v>
      </c>
      <c r="BX99" s="100">
        <v>0</v>
      </c>
      <c r="BY99" s="100">
        <v>0</v>
      </c>
      <c r="BZ99" s="100">
        <v>0</v>
      </c>
      <c r="CA99" s="100">
        <v>0</v>
      </c>
      <c r="CB99" s="100" t="s">
        <v>2090</v>
      </c>
      <c r="CC99" s="100">
        <v>0</v>
      </c>
      <c r="CD99" s="100">
        <v>0</v>
      </c>
      <c r="CE99" s="100">
        <v>0</v>
      </c>
      <c r="CF99" s="100">
        <v>0</v>
      </c>
      <c r="CG99" s="103">
        <v>9369.5213600000006</v>
      </c>
      <c r="CH99" s="103">
        <v>1</v>
      </c>
      <c r="CI99" s="103">
        <v>87457.812319999997</v>
      </c>
      <c r="CJ99" s="103">
        <v>2.77</v>
      </c>
      <c r="CK99" s="103">
        <f t="shared" si="4"/>
        <v>2.77</v>
      </c>
      <c r="CL99" s="103">
        <v>10146.5</v>
      </c>
      <c r="CM99" s="103">
        <v>792826.2</v>
      </c>
      <c r="CN99" s="104">
        <v>1.2797886850863405E-2</v>
      </c>
      <c r="CO99" s="103">
        <v>0</v>
      </c>
      <c r="CP99" s="103">
        <v>0</v>
      </c>
      <c r="CQ99" s="103">
        <v>0</v>
      </c>
      <c r="CR99" s="103">
        <v>0</v>
      </c>
      <c r="CS99" s="103">
        <f t="shared" si="5"/>
        <v>0</v>
      </c>
      <c r="CT99" s="103">
        <v>5323.5</v>
      </c>
      <c r="CU99" s="103">
        <v>250470.2</v>
      </c>
      <c r="CV99" s="104">
        <v>2.1254025428973186E-2</v>
      </c>
      <c r="CW99" s="103">
        <v>16069.28169</v>
      </c>
      <c r="CX99" s="103">
        <v>2.1</v>
      </c>
      <c r="CY99" s="103">
        <v>141581.74710000001</v>
      </c>
      <c r="CZ99" s="103">
        <v>4.8709910778876297</v>
      </c>
      <c r="DA99" s="103">
        <f t="shared" si="6"/>
        <v>10.229081263564023</v>
      </c>
      <c r="DB99" s="103">
        <v>14137</v>
      </c>
      <c r="DC99" s="103">
        <v>880984.2</v>
      </c>
      <c r="DD99" s="104">
        <v>1.6046825811405017E-2</v>
      </c>
      <c r="DE99" s="103">
        <v>0</v>
      </c>
      <c r="DF99" s="103">
        <v>0</v>
      </c>
      <c r="DG99" s="103">
        <v>2464.9235800000001</v>
      </c>
      <c r="DH99" s="103">
        <v>0</v>
      </c>
      <c r="DI99" s="103">
        <f t="shared" si="7"/>
        <v>0</v>
      </c>
      <c r="DJ99" s="103">
        <v>2149.8000000000002</v>
      </c>
      <c r="DK99" s="103">
        <v>441710.9</v>
      </c>
      <c r="DL99" s="104">
        <v>4.8669842650475685E-3</v>
      </c>
    </row>
    <row r="100" spans="1:116" s="15" customFormat="1" ht="254.45" customHeight="1" x14ac:dyDescent="0.25">
      <c r="A100" s="100" t="s">
        <v>185</v>
      </c>
      <c r="B100" s="100" t="s">
        <v>2317</v>
      </c>
      <c r="C100" s="100" t="s">
        <v>87</v>
      </c>
      <c r="D100" s="101" t="str">
        <f>"Chemistry 297"</f>
        <v>Chemistry 297</v>
      </c>
      <c r="E100" s="102" t="s">
        <v>2318</v>
      </c>
      <c r="F100" s="100">
        <v>13</v>
      </c>
      <c r="G100" s="100">
        <v>3</v>
      </c>
      <c r="H100" s="100">
        <v>0.23</v>
      </c>
      <c r="I100" s="100">
        <v>23</v>
      </c>
      <c r="J100" s="100">
        <v>10</v>
      </c>
      <c r="K100" s="100">
        <v>6</v>
      </c>
      <c r="L100" s="100">
        <v>3</v>
      </c>
      <c r="M100" s="100">
        <v>2</v>
      </c>
      <c r="N100" s="100">
        <v>4</v>
      </c>
      <c r="O100" s="100">
        <v>0</v>
      </c>
      <c r="P100" s="100">
        <v>3.73</v>
      </c>
      <c r="Q100" s="100">
        <v>63.16</v>
      </c>
      <c r="R100" s="100">
        <v>4</v>
      </c>
      <c r="S100" s="100">
        <v>1</v>
      </c>
      <c r="T100" s="100">
        <v>0</v>
      </c>
      <c r="U100" s="100">
        <v>0</v>
      </c>
      <c r="V100" s="100">
        <v>0</v>
      </c>
      <c r="W100" s="100">
        <v>0</v>
      </c>
      <c r="X100" s="100">
        <v>0</v>
      </c>
      <c r="Y100" s="100">
        <v>0</v>
      </c>
      <c r="Z100" s="100">
        <v>0</v>
      </c>
      <c r="AA100" s="100">
        <v>1</v>
      </c>
      <c r="AB100" s="100">
        <v>1</v>
      </c>
      <c r="AC100" s="100">
        <v>0</v>
      </c>
      <c r="AD100" s="100">
        <v>0</v>
      </c>
      <c r="AE100" s="100">
        <v>0</v>
      </c>
      <c r="AF100" s="100">
        <v>0</v>
      </c>
      <c r="AG100" s="100">
        <v>1</v>
      </c>
      <c r="AH100" s="100">
        <v>0</v>
      </c>
      <c r="AI100" s="100">
        <v>0</v>
      </c>
      <c r="AJ100" s="100">
        <v>1</v>
      </c>
      <c r="AK100" s="100">
        <v>0</v>
      </c>
      <c r="AL100" s="100">
        <v>0</v>
      </c>
      <c r="AM100" s="100">
        <v>0</v>
      </c>
      <c r="AN100" s="100">
        <v>0</v>
      </c>
      <c r="AO100" s="100">
        <v>1</v>
      </c>
      <c r="AP100" s="100">
        <v>0</v>
      </c>
      <c r="AQ100" s="100">
        <v>0</v>
      </c>
      <c r="AR100" s="100">
        <v>0</v>
      </c>
      <c r="AS100" s="100">
        <v>0</v>
      </c>
      <c r="AT100" s="100">
        <v>0</v>
      </c>
      <c r="AU100" s="100">
        <v>0</v>
      </c>
      <c r="AV100" s="100">
        <v>0</v>
      </c>
      <c r="AW100" s="100">
        <v>0</v>
      </c>
      <c r="AX100" s="100">
        <v>0</v>
      </c>
      <c r="AY100" s="100">
        <v>0</v>
      </c>
      <c r="AZ100" s="100">
        <v>0</v>
      </c>
      <c r="BA100" s="100">
        <v>0</v>
      </c>
      <c r="BB100" s="100">
        <v>0</v>
      </c>
      <c r="BC100" s="100">
        <v>0</v>
      </c>
      <c r="BD100" s="100">
        <v>0</v>
      </c>
      <c r="BE100" s="100">
        <v>0</v>
      </c>
      <c r="BF100" s="100">
        <v>1</v>
      </c>
      <c r="BG100" s="100">
        <v>0</v>
      </c>
      <c r="BH100" s="100">
        <v>0</v>
      </c>
      <c r="BI100" s="100">
        <v>0</v>
      </c>
      <c r="BJ100" s="100">
        <v>1</v>
      </c>
      <c r="BK100" s="100">
        <v>0</v>
      </c>
      <c r="BL100" s="100">
        <v>0</v>
      </c>
      <c r="BM100" s="100">
        <v>0</v>
      </c>
      <c r="BN100" s="100">
        <v>1</v>
      </c>
      <c r="BO100" s="100">
        <v>1</v>
      </c>
      <c r="BP100" s="100">
        <v>0</v>
      </c>
      <c r="BQ100" s="100">
        <v>0</v>
      </c>
      <c r="BR100" s="100">
        <v>0</v>
      </c>
      <c r="BS100" s="100">
        <v>0</v>
      </c>
      <c r="BT100" s="100">
        <v>0</v>
      </c>
      <c r="BU100" s="100">
        <v>0</v>
      </c>
      <c r="BV100" s="100">
        <v>0</v>
      </c>
      <c r="BW100" s="100">
        <v>0</v>
      </c>
      <c r="BX100" s="100">
        <v>0</v>
      </c>
      <c r="BY100" s="100">
        <v>0</v>
      </c>
      <c r="BZ100" s="100">
        <v>0</v>
      </c>
      <c r="CA100" s="100">
        <v>0</v>
      </c>
      <c r="CB100" s="100" t="s">
        <v>2090</v>
      </c>
      <c r="CC100" s="100">
        <v>0</v>
      </c>
      <c r="CD100" s="100">
        <v>0</v>
      </c>
      <c r="CE100" s="100">
        <v>0</v>
      </c>
      <c r="CF100" s="100">
        <v>0</v>
      </c>
      <c r="CG100" s="103">
        <v>224582.25977</v>
      </c>
      <c r="CH100" s="103">
        <v>22.45</v>
      </c>
      <c r="CI100" s="103">
        <v>2368542.1971900002</v>
      </c>
      <c r="CJ100" s="103">
        <v>20.45</v>
      </c>
      <c r="CK100" s="103">
        <f t="shared" si="4"/>
        <v>459.10249999999996</v>
      </c>
      <c r="CL100" s="103">
        <v>53596.800000000003</v>
      </c>
      <c r="CM100" s="103">
        <v>408427.2</v>
      </c>
      <c r="CN100" s="104">
        <v>0.13122730317667383</v>
      </c>
      <c r="CO100" s="103">
        <v>89141.225529999996</v>
      </c>
      <c r="CP100" s="103">
        <v>3.51</v>
      </c>
      <c r="CQ100" s="103">
        <v>1953201.3029100001</v>
      </c>
      <c r="CR100" s="103">
        <v>8.14</v>
      </c>
      <c r="CS100" s="103">
        <f t="shared" si="5"/>
        <v>28.571400000000001</v>
      </c>
      <c r="CT100" s="103">
        <v>16866.400000000001</v>
      </c>
      <c r="CU100" s="103">
        <v>355760</v>
      </c>
      <c r="CV100" s="104">
        <v>4.7409489543512484E-2</v>
      </c>
      <c r="CW100" s="103">
        <v>610649.20788999996</v>
      </c>
      <c r="CX100" s="103">
        <v>68.48</v>
      </c>
      <c r="CY100" s="103">
        <v>3023263.6869100002</v>
      </c>
      <c r="CZ100" s="103">
        <v>40.650221666477201</v>
      </c>
      <c r="DA100" s="103">
        <f t="shared" si="6"/>
        <v>2783.7271797203589</v>
      </c>
      <c r="DB100" s="103">
        <v>24554</v>
      </c>
      <c r="DC100" s="103">
        <v>657753.19999999995</v>
      </c>
      <c r="DD100" s="104">
        <v>3.7330111050771018E-2</v>
      </c>
      <c r="DE100" s="103">
        <v>134980.06769</v>
      </c>
      <c r="DF100" s="103">
        <v>5.8</v>
      </c>
      <c r="DG100" s="103">
        <v>1932939.1915599999</v>
      </c>
      <c r="DH100" s="103">
        <v>7.22</v>
      </c>
      <c r="DI100" s="103">
        <f t="shared" si="7"/>
        <v>41.875999999999998</v>
      </c>
      <c r="DJ100" s="103">
        <v>17427.900000000001</v>
      </c>
      <c r="DK100" s="103">
        <v>411023.6</v>
      </c>
      <c r="DL100" s="104">
        <v>4.240121491807284E-2</v>
      </c>
    </row>
    <row r="101" spans="1:116" s="15" customFormat="1" ht="258.95" customHeight="1" x14ac:dyDescent="0.25">
      <c r="A101" s="100" t="s">
        <v>186</v>
      </c>
      <c r="B101" s="100" t="s">
        <v>2319</v>
      </c>
      <c r="C101" s="100" t="s">
        <v>87</v>
      </c>
      <c r="D101" s="101" t="str">
        <f>"Chemistry 313"</f>
        <v>Chemistry 313</v>
      </c>
      <c r="E101" s="102" t="s">
        <v>2320</v>
      </c>
      <c r="F101" s="100">
        <v>17</v>
      </c>
      <c r="G101" s="100">
        <v>6</v>
      </c>
      <c r="H101" s="100">
        <v>0.35</v>
      </c>
      <c r="I101" s="100">
        <v>25</v>
      </c>
      <c r="J101" s="100">
        <v>8</v>
      </c>
      <c r="K101" s="100">
        <v>4</v>
      </c>
      <c r="L101" s="100">
        <v>3</v>
      </c>
      <c r="M101" s="100">
        <v>2</v>
      </c>
      <c r="N101" s="100">
        <v>3</v>
      </c>
      <c r="O101" s="100">
        <v>0</v>
      </c>
      <c r="P101" s="100">
        <v>2.77</v>
      </c>
      <c r="Q101" s="100">
        <v>46.09</v>
      </c>
      <c r="R101" s="100">
        <v>4</v>
      </c>
      <c r="S101" s="100">
        <v>1</v>
      </c>
      <c r="T101" s="100">
        <v>0</v>
      </c>
      <c r="U101" s="100">
        <v>0</v>
      </c>
      <c r="V101" s="100">
        <v>0</v>
      </c>
      <c r="W101" s="100">
        <v>1</v>
      </c>
      <c r="X101" s="100">
        <v>0</v>
      </c>
      <c r="Y101" s="100">
        <v>0</v>
      </c>
      <c r="Z101" s="100">
        <v>0</v>
      </c>
      <c r="AA101" s="100">
        <v>1</v>
      </c>
      <c r="AB101" s="100">
        <v>0</v>
      </c>
      <c r="AC101" s="100">
        <v>1</v>
      </c>
      <c r="AD101" s="100">
        <v>0</v>
      </c>
      <c r="AE101" s="100">
        <v>0</v>
      </c>
      <c r="AF101" s="100">
        <v>1</v>
      </c>
      <c r="AG101" s="100">
        <v>0</v>
      </c>
      <c r="AH101" s="100">
        <v>0</v>
      </c>
      <c r="AI101" s="100">
        <v>1</v>
      </c>
      <c r="AJ101" s="100">
        <v>0</v>
      </c>
      <c r="AK101" s="100">
        <v>0</v>
      </c>
      <c r="AL101" s="100">
        <v>0</v>
      </c>
      <c r="AM101" s="100">
        <v>0</v>
      </c>
      <c r="AN101" s="100">
        <v>0</v>
      </c>
      <c r="AO101" s="100">
        <v>1</v>
      </c>
      <c r="AP101" s="100">
        <v>0</v>
      </c>
      <c r="AQ101" s="100">
        <v>0</v>
      </c>
      <c r="AR101" s="100">
        <v>0</v>
      </c>
      <c r="AS101" s="100">
        <v>0</v>
      </c>
      <c r="AT101" s="100">
        <v>1</v>
      </c>
      <c r="AU101" s="100">
        <v>0</v>
      </c>
      <c r="AV101" s="100">
        <v>0</v>
      </c>
      <c r="AW101" s="100">
        <v>0</v>
      </c>
      <c r="AX101" s="100">
        <v>0</v>
      </c>
      <c r="AY101" s="100">
        <v>0</v>
      </c>
      <c r="AZ101" s="100">
        <v>0</v>
      </c>
      <c r="BA101" s="100">
        <v>0</v>
      </c>
      <c r="BB101" s="100">
        <v>0</v>
      </c>
      <c r="BC101" s="100">
        <v>0</v>
      </c>
      <c r="BD101" s="100">
        <v>0</v>
      </c>
      <c r="BE101" s="100">
        <v>0</v>
      </c>
      <c r="BF101" s="100">
        <v>0</v>
      </c>
      <c r="BG101" s="100">
        <v>0</v>
      </c>
      <c r="BH101" s="100">
        <v>0</v>
      </c>
      <c r="BI101" s="100">
        <v>0</v>
      </c>
      <c r="BJ101" s="100">
        <v>1</v>
      </c>
      <c r="BK101" s="100">
        <v>0</v>
      </c>
      <c r="BL101" s="100">
        <v>0</v>
      </c>
      <c r="BM101" s="100">
        <v>0</v>
      </c>
      <c r="BN101" s="100">
        <v>1</v>
      </c>
      <c r="BO101" s="100">
        <v>1</v>
      </c>
      <c r="BP101" s="100">
        <v>0</v>
      </c>
      <c r="BQ101" s="100">
        <v>0</v>
      </c>
      <c r="BR101" s="100">
        <v>0</v>
      </c>
      <c r="BS101" s="100">
        <v>0</v>
      </c>
      <c r="BT101" s="100">
        <v>0</v>
      </c>
      <c r="BU101" s="100">
        <v>0</v>
      </c>
      <c r="BV101" s="100">
        <v>0</v>
      </c>
      <c r="BW101" s="100">
        <v>0</v>
      </c>
      <c r="BX101" s="100">
        <v>0</v>
      </c>
      <c r="BY101" s="100">
        <v>0</v>
      </c>
      <c r="BZ101" s="100">
        <v>0</v>
      </c>
      <c r="CA101" s="100">
        <v>0</v>
      </c>
      <c r="CB101" s="100" t="s">
        <v>2090</v>
      </c>
      <c r="CC101" s="100">
        <v>0</v>
      </c>
      <c r="CD101" s="100">
        <v>0</v>
      </c>
      <c r="CE101" s="100">
        <v>0</v>
      </c>
      <c r="CF101" s="100">
        <v>0</v>
      </c>
      <c r="CG101" s="103">
        <v>200773.35297000001</v>
      </c>
      <c r="CH101" s="103">
        <v>18.14</v>
      </c>
      <c r="CI101" s="103">
        <v>2913012.9515900002</v>
      </c>
      <c r="CJ101" s="103">
        <v>12.97</v>
      </c>
      <c r="CK101" s="103">
        <f t="shared" si="4"/>
        <v>235.27580000000003</v>
      </c>
      <c r="CL101" s="103">
        <v>85458.6</v>
      </c>
      <c r="CM101" s="103">
        <v>617625.4</v>
      </c>
      <c r="CN101" s="104">
        <v>0.13836639490539088</v>
      </c>
      <c r="CO101" s="103">
        <v>42026.01642</v>
      </c>
      <c r="CP101" s="103">
        <v>1.87</v>
      </c>
      <c r="CQ101" s="103">
        <v>1647388.4588200001</v>
      </c>
      <c r="CR101" s="103">
        <v>5</v>
      </c>
      <c r="CS101" s="103">
        <f t="shared" si="5"/>
        <v>9.3500000000000014</v>
      </c>
      <c r="CT101" s="103">
        <v>18189.7</v>
      </c>
      <c r="CU101" s="103">
        <v>354799</v>
      </c>
      <c r="CV101" s="104">
        <v>5.1267619130831825E-2</v>
      </c>
      <c r="CW101" s="103">
        <v>234719.88998000001</v>
      </c>
      <c r="CX101" s="103">
        <v>28.8</v>
      </c>
      <c r="CY101" s="103">
        <v>2455958.5334000001</v>
      </c>
      <c r="CZ101" s="103">
        <v>24.548511645285842</v>
      </c>
      <c r="DA101" s="103">
        <f t="shared" si="6"/>
        <v>706.99713538423225</v>
      </c>
      <c r="DB101" s="103">
        <v>56394</v>
      </c>
      <c r="DC101" s="103">
        <v>613328.19999999995</v>
      </c>
      <c r="DD101" s="104">
        <v>9.1947508691105351E-2</v>
      </c>
      <c r="DE101" s="103">
        <v>58955.267529999997</v>
      </c>
      <c r="DF101" s="103">
        <v>2.4900000000000002</v>
      </c>
      <c r="DG101" s="103">
        <v>1849215.8945599999</v>
      </c>
      <c r="DH101" s="103">
        <v>4.16</v>
      </c>
      <c r="DI101" s="103">
        <f t="shared" si="7"/>
        <v>10.358400000000001</v>
      </c>
      <c r="DJ101" s="103">
        <v>48501.3</v>
      </c>
      <c r="DK101" s="103">
        <v>718772.5</v>
      </c>
      <c r="DL101" s="104">
        <v>6.7477957211774242E-2</v>
      </c>
    </row>
    <row r="102" spans="1:116" s="15" customFormat="1" ht="265.7" customHeight="1" x14ac:dyDescent="0.25">
      <c r="A102" s="100" t="s">
        <v>187</v>
      </c>
      <c r="B102" s="100" t="s">
        <v>2321</v>
      </c>
      <c r="C102" s="100" t="s">
        <v>87</v>
      </c>
      <c r="D102" s="101" t="str">
        <f>"Chemistry 194"</f>
        <v>Chemistry 194</v>
      </c>
      <c r="E102" s="102" t="s">
        <v>2322</v>
      </c>
      <c r="F102" s="100">
        <v>19</v>
      </c>
      <c r="G102" s="100">
        <v>8</v>
      </c>
      <c r="H102" s="100">
        <v>0.42</v>
      </c>
      <c r="I102" s="100">
        <v>29</v>
      </c>
      <c r="J102" s="100">
        <v>10</v>
      </c>
      <c r="K102" s="100">
        <v>6</v>
      </c>
      <c r="L102" s="100">
        <v>4</v>
      </c>
      <c r="M102" s="100">
        <v>2</v>
      </c>
      <c r="N102" s="100">
        <v>5</v>
      </c>
      <c r="O102" s="100">
        <v>1</v>
      </c>
      <c r="P102" s="100">
        <v>4.7699999999999996</v>
      </c>
      <c r="Q102" s="100">
        <v>67.349999999999994</v>
      </c>
      <c r="R102" s="100">
        <v>6</v>
      </c>
      <c r="S102" s="100">
        <v>1</v>
      </c>
      <c r="T102" s="100">
        <v>0</v>
      </c>
      <c r="U102" s="100">
        <v>0</v>
      </c>
      <c r="V102" s="100">
        <v>1</v>
      </c>
      <c r="W102" s="100">
        <v>0</v>
      </c>
      <c r="X102" s="100">
        <v>0</v>
      </c>
      <c r="Y102" s="100">
        <v>0</v>
      </c>
      <c r="Z102" s="100">
        <v>1</v>
      </c>
      <c r="AA102" s="100">
        <v>0</v>
      </c>
      <c r="AB102" s="100">
        <v>1</v>
      </c>
      <c r="AC102" s="100">
        <v>0</v>
      </c>
      <c r="AD102" s="100">
        <v>0</v>
      </c>
      <c r="AE102" s="100">
        <v>0</v>
      </c>
      <c r="AF102" s="100">
        <v>0</v>
      </c>
      <c r="AG102" s="100">
        <v>1</v>
      </c>
      <c r="AH102" s="100">
        <v>0</v>
      </c>
      <c r="AI102" s="100">
        <v>0</v>
      </c>
      <c r="AJ102" s="100">
        <v>1</v>
      </c>
      <c r="AK102" s="100">
        <v>0</v>
      </c>
      <c r="AL102" s="100">
        <v>0</v>
      </c>
      <c r="AM102" s="100">
        <v>0</v>
      </c>
      <c r="AN102" s="100">
        <v>0</v>
      </c>
      <c r="AO102" s="100">
        <v>1</v>
      </c>
      <c r="AP102" s="100">
        <v>0</v>
      </c>
      <c r="AQ102" s="100">
        <v>0</v>
      </c>
      <c r="AR102" s="100">
        <v>0</v>
      </c>
      <c r="AS102" s="100">
        <v>0</v>
      </c>
      <c r="AT102" s="100">
        <v>0</v>
      </c>
      <c r="AU102" s="100">
        <v>1</v>
      </c>
      <c r="AV102" s="100">
        <v>1</v>
      </c>
      <c r="AW102" s="100">
        <v>0</v>
      </c>
      <c r="AX102" s="100">
        <v>0</v>
      </c>
      <c r="AY102" s="100">
        <v>0</v>
      </c>
      <c r="AZ102" s="100">
        <v>0</v>
      </c>
      <c r="BA102" s="100">
        <v>0</v>
      </c>
      <c r="BB102" s="100">
        <v>0</v>
      </c>
      <c r="BC102" s="100">
        <v>0</v>
      </c>
      <c r="BD102" s="100">
        <v>0</v>
      </c>
      <c r="BE102" s="100">
        <v>0</v>
      </c>
      <c r="BF102" s="100">
        <v>0</v>
      </c>
      <c r="BG102" s="100">
        <v>0</v>
      </c>
      <c r="BH102" s="100">
        <v>0</v>
      </c>
      <c r="BI102" s="100">
        <v>0</v>
      </c>
      <c r="BJ102" s="100">
        <v>2</v>
      </c>
      <c r="BK102" s="100">
        <v>0</v>
      </c>
      <c r="BL102" s="100">
        <v>0</v>
      </c>
      <c r="BM102" s="100">
        <v>1</v>
      </c>
      <c r="BN102" s="100">
        <v>0</v>
      </c>
      <c r="BO102" s="100">
        <v>0</v>
      </c>
      <c r="BP102" s="100">
        <v>1</v>
      </c>
      <c r="BQ102" s="100">
        <v>0</v>
      </c>
      <c r="BR102" s="100">
        <v>0</v>
      </c>
      <c r="BS102" s="100">
        <v>0</v>
      </c>
      <c r="BT102" s="100">
        <v>0</v>
      </c>
      <c r="BU102" s="100">
        <v>0</v>
      </c>
      <c r="BV102" s="100">
        <v>0</v>
      </c>
      <c r="BW102" s="100">
        <v>0</v>
      </c>
      <c r="BX102" s="100">
        <v>0</v>
      </c>
      <c r="BY102" s="100">
        <v>0</v>
      </c>
      <c r="BZ102" s="100">
        <v>0</v>
      </c>
      <c r="CA102" s="100">
        <v>0</v>
      </c>
      <c r="CB102" s="100" t="s">
        <v>2090</v>
      </c>
      <c r="CC102" s="100">
        <v>0</v>
      </c>
      <c r="CD102" s="100">
        <v>0</v>
      </c>
      <c r="CE102" s="100">
        <v>0</v>
      </c>
      <c r="CF102" s="100">
        <v>0</v>
      </c>
      <c r="CG102" s="103">
        <v>142312.56898000001</v>
      </c>
      <c r="CH102" s="103">
        <v>11.33</v>
      </c>
      <c r="CI102" s="103">
        <v>1629518.5104700001</v>
      </c>
      <c r="CJ102" s="103">
        <v>15.1</v>
      </c>
      <c r="CK102" s="103">
        <f t="shared" si="4"/>
        <v>171.083</v>
      </c>
      <c r="CL102" s="103">
        <v>3101.9</v>
      </c>
      <c r="CM102" s="103">
        <v>300622.2</v>
      </c>
      <c r="CN102" s="104">
        <v>1.0318266581776063E-2</v>
      </c>
      <c r="CO102" s="103">
        <v>44470.528290000002</v>
      </c>
      <c r="CP102" s="103">
        <v>2.12</v>
      </c>
      <c r="CQ102" s="103">
        <v>902498.31883999996</v>
      </c>
      <c r="CR102" s="103">
        <v>5.86</v>
      </c>
      <c r="CS102" s="103">
        <f t="shared" si="5"/>
        <v>12.423200000000001</v>
      </c>
      <c r="CT102" s="103">
        <v>0</v>
      </c>
      <c r="CU102" s="103">
        <v>290051.3</v>
      </c>
      <c r="CV102" s="104">
        <v>0</v>
      </c>
      <c r="CW102" s="103">
        <v>0</v>
      </c>
      <c r="CX102" s="103">
        <v>0</v>
      </c>
      <c r="CY102" s="103">
        <v>57332.215750000003</v>
      </c>
      <c r="CZ102" s="103">
        <v>1.1426552008481565</v>
      </c>
      <c r="DA102" s="103">
        <f t="shared" si="6"/>
        <v>0</v>
      </c>
      <c r="DB102" s="103">
        <v>0</v>
      </c>
      <c r="DC102" s="103">
        <v>944202.2</v>
      </c>
      <c r="DD102" s="104">
        <v>0</v>
      </c>
      <c r="DE102" s="103">
        <v>0</v>
      </c>
      <c r="DF102" s="103">
        <v>0</v>
      </c>
      <c r="DG102" s="103">
        <v>4724.2328500000003</v>
      </c>
      <c r="DH102" s="103">
        <v>0</v>
      </c>
      <c r="DI102" s="103">
        <f t="shared" si="7"/>
        <v>0</v>
      </c>
      <c r="DJ102" s="103">
        <v>2501.9</v>
      </c>
      <c r="DK102" s="103">
        <v>730406.1</v>
      </c>
      <c r="DL102" s="104">
        <v>3.4253547444360066E-3</v>
      </c>
    </row>
    <row r="103" spans="1:116" s="15" customFormat="1" ht="120.2" customHeight="1" x14ac:dyDescent="0.25">
      <c r="A103" s="100" t="s">
        <v>188</v>
      </c>
      <c r="B103" s="100" t="s">
        <v>2323</v>
      </c>
      <c r="C103" s="100" t="s">
        <v>87</v>
      </c>
      <c r="D103" s="101" t="str">
        <f>"Chemistry 259"</f>
        <v>Chemistry 259</v>
      </c>
      <c r="E103" s="102" t="s">
        <v>2324</v>
      </c>
      <c r="F103" s="100">
        <v>8</v>
      </c>
      <c r="G103" s="100">
        <v>2</v>
      </c>
      <c r="H103" s="100">
        <v>0.25</v>
      </c>
      <c r="I103" s="100">
        <v>10</v>
      </c>
      <c r="J103" s="100">
        <v>2</v>
      </c>
      <c r="K103" s="100">
        <v>1</v>
      </c>
      <c r="L103" s="100">
        <v>1</v>
      </c>
      <c r="M103" s="100">
        <v>1</v>
      </c>
      <c r="N103" s="100">
        <v>1</v>
      </c>
      <c r="O103" s="100">
        <v>1</v>
      </c>
      <c r="P103" s="100">
        <v>2.94</v>
      </c>
      <c r="Q103" s="100">
        <v>12.03</v>
      </c>
      <c r="R103" s="100">
        <v>0</v>
      </c>
      <c r="S103" s="100">
        <v>0</v>
      </c>
      <c r="T103" s="100">
        <v>0</v>
      </c>
      <c r="U103" s="100">
        <v>1</v>
      </c>
      <c r="V103" s="100">
        <v>0</v>
      </c>
      <c r="W103" s="100">
        <v>0</v>
      </c>
      <c r="X103" s="100">
        <v>1</v>
      </c>
      <c r="Y103" s="100">
        <v>0</v>
      </c>
      <c r="Z103" s="100">
        <v>1</v>
      </c>
      <c r="AA103" s="100">
        <v>0</v>
      </c>
      <c r="AB103" s="100">
        <v>0</v>
      </c>
      <c r="AC103" s="100">
        <v>1</v>
      </c>
      <c r="AD103" s="100">
        <v>0</v>
      </c>
      <c r="AE103" s="100">
        <v>0</v>
      </c>
      <c r="AF103" s="100">
        <v>1</v>
      </c>
      <c r="AG103" s="100">
        <v>0</v>
      </c>
      <c r="AH103" s="100">
        <v>1</v>
      </c>
      <c r="AI103" s="100">
        <v>0</v>
      </c>
      <c r="AJ103" s="100">
        <v>0</v>
      </c>
      <c r="AK103" s="100">
        <v>0</v>
      </c>
      <c r="AL103" s="100">
        <v>0</v>
      </c>
      <c r="AM103" s="100">
        <v>0</v>
      </c>
      <c r="AN103" s="100">
        <v>0</v>
      </c>
      <c r="AO103" s="100">
        <v>0</v>
      </c>
      <c r="AP103" s="100">
        <v>0</v>
      </c>
      <c r="AQ103" s="100">
        <v>0</v>
      </c>
      <c r="AR103" s="100">
        <v>0</v>
      </c>
      <c r="AS103" s="100">
        <v>0</v>
      </c>
      <c r="AT103" s="100">
        <v>0</v>
      </c>
      <c r="AU103" s="100">
        <v>1</v>
      </c>
      <c r="AV103" s="100">
        <v>0</v>
      </c>
      <c r="AW103" s="100">
        <v>0</v>
      </c>
      <c r="AX103" s="100">
        <v>0</v>
      </c>
      <c r="AY103" s="100">
        <v>0</v>
      </c>
      <c r="AZ103" s="100">
        <v>0</v>
      </c>
      <c r="BA103" s="100">
        <v>0</v>
      </c>
      <c r="BB103" s="100">
        <v>0</v>
      </c>
      <c r="BC103" s="100">
        <v>0</v>
      </c>
      <c r="BD103" s="100">
        <v>0</v>
      </c>
      <c r="BE103" s="100">
        <v>0</v>
      </c>
      <c r="BF103" s="100">
        <v>0</v>
      </c>
      <c r="BG103" s="100">
        <v>0</v>
      </c>
      <c r="BH103" s="100">
        <v>0</v>
      </c>
      <c r="BI103" s="100">
        <v>0</v>
      </c>
      <c r="BJ103" s="100">
        <v>1</v>
      </c>
      <c r="BK103" s="100">
        <v>0</v>
      </c>
      <c r="BL103" s="100">
        <v>0</v>
      </c>
      <c r="BM103" s="100">
        <v>1</v>
      </c>
      <c r="BN103" s="100">
        <v>0</v>
      </c>
      <c r="BO103" s="100">
        <v>0</v>
      </c>
      <c r="BP103" s="100">
        <v>0</v>
      </c>
      <c r="BQ103" s="100">
        <v>0</v>
      </c>
      <c r="BR103" s="100">
        <v>0</v>
      </c>
      <c r="BS103" s="100">
        <v>0</v>
      </c>
      <c r="BT103" s="100">
        <v>0</v>
      </c>
      <c r="BU103" s="100">
        <v>0</v>
      </c>
      <c r="BV103" s="100">
        <v>0</v>
      </c>
      <c r="BW103" s="100">
        <v>0</v>
      </c>
      <c r="BX103" s="100">
        <v>0</v>
      </c>
      <c r="BY103" s="100">
        <v>0</v>
      </c>
      <c r="BZ103" s="100">
        <v>0</v>
      </c>
      <c r="CA103" s="100">
        <v>0</v>
      </c>
      <c r="CB103" s="100" t="s">
        <v>2090</v>
      </c>
      <c r="CC103" s="100">
        <v>0</v>
      </c>
      <c r="CD103" s="100">
        <v>0</v>
      </c>
      <c r="CE103" s="100">
        <v>0</v>
      </c>
      <c r="CF103" s="100">
        <v>0</v>
      </c>
      <c r="CG103" s="103">
        <v>109463.83732000001</v>
      </c>
      <c r="CH103" s="103">
        <v>11.21</v>
      </c>
      <c r="CI103" s="103">
        <v>63777.966350000002</v>
      </c>
      <c r="CJ103" s="103">
        <v>21.23</v>
      </c>
      <c r="CK103" s="103">
        <f t="shared" si="4"/>
        <v>237.98830000000001</v>
      </c>
      <c r="CL103" s="103">
        <v>13599.5</v>
      </c>
      <c r="CM103" s="103">
        <v>838058.7</v>
      </c>
      <c r="CN103" s="104">
        <v>1.6227383594967754E-2</v>
      </c>
      <c r="CO103" s="103">
        <v>0</v>
      </c>
      <c r="CP103" s="103">
        <v>0</v>
      </c>
      <c r="CQ103" s="103">
        <v>0</v>
      </c>
      <c r="CR103" s="103">
        <v>0</v>
      </c>
      <c r="CS103" s="103">
        <f t="shared" si="5"/>
        <v>0</v>
      </c>
      <c r="CT103" s="103">
        <v>3455.4</v>
      </c>
      <c r="CU103" s="103">
        <v>921670</v>
      </c>
      <c r="CV103" s="104">
        <v>3.7490641986828257E-3</v>
      </c>
      <c r="CW103" s="103">
        <v>0</v>
      </c>
      <c r="CX103" s="103">
        <v>0</v>
      </c>
      <c r="CY103" s="103">
        <v>0</v>
      </c>
      <c r="CZ103" s="103">
        <v>0</v>
      </c>
      <c r="DA103" s="103">
        <f t="shared" si="6"/>
        <v>0</v>
      </c>
      <c r="DB103" s="103">
        <v>3688.1</v>
      </c>
      <c r="DC103" s="103">
        <v>942235.2</v>
      </c>
      <c r="DD103" s="104">
        <v>3.9142031628620969E-3</v>
      </c>
      <c r="DE103" s="103">
        <v>0</v>
      </c>
      <c r="DF103" s="103">
        <v>0</v>
      </c>
      <c r="DG103" s="103">
        <v>0</v>
      </c>
      <c r="DH103" s="103">
        <v>0</v>
      </c>
      <c r="DI103" s="103">
        <f t="shared" si="7"/>
        <v>0</v>
      </c>
      <c r="DJ103" s="103">
        <v>1403.6</v>
      </c>
      <c r="DK103" s="103">
        <v>422417.1</v>
      </c>
      <c r="DL103" s="104">
        <v>3.3227821506278984E-3</v>
      </c>
    </row>
    <row r="104" spans="1:116" s="15" customFormat="1" ht="120.2" customHeight="1" x14ac:dyDescent="0.25">
      <c r="A104" s="100" t="s">
        <v>189</v>
      </c>
      <c r="B104" s="100" t="s">
        <v>2325</v>
      </c>
      <c r="C104" s="100" t="s">
        <v>87</v>
      </c>
      <c r="D104" s="101" t="str">
        <f>"Chemistry 229"</f>
        <v>Chemistry 229</v>
      </c>
      <c r="E104" s="102" t="s">
        <v>2326</v>
      </c>
      <c r="F104" s="100">
        <v>8</v>
      </c>
      <c r="G104" s="100">
        <v>0</v>
      </c>
      <c r="H104" s="100">
        <v>0</v>
      </c>
      <c r="I104" s="100">
        <v>10</v>
      </c>
      <c r="J104" s="100">
        <v>2</v>
      </c>
      <c r="K104" s="100">
        <v>1</v>
      </c>
      <c r="L104" s="100">
        <v>1</v>
      </c>
      <c r="M104" s="100">
        <v>2</v>
      </c>
      <c r="N104" s="100">
        <v>0</v>
      </c>
      <c r="O104" s="100">
        <v>1</v>
      </c>
      <c r="P104" s="100">
        <v>3.16</v>
      </c>
      <c r="Q104" s="100">
        <v>15.79</v>
      </c>
      <c r="R104" s="100">
        <v>0</v>
      </c>
      <c r="S104" s="100">
        <v>0</v>
      </c>
      <c r="T104" s="100">
        <v>0</v>
      </c>
      <c r="U104" s="100">
        <v>1</v>
      </c>
      <c r="V104" s="100">
        <v>0</v>
      </c>
      <c r="W104" s="100">
        <v>0</v>
      </c>
      <c r="X104" s="100">
        <v>1</v>
      </c>
      <c r="Y104" s="100">
        <v>0</v>
      </c>
      <c r="Z104" s="100">
        <v>1</v>
      </c>
      <c r="AA104" s="100">
        <v>0</v>
      </c>
      <c r="AB104" s="100">
        <v>0</v>
      </c>
      <c r="AC104" s="100">
        <v>0</v>
      </c>
      <c r="AD104" s="100">
        <v>1</v>
      </c>
      <c r="AE104" s="100">
        <v>0</v>
      </c>
      <c r="AF104" s="100">
        <v>0</v>
      </c>
      <c r="AG104" s="100">
        <v>1</v>
      </c>
      <c r="AH104" s="100">
        <v>1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1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  <c r="AY104" s="100">
        <v>0</v>
      </c>
      <c r="AZ104" s="100">
        <v>0</v>
      </c>
      <c r="BA104" s="100">
        <v>0</v>
      </c>
      <c r="BB104" s="100">
        <v>0</v>
      </c>
      <c r="BC104" s="100">
        <v>0</v>
      </c>
      <c r="BD104" s="100">
        <v>0</v>
      </c>
      <c r="BE104" s="100">
        <v>0</v>
      </c>
      <c r="BF104" s="100">
        <v>0</v>
      </c>
      <c r="BG104" s="100">
        <v>0</v>
      </c>
      <c r="BH104" s="100">
        <v>0</v>
      </c>
      <c r="BI104" s="100">
        <v>0</v>
      </c>
      <c r="BJ104" s="100">
        <v>0</v>
      </c>
      <c r="BK104" s="100">
        <v>0</v>
      </c>
      <c r="BL104" s="100">
        <v>0</v>
      </c>
      <c r="BM104" s="100">
        <v>0</v>
      </c>
      <c r="BN104" s="100">
        <v>0</v>
      </c>
      <c r="BO104" s="100">
        <v>0</v>
      </c>
      <c r="BP104" s="100">
        <v>0</v>
      </c>
      <c r="BQ104" s="100">
        <v>0</v>
      </c>
      <c r="BR104" s="100">
        <v>1</v>
      </c>
      <c r="BS104" s="100">
        <v>1</v>
      </c>
      <c r="BT104" s="100">
        <v>0</v>
      </c>
      <c r="BU104" s="100">
        <v>0</v>
      </c>
      <c r="BV104" s="100">
        <v>0</v>
      </c>
      <c r="BW104" s="100">
        <v>0</v>
      </c>
      <c r="BX104" s="100">
        <v>0</v>
      </c>
      <c r="BY104" s="100">
        <v>0</v>
      </c>
      <c r="BZ104" s="100">
        <v>0</v>
      </c>
      <c r="CA104" s="100">
        <v>0</v>
      </c>
      <c r="CB104" s="100" t="s">
        <v>2090</v>
      </c>
      <c r="CC104" s="100">
        <v>0</v>
      </c>
      <c r="CD104" s="100">
        <v>0</v>
      </c>
      <c r="CE104" s="100">
        <v>0</v>
      </c>
      <c r="CF104" s="100">
        <v>0</v>
      </c>
      <c r="CG104" s="103">
        <v>286076.02678999997</v>
      </c>
      <c r="CH104" s="103">
        <v>20.47</v>
      </c>
      <c r="CI104" s="103">
        <v>3775345.4070199998</v>
      </c>
      <c r="CJ104" s="103">
        <v>39.130000000000003</v>
      </c>
      <c r="CK104" s="103">
        <f t="shared" si="4"/>
        <v>800.99109999999996</v>
      </c>
      <c r="CL104" s="103">
        <v>95478.5</v>
      </c>
      <c r="CM104" s="103">
        <v>176821.5</v>
      </c>
      <c r="CN104" s="104">
        <v>0.5399711007993937</v>
      </c>
      <c r="CO104" s="103">
        <v>0</v>
      </c>
      <c r="CP104" s="103">
        <v>0</v>
      </c>
      <c r="CQ104" s="103">
        <v>0</v>
      </c>
      <c r="CR104" s="103">
        <v>0</v>
      </c>
      <c r="CS104" s="103">
        <f t="shared" si="5"/>
        <v>0</v>
      </c>
      <c r="CT104" s="103">
        <v>2090.1</v>
      </c>
      <c r="CU104" s="103">
        <v>661639.30000000005</v>
      </c>
      <c r="CV104" s="104">
        <v>3.1589719655407407E-3</v>
      </c>
      <c r="CW104" s="103">
        <v>0</v>
      </c>
      <c r="CX104" s="103">
        <v>0</v>
      </c>
      <c r="CY104" s="103">
        <v>39324.421490000001</v>
      </c>
      <c r="CZ104" s="103">
        <v>0</v>
      </c>
      <c r="DA104" s="103">
        <f t="shared" si="6"/>
        <v>0</v>
      </c>
      <c r="DB104" s="103">
        <v>2276.6</v>
      </c>
      <c r="DC104" s="103">
        <v>546554</v>
      </c>
      <c r="DD104" s="104">
        <v>4.1653706678571557E-3</v>
      </c>
      <c r="DE104" s="103">
        <v>14580.50922</v>
      </c>
      <c r="DF104" s="103">
        <v>0.73</v>
      </c>
      <c r="DG104" s="103">
        <v>421.97861</v>
      </c>
      <c r="DH104" s="103">
        <v>2.91</v>
      </c>
      <c r="DI104" s="103">
        <f t="shared" si="7"/>
        <v>2.1242999999999999</v>
      </c>
      <c r="DJ104" s="103">
        <v>3162.5</v>
      </c>
      <c r="DK104" s="103">
        <v>772490.1</v>
      </c>
      <c r="DL104" s="104">
        <v>4.0939035982467606E-3</v>
      </c>
    </row>
    <row r="105" spans="1:116" s="15" customFormat="1" ht="119.45" customHeight="1" x14ac:dyDescent="0.25">
      <c r="A105" s="100" t="s">
        <v>190</v>
      </c>
      <c r="B105" s="100" t="s">
        <v>2327</v>
      </c>
      <c r="C105" s="100" t="s">
        <v>87</v>
      </c>
      <c r="D105" s="101" t="str">
        <f>"Chemistry 252"</f>
        <v>Chemistry 252</v>
      </c>
      <c r="E105" s="102" t="s">
        <v>2328</v>
      </c>
      <c r="F105" s="100">
        <v>8</v>
      </c>
      <c r="G105" s="100">
        <v>0</v>
      </c>
      <c r="H105" s="100">
        <v>0</v>
      </c>
      <c r="I105" s="100">
        <v>10</v>
      </c>
      <c r="J105" s="100">
        <v>2</v>
      </c>
      <c r="K105" s="100">
        <v>1</v>
      </c>
      <c r="L105" s="100">
        <v>1</v>
      </c>
      <c r="M105" s="100">
        <v>2</v>
      </c>
      <c r="N105" s="100">
        <v>0</v>
      </c>
      <c r="O105" s="100">
        <v>1</v>
      </c>
      <c r="P105" s="100">
        <v>3.16</v>
      </c>
      <c r="Q105" s="100">
        <v>15.79</v>
      </c>
      <c r="R105" s="100">
        <v>0</v>
      </c>
      <c r="S105" s="100">
        <v>0</v>
      </c>
      <c r="T105" s="100">
        <v>0</v>
      </c>
      <c r="U105" s="100">
        <v>1</v>
      </c>
      <c r="V105" s="100">
        <v>0</v>
      </c>
      <c r="W105" s="100">
        <v>0</v>
      </c>
      <c r="X105" s="100">
        <v>1</v>
      </c>
      <c r="Y105" s="100">
        <v>0</v>
      </c>
      <c r="Z105" s="100">
        <v>1</v>
      </c>
      <c r="AA105" s="100">
        <v>0</v>
      </c>
      <c r="AB105" s="100">
        <v>0</v>
      </c>
      <c r="AC105" s="100">
        <v>0</v>
      </c>
      <c r="AD105" s="100">
        <v>1</v>
      </c>
      <c r="AE105" s="100">
        <v>0</v>
      </c>
      <c r="AF105" s="100">
        <v>0</v>
      </c>
      <c r="AG105" s="100">
        <v>1</v>
      </c>
      <c r="AH105" s="100">
        <v>1</v>
      </c>
      <c r="AI105" s="100">
        <v>0</v>
      </c>
      <c r="AJ105" s="100">
        <v>0</v>
      </c>
      <c r="AK105" s="100">
        <v>0</v>
      </c>
      <c r="AL105" s="100">
        <v>0</v>
      </c>
      <c r="AM105" s="100">
        <v>0</v>
      </c>
      <c r="AN105" s="100">
        <v>1</v>
      </c>
      <c r="AO105" s="100">
        <v>0</v>
      </c>
      <c r="AP105" s="100">
        <v>0</v>
      </c>
      <c r="AQ105" s="100">
        <v>0</v>
      </c>
      <c r="AR105" s="100">
        <v>0</v>
      </c>
      <c r="AS105" s="100">
        <v>0</v>
      </c>
      <c r="AT105" s="100">
        <v>0</v>
      </c>
      <c r="AU105" s="100">
        <v>0</v>
      </c>
      <c r="AV105" s="100">
        <v>0</v>
      </c>
      <c r="AW105" s="100">
        <v>0</v>
      </c>
      <c r="AX105" s="100">
        <v>0</v>
      </c>
      <c r="AY105" s="100">
        <v>0</v>
      </c>
      <c r="AZ105" s="100">
        <v>0</v>
      </c>
      <c r="BA105" s="100">
        <v>0</v>
      </c>
      <c r="BB105" s="100">
        <v>0</v>
      </c>
      <c r="BC105" s="100">
        <v>0</v>
      </c>
      <c r="BD105" s="100">
        <v>0</v>
      </c>
      <c r="BE105" s="100">
        <v>0</v>
      </c>
      <c r="BF105" s="100">
        <v>0</v>
      </c>
      <c r="BG105" s="100">
        <v>0</v>
      </c>
      <c r="BH105" s="100">
        <v>0</v>
      </c>
      <c r="BI105" s="100">
        <v>0</v>
      </c>
      <c r="BJ105" s="100">
        <v>0</v>
      </c>
      <c r="BK105" s="100">
        <v>0</v>
      </c>
      <c r="BL105" s="100">
        <v>0</v>
      </c>
      <c r="BM105" s="100">
        <v>0</v>
      </c>
      <c r="BN105" s="100">
        <v>0</v>
      </c>
      <c r="BO105" s="100">
        <v>0</v>
      </c>
      <c r="BP105" s="100">
        <v>0</v>
      </c>
      <c r="BQ105" s="100">
        <v>0</v>
      </c>
      <c r="BR105" s="100">
        <v>1</v>
      </c>
      <c r="BS105" s="100">
        <v>1</v>
      </c>
      <c r="BT105" s="100">
        <v>0</v>
      </c>
      <c r="BU105" s="100">
        <v>0</v>
      </c>
      <c r="BV105" s="100">
        <v>0</v>
      </c>
      <c r="BW105" s="100">
        <v>0</v>
      </c>
      <c r="BX105" s="100">
        <v>0</v>
      </c>
      <c r="BY105" s="100">
        <v>0</v>
      </c>
      <c r="BZ105" s="100">
        <v>0</v>
      </c>
      <c r="CA105" s="100">
        <v>0</v>
      </c>
      <c r="CB105" s="100" t="s">
        <v>2090</v>
      </c>
      <c r="CC105" s="100">
        <v>0</v>
      </c>
      <c r="CD105" s="100">
        <v>0</v>
      </c>
      <c r="CE105" s="100">
        <v>0</v>
      </c>
      <c r="CF105" s="100">
        <v>0</v>
      </c>
      <c r="CG105" s="103">
        <v>360804.73084999999</v>
      </c>
      <c r="CH105" s="103">
        <v>23.19</v>
      </c>
      <c r="CI105" s="103">
        <v>3949852.12317</v>
      </c>
      <c r="CJ105" s="103">
        <v>42.98</v>
      </c>
      <c r="CK105" s="103">
        <f t="shared" si="4"/>
        <v>996.70619999999997</v>
      </c>
      <c r="CL105" s="103">
        <v>401928.8</v>
      </c>
      <c r="CM105" s="103">
        <v>915200.5</v>
      </c>
      <c r="CN105" s="104">
        <v>0.43917021461417471</v>
      </c>
      <c r="CO105" s="103">
        <v>0</v>
      </c>
      <c r="CP105" s="103">
        <v>0</v>
      </c>
      <c r="CQ105" s="103">
        <v>0</v>
      </c>
      <c r="CR105" s="103">
        <v>0</v>
      </c>
      <c r="CS105" s="103">
        <f t="shared" si="5"/>
        <v>0</v>
      </c>
      <c r="CT105" s="103">
        <v>4428.1000000000004</v>
      </c>
      <c r="CU105" s="103">
        <v>546815.4</v>
      </c>
      <c r="CV105" s="104">
        <v>8.0979796838201706E-3</v>
      </c>
      <c r="CW105" s="103">
        <v>78032.751799999998</v>
      </c>
      <c r="CX105" s="103">
        <v>5.19</v>
      </c>
      <c r="CY105" s="103">
        <v>87192.807560000001</v>
      </c>
      <c r="CZ105" s="103">
        <v>2.724006027587806</v>
      </c>
      <c r="DA105" s="103">
        <f t="shared" si="6"/>
        <v>14.137591283180715</v>
      </c>
      <c r="DB105" s="103">
        <v>6118.1</v>
      </c>
      <c r="DC105" s="103">
        <v>877797.2</v>
      </c>
      <c r="DD105" s="104">
        <v>6.9698331231860854E-3</v>
      </c>
      <c r="DE105" s="103">
        <v>0</v>
      </c>
      <c r="DF105" s="103">
        <v>0</v>
      </c>
      <c r="DG105" s="103">
        <v>419.69459999999998</v>
      </c>
      <c r="DH105" s="103">
        <v>0</v>
      </c>
      <c r="DI105" s="103">
        <f t="shared" si="7"/>
        <v>0</v>
      </c>
      <c r="DJ105" s="103">
        <v>3922.9</v>
      </c>
      <c r="DK105" s="103">
        <v>869427.3</v>
      </c>
      <c r="DL105" s="104">
        <v>4.5120506337907726E-3</v>
      </c>
    </row>
    <row r="106" spans="1:116" s="15" customFormat="1" ht="159.19999999999999" customHeight="1" x14ac:dyDescent="0.25">
      <c r="A106" s="100" t="s">
        <v>191</v>
      </c>
      <c r="B106" s="100" t="s">
        <v>2329</v>
      </c>
      <c r="C106" s="100" t="s">
        <v>87</v>
      </c>
      <c r="D106" s="101" t="str">
        <f>"Chemistry 231"</f>
        <v>Chemistry 231</v>
      </c>
      <c r="E106" s="102" t="s">
        <v>2330</v>
      </c>
      <c r="F106" s="100">
        <v>8</v>
      </c>
      <c r="G106" s="100">
        <v>0</v>
      </c>
      <c r="H106" s="100">
        <v>0</v>
      </c>
      <c r="I106" s="100">
        <v>10</v>
      </c>
      <c r="J106" s="100">
        <v>2</v>
      </c>
      <c r="K106" s="100">
        <v>1</v>
      </c>
      <c r="L106" s="100">
        <v>1</v>
      </c>
      <c r="M106" s="100">
        <v>2</v>
      </c>
      <c r="N106" s="100">
        <v>0</v>
      </c>
      <c r="O106" s="100">
        <v>1</v>
      </c>
      <c r="P106" s="100">
        <v>3.16</v>
      </c>
      <c r="Q106" s="100">
        <v>15.79</v>
      </c>
      <c r="R106" s="100">
        <v>0</v>
      </c>
      <c r="S106" s="100">
        <v>0</v>
      </c>
      <c r="T106" s="100">
        <v>0</v>
      </c>
      <c r="U106" s="100">
        <v>1</v>
      </c>
      <c r="V106" s="100">
        <v>0</v>
      </c>
      <c r="W106" s="100">
        <v>0</v>
      </c>
      <c r="X106" s="100">
        <v>1</v>
      </c>
      <c r="Y106" s="100">
        <v>0</v>
      </c>
      <c r="Z106" s="100">
        <v>1</v>
      </c>
      <c r="AA106" s="100">
        <v>0</v>
      </c>
      <c r="AB106" s="100">
        <v>0</v>
      </c>
      <c r="AC106" s="100">
        <v>0</v>
      </c>
      <c r="AD106" s="100">
        <v>1</v>
      </c>
      <c r="AE106" s="100">
        <v>0</v>
      </c>
      <c r="AF106" s="100">
        <v>0</v>
      </c>
      <c r="AG106" s="100">
        <v>1</v>
      </c>
      <c r="AH106" s="100">
        <v>1</v>
      </c>
      <c r="AI106" s="100">
        <v>0</v>
      </c>
      <c r="AJ106" s="100">
        <v>0</v>
      </c>
      <c r="AK106" s="100">
        <v>1</v>
      </c>
      <c r="AL106" s="100">
        <v>0</v>
      </c>
      <c r="AM106" s="100">
        <v>1</v>
      </c>
      <c r="AN106" s="100">
        <v>1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  <c r="AY106" s="100">
        <v>0</v>
      </c>
      <c r="AZ106" s="100">
        <v>0</v>
      </c>
      <c r="BA106" s="100">
        <v>0</v>
      </c>
      <c r="BB106" s="100">
        <v>0</v>
      </c>
      <c r="BC106" s="100">
        <v>0</v>
      </c>
      <c r="BD106" s="100">
        <v>0</v>
      </c>
      <c r="BE106" s="100">
        <v>0</v>
      </c>
      <c r="BF106" s="100">
        <v>0</v>
      </c>
      <c r="BG106" s="100">
        <v>0</v>
      </c>
      <c r="BH106" s="100">
        <v>0</v>
      </c>
      <c r="BI106" s="100">
        <v>0</v>
      </c>
      <c r="BJ106" s="100">
        <v>0</v>
      </c>
      <c r="BK106" s="100">
        <v>0</v>
      </c>
      <c r="BL106" s="100">
        <v>0</v>
      </c>
      <c r="BM106" s="100">
        <v>0</v>
      </c>
      <c r="BN106" s="100">
        <v>0</v>
      </c>
      <c r="BO106" s="100">
        <v>0</v>
      </c>
      <c r="BP106" s="100">
        <v>0</v>
      </c>
      <c r="BQ106" s="100">
        <v>0</v>
      </c>
      <c r="BR106" s="100">
        <v>1</v>
      </c>
      <c r="BS106" s="100">
        <v>1</v>
      </c>
      <c r="BT106" s="100">
        <v>0</v>
      </c>
      <c r="BU106" s="100">
        <v>0</v>
      </c>
      <c r="BV106" s="100">
        <v>0</v>
      </c>
      <c r="BW106" s="100">
        <v>0</v>
      </c>
      <c r="BX106" s="100">
        <v>0</v>
      </c>
      <c r="BY106" s="100">
        <v>0</v>
      </c>
      <c r="BZ106" s="100">
        <v>0</v>
      </c>
      <c r="CA106" s="100">
        <v>0</v>
      </c>
      <c r="CB106" s="100" t="s">
        <v>2090</v>
      </c>
      <c r="CC106" s="100">
        <v>0</v>
      </c>
      <c r="CD106" s="100">
        <v>0</v>
      </c>
      <c r="CE106" s="100">
        <v>0</v>
      </c>
      <c r="CF106" s="100">
        <v>0</v>
      </c>
      <c r="CG106" s="103">
        <v>344129.10200000001</v>
      </c>
      <c r="CH106" s="103">
        <v>23.33</v>
      </c>
      <c r="CI106" s="103">
        <v>4212231.7464600001</v>
      </c>
      <c r="CJ106" s="103">
        <v>48.83</v>
      </c>
      <c r="CK106" s="103">
        <f t="shared" si="4"/>
        <v>1139.2039</v>
      </c>
      <c r="CL106" s="103">
        <v>233422.8</v>
      </c>
      <c r="CM106" s="103">
        <v>564251.4</v>
      </c>
      <c r="CN106" s="104">
        <v>0.41368581451459396</v>
      </c>
      <c r="CO106" s="103">
        <v>0</v>
      </c>
      <c r="CP106" s="103">
        <v>0</v>
      </c>
      <c r="CQ106" s="103">
        <v>0</v>
      </c>
      <c r="CR106" s="103">
        <v>0</v>
      </c>
      <c r="CS106" s="103">
        <f t="shared" si="5"/>
        <v>0</v>
      </c>
      <c r="CT106" s="103">
        <v>3135.8</v>
      </c>
      <c r="CU106" s="103">
        <v>789437.3</v>
      </c>
      <c r="CV106" s="104">
        <v>3.9721963986246913E-3</v>
      </c>
      <c r="CW106" s="103">
        <v>6672.7159300000003</v>
      </c>
      <c r="CX106" s="103">
        <v>0.5</v>
      </c>
      <c r="CY106" s="103">
        <v>501105.10217000003</v>
      </c>
      <c r="CZ106" s="103">
        <v>7.8845020624631701</v>
      </c>
      <c r="DA106" s="103">
        <f t="shared" si="6"/>
        <v>3.942251031231585</v>
      </c>
      <c r="DB106" s="103">
        <v>9100.6</v>
      </c>
      <c r="DC106" s="103">
        <v>765209.8</v>
      </c>
      <c r="DD106" s="104">
        <v>1.1892947528899918E-2</v>
      </c>
      <c r="DE106" s="103">
        <v>0</v>
      </c>
      <c r="DF106" s="103">
        <v>0</v>
      </c>
      <c r="DG106" s="103">
        <v>298.89846</v>
      </c>
      <c r="DH106" s="103">
        <v>6.21</v>
      </c>
      <c r="DI106" s="103">
        <f t="shared" si="7"/>
        <v>0</v>
      </c>
      <c r="DJ106" s="103">
        <v>4780.1000000000004</v>
      </c>
      <c r="DK106" s="103">
        <v>768746.8</v>
      </c>
      <c r="DL106" s="104">
        <v>6.2180421433949383E-3</v>
      </c>
    </row>
    <row r="107" spans="1:116" s="15" customFormat="1" ht="157.69999999999999" customHeight="1" x14ac:dyDescent="0.25">
      <c r="A107" s="100" t="s">
        <v>192</v>
      </c>
      <c r="B107" s="100" t="s">
        <v>2331</v>
      </c>
      <c r="C107" s="100" t="s">
        <v>87</v>
      </c>
      <c r="D107" s="101" t="str">
        <f>"Chemistry 249"</f>
        <v>Chemistry 249</v>
      </c>
      <c r="E107" s="102" t="s">
        <v>2332</v>
      </c>
      <c r="F107" s="100">
        <v>8</v>
      </c>
      <c r="G107" s="100">
        <v>0</v>
      </c>
      <c r="H107" s="100">
        <v>0</v>
      </c>
      <c r="I107" s="100">
        <v>10</v>
      </c>
      <c r="J107" s="100">
        <v>2</v>
      </c>
      <c r="K107" s="100">
        <v>1</v>
      </c>
      <c r="L107" s="100">
        <v>1</v>
      </c>
      <c r="M107" s="100">
        <v>2</v>
      </c>
      <c r="N107" s="100">
        <v>0</v>
      </c>
      <c r="O107" s="100">
        <v>1</v>
      </c>
      <c r="P107" s="100">
        <v>3.16</v>
      </c>
      <c r="Q107" s="100">
        <v>15.79</v>
      </c>
      <c r="R107" s="100">
        <v>0</v>
      </c>
      <c r="S107" s="100">
        <v>0</v>
      </c>
      <c r="T107" s="100">
        <v>0</v>
      </c>
      <c r="U107" s="100">
        <v>1</v>
      </c>
      <c r="V107" s="100">
        <v>0</v>
      </c>
      <c r="W107" s="100">
        <v>0</v>
      </c>
      <c r="X107" s="100">
        <v>1</v>
      </c>
      <c r="Y107" s="100">
        <v>0</v>
      </c>
      <c r="Z107" s="100">
        <v>1</v>
      </c>
      <c r="AA107" s="100">
        <v>0</v>
      </c>
      <c r="AB107" s="100">
        <v>0</v>
      </c>
      <c r="AC107" s="100">
        <v>0</v>
      </c>
      <c r="AD107" s="100">
        <v>1</v>
      </c>
      <c r="AE107" s="100">
        <v>0</v>
      </c>
      <c r="AF107" s="100">
        <v>0</v>
      </c>
      <c r="AG107" s="100">
        <v>1</v>
      </c>
      <c r="AH107" s="100">
        <v>1</v>
      </c>
      <c r="AI107" s="100">
        <v>0</v>
      </c>
      <c r="AJ107" s="100">
        <v>0</v>
      </c>
      <c r="AK107" s="100">
        <v>1</v>
      </c>
      <c r="AL107" s="100">
        <v>0</v>
      </c>
      <c r="AM107" s="100">
        <v>1</v>
      </c>
      <c r="AN107" s="100">
        <v>1</v>
      </c>
      <c r="AO107" s="100">
        <v>0</v>
      </c>
      <c r="AP107" s="100">
        <v>0</v>
      </c>
      <c r="AQ107" s="100">
        <v>0</v>
      </c>
      <c r="AR107" s="100">
        <v>0</v>
      </c>
      <c r="AS107" s="100">
        <v>0</v>
      </c>
      <c r="AT107" s="100">
        <v>0</v>
      </c>
      <c r="AU107" s="100">
        <v>0</v>
      </c>
      <c r="AV107" s="100">
        <v>0</v>
      </c>
      <c r="AW107" s="100">
        <v>0</v>
      </c>
      <c r="AX107" s="100">
        <v>0</v>
      </c>
      <c r="AY107" s="100">
        <v>0</v>
      </c>
      <c r="AZ107" s="100">
        <v>0</v>
      </c>
      <c r="BA107" s="100">
        <v>0</v>
      </c>
      <c r="BB107" s="100">
        <v>0</v>
      </c>
      <c r="BC107" s="100">
        <v>0</v>
      </c>
      <c r="BD107" s="100">
        <v>0</v>
      </c>
      <c r="BE107" s="100">
        <v>0</v>
      </c>
      <c r="BF107" s="100">
        <v>0</v>
      </c>
      <c r="BG107" s="100">
        <v>0</v>
      </c>
      <c r="BH107" s="100">
        <v>0</v>
      </c>
      <c r="BI107" s="100">
        <v>0</v>
      </c>
      <c r="BJ107" s="100">
        <v>0</v>
      </c>
      <c r="BK107" s="100">
        <v>0</v>
      </c>
      <c r="BL107" s="100">
        <v>0</v>
      </c>
      <c r="BM107" s="100">
        <v>0</v>
      </c>
      <c r="BN107" s="100">
        <v>0</v>
      </c>
      <c r="BO107" s="100">
        <v>0</v>
      </c>
      <c r="BP107" s="100">
        <v>0</v>
      </c>
      <c r="BQ107" s="100">
        <v>0</v>
      </c>
      <c r="BR107" s="100">
        <v>1</v>
      </c>
      <c r="BS107" s="100">
        <v>1</v>
      </c>
      <c r="BT107" s="100">
        <v>0</v>
      </c>
      <c r="BU107" s="100">
        <v>0</v>
      </c>
      <c r="BV107" s="100">
        <v>0</v>
      </c>
      <c r="BW107" s="100">
        <v>0</v>
      </c>
      <c r="BX107" s="100">
        <v>0</v>
      </c>
      <c r="BY107" s="100">
        <v>0</v>
      </c>
      <c r="BZ107" s="100">
        <v>0</v>
      </c>
      <c r="CA107" s="100">
        <v>0</v>
      </c>
      <c r="CB107" s="100" t="s">
        <v>2090</v>
      </c>
      <c r="CC107" s="100">
        <v>0</v>
      </c>
      <c r="CD107" s="100">
        <v>0</v>
      </c>
      <c r="CE107" s="100">
        <v>0</v>
      </c>
      <c r="CF107" s="100">
        <v>0</v>
      </c>
      <c r="CG107" s="103">
        <v>272026.99818</v>
      </c>
      <c r="CH107" s="103">
        <v>22.66</v>
      </c>
      <c r="CI107" s="103">
        <v>3488813.1340000001</v>
      </c>
      <c r="CJ107" s="103">
        <v>42.1</v>
      </c>
      <c r="CK107" s="103">
        <f t="shared" si="4"/>
        <v>953.98599999999999</v>
      </c>
      <c r="CL107" s="103">
        <v>87748</v>
      </c>
      <c r="CM107" s="103">
        <v>393656.4</v>
      </c>
      <c r="CN107" s="104">
        <v>0.22290505120709328</v>
      </c>
      <c r="CO107" s="103">
        <v>0</v>
      </c>
      <c r="CP107" s="103">
        <v>0</v>
      </c>
      <c r="CQ107" s="103">
        <v>149061.53078</v>
      </c>
      <c r="CR107" s="103">
        <v>2.96</v>
      </c>
      <c r="CS107" s="103">
        <f t="shared" si="5"/>
        <v>0</v>
      </c>
      <c r="CT107" s="103">
        <v>5904.6</v>
      </c>
      <c r="CU107" s="103">
        <v>590885.9</v>
      </c>
      <c r="CV107" s="104">
        <v>9.9927921786591972E-3</v>
      </c>
      <c r="CW107" s="103">
        <v>22207.97337</v>
      </c>
      <c r="CX107" s="103">
        <v>1.8</v>
      </c>
      <c r="CY107" s="103">
        <v>1227325.6386599999</v>
      </c>
      <c r="CZ107" s="103">
        <v>16.281264747522417</v>
      </c>
      <c r="DA107" s="103">
        <f t="shared" si="6"/>
        <v>29.306276545540353</v>
      </c>
      <c r="DB107" s="103">
        <v>35227.800000000003</v>
      </c>
      <c r="DC107" s="103">
        <v>868021.8</v>
      </c>
      <c r="DD107" s="104">
        <v>4.0584003765804039E-2</v>
      </c>
      <c r="DE107" s="103">
        <v>0</v>
      </c>
      <c r="DF107" s="103">
        <v>0</v>
      </c>
      <c r="DG107" s="103">
        <v>276.39710000000002</v>
      </c>
      <c r="DH107" s="103">
        <v>0</v>
      </c>
      <c r="DI107" s="103">
        <f t="shared" si="7"/>
        <v>0</v>
      </c>
      <c r="DJ107" s="103">
        <v>2502</v>
      </c>
      <c r="DK107" s="103">
        <v>722298</v>
      </c>
      <c r="DL107" s="104">
        <v>3.4639442446192568E-3</v>
      </c>
    </row>
    <row r="108" spans="1:116" s="15" customFormat="1" ht="119.45" customHeight="1" x14ac:dyDescent="0.25">
      <c r="A108" s="100" t="s">
        <v>193</v>
      </c>
      <c r="B108" s="100" t="s">
        <v>2333</v>
      </c>
      <c r="C108" s="100" t="s">
        <v>87</v>
      </c>
      <c r="D108" s="101" t="str">
        <f>"Chemistry 303"</f>
        <v>Chemistry 303</v>
      </c>
      <c r="E108" s="102" t="s">
        <v>2334</v>
      </c>
      <c r="F108" s="100">
        <v>8</v>
      </c>
      <c r="G108" s="100">
        <v>0</v>
      </c>
      <c r="H108" s="100">
        <v>0</v>
      </c>
      <c r="I108" s="100">
        <v>10</v>
      </c>
      <c r="J108" s="100">
        <v>2</v>
      </c>
      <c r="K108" s="100">
        <v>1</v>
      </c>
      <c r="L108" s="100">
        <v>0</v>
      </c>
      <c r="M108" s="100">
        <v>2</v>
      </c>
      <c r="N108" s="100">
        <v>0</v>
      </c>
      <c r="O108" s="100">
        <v>0</v>
      </c>
      <c r="P108" s="100">
        <v>3.56</v>
      </c>
      <c r="Q108" s="100">
        <v>13.14</v>
      </c>
      <c r="R108" s="100">
        <v>0</v>
      </c>
      <c r="S108" s="100">
        <v>0</v>
      </c>
      <c r="T108" s="100">
        <v>0</v>
      </c>
      <c r="U108" s="100">
        <v>1</v>
      </c>
      <c r="V108" s="100">
        <v>0</v>
      </c>
      <c r="W108" s="100">
        <v>0</v>
      </c>
      <c r="X108" s="100">
        <v>1</v>
      </c>
      <c r="Y108" s="100">
        <v>0</v>
      </c>
      <c r="Z108" s="100">
        <v>0</v>
      </c>
      <c r="AA108" s="100">
        <v>1</v>
      </c>
      <c r="AB108" s="100">
        <v>0</v>
      </c>
      <c r="AC108" s="100">
        <v>0</v>
      </c>
      <c r="AD108" s="100">
        <v>1</v>
      </c>
      <c r="AE108" s="100">
        <v>0</v>
      </c>
      <c r="AF108" s="100">
        <v>0</v>
      </c>
      <c r="AG108" s="100">
        <v>1</v>
      </c>
      <c r="AH108" s="100">
        <v>1</v>
      </c>
      <c r="AI108" s="100">
        <v>0</v>
      </c>
      <c r="AJ108" s="100">
        <v>0</v>
      </c>
      <c r="AK108" s="100">
        <v>0</v>
      </c>
      <c r="AL108" s="100">
        <v>0</v>
      </c>
      <c r="AM108" s="100">
        <v>0</v>
      </c>
      <c r="AN108" s="100">
        <v>1</v>
      </c>
      <c r="AO108" s="100">
        <v>0</v>
      </c>
      <c r="AP108" s="100">
        <v>0</v>
      </c>
      <c r="AQ108" s="100">
        <v>0</v>
      </c>
      <c r="AR108" s="100">
        <v>0</v>
      </c>
      <c r="AS108" s="100">
        <v>0</v>
      </c>
      <c r="AT108" s="100">
        <v>0</v>
      </c>
      <c r="AU108" s="100">
        <v>0</v>
      </c>
      <c r="AV108" s="100">
        <v>0</v>
      </c>
      <c r="AW108" s="100">
        <v>0</v>
      </c>
      <c r="AX108" s="100">
        <v>0</v>
      </c>
      <c r="AY108" s="100">
        <v>0</v>
      </c>
      <c r="AZ108" s="100">
        <v>0</v>
      </c>
      <c r="BA108" s="100">
        <v>0</v>
      </c>
      <c r="BB108" s="100">
        <v>0</v>
      </c>
      <c r="BC108" s="100">
        <v>0</v>
      </c>
      <c r="BD108" s="100">
        <v>0</v>
      </c>
      <c r="BE108" s="100">
        <v>0</v>
      </c>
      <c r="BF108" s="100">
        <v>0</v>
      </c>
      <c r="BG108" s="100">
        <v>0</v>
      </c>
      <c r="BH108" s="100">
        <v>0</v>
      </c>
      <c r="BI108" s="100">
        <v>0</v>
      </c>
      <c r="BJ108" s="100">
        <v>0</v>
      </c>
      <c r="BK108" s="100">
        <v>0</v>
      </c>
      <c r="BL108" s="100">
        <v>0</v>
      </c>
      <c r="BM108" s="100">
        <v>0</v>
      </c>
      <c r="BN108" s="100">
        <v>0</v>
      </c>
      <c r="BO108" s="100">
        <v>0</v>
      </c>
      <c r="BP108" s="100">
        <v>0</v>
      </c>
      <c r="BQ108" s="100">
        <v>0</v>
      </c>
      <c r="BR108" s="100">
        <v>0</v>
      </c>
      <c r="BS108" s="100">
        <v>0</v>
      </c>
      <c r="BT108" s="100">
        <v>0</v>
      </c>
      <c r="BU108" s="100">
        <v>0</v>
      </c>
      <c r="BV108" s="100">
        <v>1</v>
      </c>
      <c r="BW108" s="100">
        <v>0</v>
      </c>
      <c r="BX108" s="100">
        <v>0</v>
      </c>
      <c r="BY108" s="100">
        <v>0</v>
      </c>
      <c r="BZ108" s="100">
        <v>0</v>
      </c>
      <c r="CA108" s="100">
        <v>0</v>
      </c>
      <c r="CB108" s="100" t="s">
        <v>2090</v>
      </c>
      <c r="CC108" s="100">
        <v>0</v>
      </c>
      <c r="CD108" s="100">
        <v>0</v>
      </c>
      <c r="CE108" s="100">
        <v>0</v>
      </c>
      <c r="CF108" s="100">
        <v>0</v>
      </c>
      <c r="CG108" s="103">
        <v>640362.05648000003</v>
      </c>
      <c r="CH108" s="103">
        <v>58.58</v>
      </c>
      <c r="CI108" s="103">
        <v>6303578.4713599999</v>
      </c>
      <c r="CJ108" s="103">
        <v>50.96</v>
      </c>
      <c r="CK108" s="103">
        <f t="shared" si="4"/>
        <v>2985.2368000000001</v>
      </c>
      <c r="CL108" s="103">
        <v>251662.3</v>
      </c>
      <c r="CM108" s="103">
        <v>882254</v>
      </c>
      <c r="CN108" s="104">
        <v>0.28524925928360767</v>
      </c>
      <c r="CO108" s="103">
        <v>10739.838390000001</v>
      </c>
      <c r="CP108" s="103">
        <v>0.82</v>
      </c>
      <c r="CQ108" s="103">
        <v>219113.44104000001</v>
      </c>
      <c r="CR108" s="103">
        <v>4.71</v>
      </c>
      <c r="CS108" s="103">
        <f t="shared" si="5"/>
        <v>3.8621999999999996</v>
      </c>
      <c r="CT108" s="103">
        <v>17961</v>
      </c>
      <c r="CU108" s="103">
        <v>976433</v>
      </c>
      <c r="CV108" s="104">
        <v>1.8394503258288075E-2</v>
      </c>
      <c r="CW108" s="103">
        <v>292976.11011000001</v>
      </c>
      <c r="CX108" s="103">
        <v>35.86</v>
      </c>
      <c r="CY108" s="103">
        <v>3700871.1554399999</v>
      </c>
      <c r="CZ108" s="103">
        <v>39.808527218078588</v>
      </c>
      <c r="DA108" s="103">
        <f t="shared" si="6"/>
        <v>1427.5337860402981</v>
      </c>
      <c r="DB108" s="103">
        <v>135637.5</v>
      </c>
      <c r="DC108" s="103">
        <v>971654.7</v>
      </c>
      <c r="DD108" s="104">
        <v>0.13959434354611777</v>
      </c>
      <c r="DE108" s="103">
        <v>8670.4192800000001</v>
      </c>
      <c r="DF108" s="103">
        <v>0.98</v>
      </c>
      <c r="DG108" s="103">
        <v>36628.651510000003</v>
      </c>
      <c r="DH108" s="103">
        <v>0</v>
      </c>
      <c r="DI108" s="103">
        <f t="shared" si="7"/>
        <v>0</v>
      </c>
      <c r="DJ108" s="103">
        <v>10185.9</v>
      </c>
      <c r="DK108" s="103">
        <v>930245.8</v>
      </c>
      <c r="DL108" s="104">
        <v>1.0949686631210804E-2</v>
      </c>
    </row>
    <row r="109" spans="1:116" s="15" customFormat="1" ht="120.2" customHeight="1" x14ac:dyDescent="0.25">
      <c r="A109" s="100" t="s">
        <v>194</v>
      </c>
      <c r="B109" s="100" t="s">
        <v>2335</v>
      </c>
      <c r="C109" s="100" t="s">
        <v>87</v>
      </c>
      <c r="D109" s="101" t="str">
        <f>"Chemistry 198"</f>
        <v>Chemistry 198</v>
      </c>
      <c r="E109" s="102" t="s">
        <v>2336</v>
      </c>
      <c r="F109" s="100">
        <v>8</v>
      </c>
      <c r="G109" s="100">
        <v>0</v>
      </c>
      <c r="H109" s="100">
        <v>0</v>
      </c>
      <c r="I109" s="100">
        <v>10</v>
      </c>
      <c r="J109" s="100">
        <v>2</v>
      </c>
      <c r="K109" s="100">
        <v>1</v>
      </c>
      <c r="L109" s="100">
        <v>0</v>
      </c>
      <c r="M109" s="100">
        <v>2</v>
      </c>
      <c r="N109" s="100">
        <v>0</v>
      </c>
      <c r="O109" s="100">
        <v>0</v>
      </c>
      <c r="P109" s="100">
        <v>3.56</v>
      </c>
      <c r="Q109" s="100">
        <v>13.14</v>
      </c>
      <c r="R109" s="100">
        <v>0</v>
      </c>
      <c r="S109" s="100">
        <v>0</v>
      </c>
      <c r="T109" s="100">
        <v>0</v>
      </c>
      <c r="U109" s="100">
        <v>1</v>
      </c>
      <c r="V109" s="100">
        <v>0</v>
      </c>
      <c r="W109" s="100">
        <v>0</v>
      </c>
      <c r="X109" s="100">
        <v>1</v>
      </c>
      <c r="Y109" s="100">
        <v>0</v>
      </c>
      <c r="Z109" s="100">
        <v>0</v>
      </c>
      <c r="AA109" s="100">
        <v>1</v>
      </c>
      <c r="AB109" s="100">
        <v>0</v>
      </c>
      <c r="AC109" s="100">
        <v>0</v>
      </c>
      <c r="AD109" s="100">
        <v>1</v>
      </c>
      <c r="AE109" s="100">
        <v>0</v>
      </c>
      <c r="AF109" s="100">
        <v>0</v>
      </c>
      <c r="AG109" s="100">
        <v>1</v>
      </c>
      <c r="AH109" s="100">
        <v>1</v>
      </c>
      <c r="AI109" s="100">
        <v>0</v>
      </c>
      <c r="AJ109" s="100">
        <v>0</v>
      </c>
      <c r="AK109" s="100">
        <v>0</v>
      </c>
      <c r="AL109" s="100">
        <v>0</v>
      </c>
      <c r="AM109" s="100">
        <v>0</v>
      </c>
      <c r="AN109" s="100">
        <v>1</v>
      </c>
      <c r="AO109" s="100">
        <v>0</v>
      </c>
      <c r="AP109" s="100">
        <v>0</v>
      </c>
      <c r="AQ109" s="100">
        <v>0</v>
      </c>
      <c r="AR109" s="100">
        <v>0</v>
      </c>
      <c r="AS109" s="100">
        <v>0</v>
      </c>
      <c r="AT109" s="100">
        <v>0</v>
      </c>
      <c r="AU109" s="100">
        <v>0</v>
      </c>
      <c r="AV109" s="100">
        <v>0</v>
      </c>
      <c r="AW109" s="100">
        <v>0</v>
      </c>
      <c r="AX109" s="100">
        <v>0</v>
      </c>
      <c r="AY109" s="100">
        <v>0</v>
      </c>
      <c r="AZ109" s="100">
        <v>0</v>
      </c>
      <c r="BA109" s="100">
        <v>0</v>
      </c>
      <c r="BB109" s="100">
        <v>0</v>
      </c>
      <c r="BC109" s="100">
        <v>0</v>
      </c>
      <c r="BD109" s="100">
        <v>0</v>
      </c>
      <c r="BE109" s="100">
        <v>0</v>
      </c>
      <c r="BF109" s="100">
        <v>0</v>
      </c>
      <c r="BG109" s="100">
        <v>0</v>
      </c>
      <c r="BH109" s="100">
        <v>0</v>
      </c>
      <c r="BI109" s="100">
        <v>0</v>
      </c>
      <c r="BJ109" s="100">
        <v>0</v>
      </c>
      <c r="BK109" s="100">
        <v>0</v>
      </c>
      <c r="BL109" s="100">
        <v>0</v>
      </c>
      <c r="BM109" s="100">
        <v>0</v>
      </c>
      <c r="BN109" s="100">
        <v>0</v>
      </c>
      <c r="BO109" s="100">
        <v>0</v>
      </c>
      <c r="BP109" s="100">
        <v>0</v>
      </c>
      <c r="BQ109" s="100">
        <v>0</v>
      </c>
      <c r="BR109" s="100">
        <v>0</v>
      </c>
      <c r="BS109" s="100">
        <v>0</v>
      </c>
      <c r="BT109" s="100">
        <v>0</v>
      </c>
      <c r="BU109" s="100">
        <v>0</v>
      </c>
      <c r="BV109" s="100">
        <v>1</v>
      </c>
      <c r="BW109" s="100">
        <v>0</v>
      </c>
      <c r="BX109" s="100">
        <v>0</v>
      </c>
      <c r="BY109" s="100">
        <v>0</v>
      </c>
      <c r="BZ109" s="100">
        <v>0</v>
      </c>
      <c r="CA109" s="100">
        <v>0</v>
      </c>
      <c r="CB109" s="100" t="s">
        <v>2090</v>
      </c>
      <c r="CC109" s="100">
        <v>0</v>
      </c>
      <c r="CD109" s="100">
        <v>0</v>
      </c>
      <c r="CE109" s="100">
        <v>0</v>
      </c>
      <c r="CF109" s="100">
        <v>0</v>
      </c>
      <c r="CG109" s="103">
        <v>315457.59551000001</v>
      </c>
      <c r="CH109" s="103">
        <v>35.86</v>
      </c>
      <c r="CI109" s="103">
        <v>4586988.3386599999</v>
      </c>
      <c r="CJ109" s="103">
        <v>52.93</v>
      </c>
      <c r="CK109" s="103">
        <f t="shared" si="4"/>
        <v>1898.0698</v>
      </c>
      <c r="CL109" s="103">
        <v>188804.7</v>
      </c>
      <c r="CM109" s="103">
        <v>832124.5</v>
      </c>
      <c r="CN109" s="104">
        <v>0.226894773558524</v>
      </c>
      <c r="CO109" s="103">
        <v>0</v>
      </c>
      <c r="CP109" s="103">
        <v>0</v>
      </c>
      <c r="CQ109" s="103">
        <v>305893.91584999999</v>
      </c>
      <c r="CR109" s="103">
        <v>5.8100000000000005</v>
      </c>
      <c r="CS109" s="103">
        <f t="shared" si="5"/>
        <v>0</v>
      </c>
      <c r="CT109" s="103">
        <v>30190.7</v>
      </c>
      <c r="CU109" s="103">
        <v>802837.8</v>
      </c>
      <c r="CV109" s="104">
        <v>3.7604980732098066E-2</v>
      </c>
      <c r="CW109" s="103">
        <v>209718.96919999999</v>
      </c>
      <c r="CX109" s="103">
        <v>27.25</v>
      </c>
      <c r="CY109" s="103">
        <v>3565886.0605000001</v>
      </c>
      <c r="CZ109" s="103">
        <v>33.458314953683278</v>
      </c>
      <c r="DA109" s="103">
        <f t="shared" si="6"/>
        <v>911.73908248786927</v>
      </c>
      <c r="DB109" s="103">
        <v>29286.9</v>
      </c>
      <c r="DC109" s="103">
        <v>263169.8</v>
      </c>
      <c r="DD109" s="104">
        <v>0.11128518545820988</v>
      </c>
      <c r="DE109" s="103">
        <v>0</v>
      </c>
      <c r="DF109" s="103">
        <v>0</v>
      </c>
      <c r="DG109" s="103">
        <v>90442.830260000002</v>
      </c>
      <c r="DH109" s="103">
        <v>0</v>
      </c>
      <c r="DI109" s="103">
        <f t="shared" si="7"/>
        <v>0</v>
      </c>
      <c r="DJ109" s="103">
        <v>8129.5</v>
      </c>
      <c r="DK109" s="103">
        <v>723485.7</v>
      </c>
      <c r="DL109" s="104">
        <v>1.1236573162399755E-2</v>
      </c>
    </row>
    <row r="110" spans="1:116" s="15" customFormat="1" ht="165.95" customHeight="1" x14ac:dyDescent="0.25">
      <c r="A110" s="100" t="s">
        <v>195</v>
      </c>
      <c r="B110" s="100" t="s">
        <v>2337</v>
      </c>
      <c r="C110" s="100" t="s">
        <v>87</v>
      </c>
      <c r="D110" s="101" t="str">
        <f>"Chemistry 321"</f>
        <v>Chemistry 321</v>
      </c>
      <c r="E110" s="102" t="s">
        <v>2338</v>
      </c>
      <c r="F110" s="100">
        <v>8</v>
      </c>
      <c r="G110" s="100">
        <v>0</v>
      </c>
      <c r="H110" s="100">
        <v>0</v>
      </c>
      <c r="I110" s="100">
        <v>10</v>
      </c>
      <c r="J110" s="100">
        <v>2</v>
      </c>
      <c r="K110" s="100">
        <v>1</v>
      </c>
      <c r="L110" s="100">
        <v>0</v>
      </c>
      <c r="M110" s="100">
        <v>2</v>
      </c>
      <c r="N110" s="100">
        <v>0</v>
      </c>
      <c r="O110" s="100">
        <v>0</v>
      </c>
      <c r="P110" s="100">
        <v>3.56</v>
      </c>
      <c r="Q110" s="100">
        <v>13.14</v>
      </c>
      <c r="R110" s="100">
        <v>0</v>
      </c>
      <c r="S110" s="100">
        <v>0</v>
      </c>
      <c r="T110" s="100">
        <v>0</v>
      </c>
      <c r="U110" s="100">
        <v>1</v>
      </c>
      <c r="V110" s="100">
        <v>0</v>
      </c>
      <c r="W110" s="100">
        <v>0</v>
      </c>
      <c r="X110" s="100">
        <v>1</v>
      </c>
      <c r="Y110" s="100">
        <v>0</v>
      </c>
      <c r="Z110" s="100">
        <v>0</v>
      </c>
      <c r="AA110" s="100">
        <v>1</v>
      </c>
      <c r="AB110" s="100">
        <v>0</v>
      </c>
      <c r="AC110" s="100">
        <v>0</v>
      </c>
      <c r="AD110" s="100">
        <v>1</v>
      </c>
      <c r="AE110" s="100">
        <v>0</v>
      </c>
      <c r="AF110" s="100">
        <v>0</v>
      </c>
      <c r="AG110" s="100">
        <v>1</v>
      </c>
      <c r="AH110" s="100">
        <v>1</v>
      </c>
      <c r="AI110" s="100">
        <v>0</v>
      </c>
      <c r="AJ110" s="100">
        <v>0</v>
      </c>
      <c r="AK110" s="100">
        <v>1</v>
      </c>
      <c r="AL110" s="100">
        <v>1</v>
      </c>
      <c r="AM110" s="100">
        <v>0</v>
      </c>
      <c r="AN110" s="100">
        <v>1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  <c r="AU110" s="100">
        <v>0</v>
      </c>
      <c r="AV110" s="100">
        <v>0</v>
      </c>
      <c r="AW110" s="100">
        <v>0</v>
      </c>
      <c r="AX110" s="100">
        <v>0</v>
      </c>
      <c r="AY110" s="100">
        <v>0</v>
      </c>
      <c r="AZ110" s="100">
        <v>0</v>
      </c>
      <c r="BA110" s="100">
        <v>0</v>
      </c>
      <c r="BB110" s="100">
        <v>0</v>
      </c>
      <c r="BC110" s="100">
        <v>0</v>
      </c>
      <c r="BD110" s="100">
        <v>0</v>
      </c>
      <c r="BE110" s="100">
        <v>0</v>
      </c>
      <c r="BF110" s="100">
        <v>0</v>
      </c>
      <c r="BG110" s="100">
        <v>0</v>
      </c>
      <c r="BH110" s="100">
        <v>0</v>
      </c>
      <c r="BI110" s="100">
        <v>0</v>
      </c>
      <c r="BJ110" s="100">
        <v>0</v>
      </c>
      <c r="BK110" s="100">
        <v>0</v>
      </c>
      <c r="BL110" s="100">
        <v>0</v>
      </c>
      <c r="BM110" s="100">
        <v>0</v>
      </c>
      <c r="BN110" s="100">
        <v>0</v>
      </c>
      <c r="BO110" s="100">
        <v>0</v>
      </c>
      <c r="BP110" s="100">
        <v>0</v>
      </c>
      <c r="BQ110" s="100">
        <v>0</v>
      </c>
      <c r="BR110" s="100">
        <v>0</v>
      </c>
      <c r="BS110" s="100">
        <v>0</v>
      </c>
      <c r="BT110" s="100">
        <v>0</v>
      </c>
      <c r="BU110" s="100">
        <v>0</v>
      </c>
      <c r="BV110" s="100">
        <v>1</v>
      </c>
      <c r="BW110" s="100">
        <v>0</v>
      </c>
      <c r="BX110" s="100">
        <v>0</v>
      </c>
      <c r="BY110" s="100">
        <v>0</v>
      </c>
      <c r="BZ110" s="100">
        <v>0</v>
      </c>
      <c r="CA110" s="100">
        <v>0</v>
      </c>
      <c r="CB110" s="100" t="s">
        <v>2090</v>
      </c>
      <c r="CC110" s="100">
        <v>0</v>
      </c>
      <c r="CD110" s="100">
        <v>0</v>
      </c>
      <c r="CE110" s="100">
        <v>0</v>
      </c>
      <c r="CF110" s="100">
        <v>0</v>
      </c>
      <c r="CG110" s="103">
        <v>178751.59443999999</v>
      </c>
      <c r="CH110" s="103">
        <v>19.649999999999999</v>
      </c>
      <c r="CI110" s="103">
        <v>3351891.6618499998</v>
      </c>
      <c r="CJ110" s="103">
        <v>42.65</v>
      </c>
      <c r="CK110" s="103">
        <f t="shared" si="4"/>
        <v>838.07249999999988</v>
      </c>
      <c r="CL110" s="103">
        <v>104571.4</v>
      </c>
      <c r="CM110" s="103">
        <v>814288.1</v>
      </c>
      <c r="CN110" s="104">
        <v>0.12842064129391059</v>
      </c>
      <c r="CO110" s="103">
        <v>17533.647199999999</v>
      </c>
      <c r="CP110" s="103">
        <v>1.28</v>
      </c>
      <c r="CQ110" s="103">
        <v>977849.58253000001</v>
      </c>
      <c r="CR110" s="103">
        <v>14.44</v>
      </c>
      <c r="CS110" s="103">
        <f t="shared" si="5"/>
        <v>18.4832</v>
      </c>
      <c r="CT110" s="103">
        <v>18312.599999999999</v>
      </c>
      <c r="CU110" s="103">
        <v>936445.8</v>
      </c>
      <c r="CV110" s="104">
        <v>1.9555429689577332E-2</v>
      </c>
      <c r="CW110" s="103">
        <v>174458.59565</v>
      </c>
      <c r="CX110" s="103">
        <v>25.14</v>
      </c>
      <c r="CY110" s="103">
        <v>3073720.8215100002</v>
      </c>
      <c r="CZ110" s="103">
        <v>36.751946607341488</v>
      </c>
      <c r="DA110" s="103">
        <f t="shared" si="6"/>
        <v>923.94393770856504</v>
      </c>
      <c r="DB110" s="103">
        <v>174395.8</v>
      </c>
      <c r="DC110" s="103">
        <v>844344.2</v>
      </c>
      <c r="DD110" s="104">
        <v>0.20654586127316324</v>
      </c>
      <c r="DE110" s="103">
        <v>22894.03631</v>
      </c>
      <c r="DF110" s="103">
        <v>2.56</v>
      </c>
      <c r="DG110" s="103">
        <v>1014087.97781</v>
      </c>
      <c r="DH110" s="103">
        <v>13.55</v>
      </c>
      <c r="DI110" s="103">
        <f t="shared" si="7"/>
        <v>34.688000000000002</v>
      </c>
      <c r="DJ110" s="103">
        <v>11352.8</v>
      </c>
      <c r="DK110" s="103">
        <v>858967</v>
      </c>
      <c r="DL110" s="104">
        <v>1.3216805767858369E-2</v>
      </c>
    </row>
    <row r="111" spans="1:116" s="15" customFormat="1" ht="120.2" customHeight="1" x14ac:dyDescent="0.25">
      <c r="A111" s="100" t="s">
        <v>196</v>
      </c>
      <c r="B111" s="100" t="s">
        <v>2339</v>
      </c>
      <c r="C111" s="100" t="s">
        <v>87</v>
      </c>
      <c r="D111" s="101" t="str">
        <f>"Chemistry 306"</f>
        <v>Chemistry 306</v>
      </c>
      <c r="E111" s="102" t="s">
        <v>2340</v>
      </c>
      <c r="F111" s="100">
        <v>7</v>
      </c>
      <c r="G111" s="100">
        <v>0</v>
      </c>
      <c r="H111" s="100">
        <v>0</v>
      </c>
      <c r="I111" s="100">
        <v>10</v>
      </c>
      <c r="J111" s="100">
        <v>3</v>
      </c>
      <c r="K111" s="100">
        <v>2</v>
      </c>
      <c r="L111" s="100">
        <v>2</v>
      </c>
      <c r="M111" s="100">
        <v>2</v>
      </c>
      <c r="N111" s="100">
        <v>1</v>
      </c>
      <c r="O111" s="100">
        <v>1</v>
      </c>
      <c r="P111" s="100">
        <v>2.66</v>
      </c>
      <c r="Q111" s="100">
        <v>28.68</v>
      </c>
      <c r="R111" s="100">
        <v>0</v>
      </c>
      <c r="S111" s="100">
        <v>0</v>
      </c>
      <c r="T111" s="100">
        <v>0</v>
      </c>
      <c r="U111" s="100">
        <v>1</v>
      </c>
      <c r="V111" s="100">
        <v>0</v>
      </c>
      <c r="W111" s="100">
        <v>1</v>
      </c>
      <c r="X111" s="100">
        <v>0</v>
      </c>
      <c r="Y111" s="100">
        <v>0</v>
      </c>
      <c r="Z111" s="100">
        <v>1</v>
      </c>
      <c r="AA111" s="100">
        <v>0</v>
      </c>
      <c r="AB111" s="100">
        <v>0</v>
      </c>
      <c r="AC111" s="100">
        <v>1</v>
      </c>
      <c r="AD111" s="100">
        <v>0</v>
      </c>
      <c r="AE111" s="100">
        <v>0</v>
      </c>
      <c r="AF111" s="100">
        <v>1</v>
      </c>
      <c r="AG111" s="100">
        <v>0</v>
      </c>
      <c r="AH111" s="100">
        <v>1</v>
      </c>
      <c r="AI111" s="100">
        <v>0</v>
      </c>
      <c r="AJ111" s="100">
        <v>0</v>
      </c>
      <c r="AK111" s="100">
        <v>0</v>
      </c>
      <c r="AL111" s="100">
        <v>0</v>
      </c>
      <c r="AM111" s="100">
        <v>0</v>
      </c>
      <c r="AN111" s="100">
        <v>1</v>
      </c>
      <c r="AO111" s="100">
        <v>0</v>
      </c>
      <c r="AP111" s="100">
        <v>0</v>
      </c>
      <c r="AQ111" s="100">
        <v>0</v>
      </c>
      <c r="AR111" s="100">
        <v>0</v>
      </c>
      <c r="AS111" s="100">
        <v>0</v>
      </c>
      <c r="AT111" s="100">
        <v>0</v>
      </c>
      <c r="AU111" s="100">
        <v>0</v>
      </c>
      <c r="AV111" s="100">
        <v>0</v>
      </c>
      <c r="AW111" s="100">
        <v>0</v>
      </c>
      <c r="AX111" s="100">
        <v>0</v>
      </c>
      <c r="AY111" s="100">
        <v>0</v>
      </c>
      <c r="AZ111" s="100">
        <v>0</v>
      </c>
      <c r="BA111" s="100">
        <v>0</v>
      </c>
      <c r="BB111" s="100">
        <v>0</v>
      </c>
      <c r="BC111" s="100">
        <v>0</v>
      </c>
      <c r="BD111" s="100">
        <v>0</v>
      </c>
      <c r="BE111" s="100">
        <v>0</v>
      </c>
      <c r="BF111" s="100">
        <v>0</v>
      </c>
      <c r="BG111" s="100">
        <v>0</v>
      </c>
      <c r="BH111" s="100">
        <v>0</v>
      </c>
      <c r="BI111" s="100">
        <v>0</v>
      </c>
      <c r="BJ111" s="100">
        <v>0</v>
      </c>
      <c r="BK111" s="100">
        <v>0</v>
      </c>
      <c r="BL111" s="100">
        <v>0</v>
      </c>
      <c r="BM111" s="100">
        <v>0</v>
      </c>
      <c r="BN111" s="100">
        <v>0</v>
      </c>
      <c r="BO111" s="100">
        <v>0</v>
      </c>
      <c r="BP111" s="100">
        <v>0</v>
      </c>
      <c r="BQ111" s="100">
        <v>0</v>
      </c>
      <c r="BR111" s="100">
        <v>1</v>
      </c>
      <c r="BS111" s="100">
        <v>0</v>
      </c>
      <c r="BT111" s="100">
        <v>1</v>
      </c>
      <c r="BU111" s="100">
        <v>0</v>
      </c>
      <c r="BV111" s="100">
        <v>0</v>
      </c>
      <c r="BW111" s="100">
        <v>0</v>
      </c>
      <c r="BX111" s="100">
        <v>0</v>
      </c>
      <c r="BY111" s="100">
        <v>0</v>
      </c>
      <c r="BZ111" s="100">
        <v>0</v>
      </c>
      <c r="CA111" s="100">
        <v>0</v>
      </c>
      <c r="CB111" s="100" t="s">
        <v>2090</v>
      </c>
      <c r="CC111" s="100">
        <v>0</v>
      </c>
      <c r="CD111" s="100">
        <v>0</v>
      </c>
      <c r="CE111" s="100">
        <v>0</v>
      </c>
      <c r="CF111" s="100">
        <v>0</v>
      </c>
      <c r="CG111" s="103">
        <v>8470.5049899999995</v>
      </c>
      <c r="CH111" s="103">
        <v>0.77</v>
      </c>
      <c r="CI111" s="103">
        <v>217619.1067</v>
      </c>
      <c r="CJ111" s="103">
        <v>6.03</v>
      </c>
      <c r="CK111" s="103">
        <f t="shared" si="4"/>
        <v>4.6431000000000004</v>
      </c>
      <c r="CL111" s="103">
        <v>29461.5</v>
      </c>
      <c r="CM111" s="103">
        <v>970628.3</v>
      </c>
      <c r="CN111" s="104">
        <v>3.0353019791407275E-2</v>
      </c>
      <c r="CO111" s="103">
        <v>0</v>
      </c>
      <c r="CP111" s="103">
        <v>0</v>
      </c>
      <c r="CQ111" s="103">
        <v>10259.467049999999</v>
      </c>
      <c r="CR111" s="103">
        <v>0</v>
      </c>
      <c r="CS111" s="103">
        <f t="shared" si="5"/>
        <v>0</v>
      </c>
      <c r="CT111" s="103">
        <v>2900.5</v>
      </c>
      <c r="CU111" s="103">
        <v>302674.7</v>
      </c>
      <c r="CV111" s="104">
        <v>9.582895431960451E-3</v>
      </c>
      <c r="CW111" s="103">
        <v>0</v>
      </c>
      <c r="CX111" s="103">
        <v>0</v>
      </c>
      <c r="CY111" s="103">
        <v>93004.883480000004</v>
      </c>
      <c r="CZ111" s="103">
        <v>2.2356329721574544</v>
      </c>
      <c r="DA111" s="103">
        <f t="shared" si="6"/>
        <v>0</v>
      </c>
      <c r="DB111" s="103">
        <v>5563.6</v>
      </c>
      <c r="DC111" s="103">
        <v>832785</v>
      </c>
      <c r="DD111" s="104">
        <v>6.680715911069484E-3</v>
      </c>
      <c r="DE111" s="103">
        <v>0</v>
      </c>
      <c r="DF111" s="103">
        <v>0</v>
      </c>
      <c r="DG111" s="103">
        <v>0</v>
      </c>
      <c r="DH111" s="103">
        <v>0</v>
      </c>
      <c r="DI111" s="103">
        <f t="shared" si="7"/>
        <v>0</v>
      </c>
      <c r="DJ111" s="103">
        <v>3510</v>
      </c>
      <c r="DK111" s="103">
        <v>448343</v>
      </c>
      <c r="DL111" s="104">
        <v>7.8288274825301166E-3</v>
      </c>
    </row>
    <row r="112" spans="1:116" s="15" customFormat="1" ht="159.19999999999999" customHeight="1" x14ac:dyDescent="0.25">
      <c r="A112" s="100" t="s">
        <v>197</v>
      </c>
      <c r="B112" s="100" t="s">
        <v>2341</v>
      </c>
      <c r="C112" s="100" t="s">
        <v>87</v>
      </c>
      <c r="D112" s="101" t="str">
        <f>"Chemistry 240"</f>
        <v>Chemistry 240</v>
      </c>
      <c r="E112" s="102" t="s">
        <v>2342</v>
      </c>
      <c r="F112" s="100">
        <v>7</v>
      </c>
      <c r="G112" s="100">
        <v>0</v>
      </c>
      <c r="H112" s="100">
        <v>0</v>
      </c>
      <c r="I112" s="100">
        <v>10</v>
      </c>
      <c r="J112" s="100">
        <v>3</v>
      </c>
      <c r="K112" s="100">
        <v>2</v>
      </c>
      <c r="L112" s="100">
        <v>2</v>
      </c>
      <c r="M112" s="100">
        <v>2</v>
      </c>
      <c r="N112" s="100">
        <v>1</v>
      </c>
      <c r="O112" s="100">
        <v>1</v>
      </c>
      <c r="P112" s="100">
        <v>2.66</v>
      </c>
      <c r="Q112" s="100">
        <v>28.68</v>
      </c>
      <c r="R112" s="100">
        <v>0</v>
      </c>
      <c r="S112" s="100">
        <v>0</v>
      </c>
      <c r="T112" s="100">
        <v>0</v>
      </c>
      <c r="U112" s="100">
        <v>1</v>
      </c>
      <c r="V112" s="100">
        <v>0</v>
      </c>
      <c r="W112" s="100">
        <v>1</v>
      </c>
      <c r="X112" s="100">
        <v>0</v>
      </c>
      <c r="Y112" s="100">
        <v>0</v>
      </c>
      <c r="Z112" s="100">
        <v>1</v>
      </c>
      <c r="AA112" s="100">
        <v>0</v>
      </c>
      <c r="AB112" s="100">
        <v>0</v>
      </c>
      <c r="AC112" s="100">
        <v>1</v>
      </c>
      <c r="AD112" s="100">
        <v>0</v>
      </c>
      <c r="AE112" s="100">
        <v>0</v>
      </c>
      <c r="AF112" s="100">
        <v>1</v>
      </c>
      <c r="AG112" s="100">
        <v>0</v>
      </c>
      <c r="AH112" s="100">
        <v>1</v>
      </c>
      <c r="AI112" s="100">
        <v>0</v>
      </c>
      <c r="AJ112" s="100">
        <v>0</v>
      </c>
      <c r="AK112" s="100">
        <v>1</v>
      </c>
      <c r="AL112" s="100">
        <v>0</v>
      </c>
      <c r="AM112" s="100">
        <v>1</v>
      </c>
      <c r="AN112" s="100">
        <v>1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  <c r="AY112" s="100">
        <v>0</v>
      </c>
      <c r="AZ112" s="100">
        <v>0</v>
      </c>
      <c r="BA112" s="100">
        <v>0</v>
      </c>
      <c r="BB112" s="100">
        <v>0</v>
      </c>
      <c r="BC112" s="100">
        <v>0</v>
      </c>
      <c r="BD112" s="100">
        <v>0</v>
      </c>
      <c r="BE112" s="100">
        <v>0</v>
      </c>
      <c r="BF112" s="100">
        <v>0</v>
      </c>
      <c r="BG112" s="100">
        <v>0</v>
      </c>
      <c r="BH112" s="100">
        <v>0</v>
      </c>
      <c r="BI112" s="100">
        <v>0</v>
      </c>
      <c r="BJ112" s="100">
        <v>0</v>
      </c>
      <c r="BK112" s="100">
        <v>0</v>
      </c>
      <c r="BL112" s="100">
        <v>0</v>
      </c>
      <c r="BM112" s="100">
        <v>0</v>
      </c>
      <c r="BN112" s="100">
        <v>0</v>
      </c>
      <c r="BO112" s="100">
        <v>0</v>
      </c>
      <c r="BP112" s="100">
        <v>0</v>
      </c>
      <c r="BQ112" s="100">
        <v>0</v>
      </c>
      <c r="BR112" s="100">
        <v>1</v>
      </c>
      <c r="BS112" s="100">
        <v>0</v>
      </c>
      <c r="BT112" s="100">
        <v>1</v>
      </c>
      <c r="BU112" s="100">
        <v>0</v>
      </c>
      <c r="BV112" s="100">
        <v>0</v>
      </c>
      <c r="BW112" s="100">
        <v>0</v>
      </c>
      <c r="BX112" s="100">
        <v>0</v>
      </c>
      <c r="BY112" s="100">
        <v>0</v>
      </c>
      <c r="BZ112" s="100">
        <v>0</v>
      </c>
      <c r="CA112" s="100">
        <v>0</v>
      </c>
      <c r="CB112" s="100" t="s">
        <v>2090</v>
      </c>
      <c r="CC112" s="100">
        <v>0</v>
      </c>
      <c r="CD112" s="100">
        <v>0</v>
      </c>
      <c r="CE112" s="100">
        <v>0</v>
      </c>
      <c r="CF112" s="100">
        <v>0</v>
      </c>
      <c r="CG112" s="103">
        <v>205245.72875000001</v>
      </c>
      <c r="CH112" s="103">
        <v>18.2</v>
      </c>
      <c r="CI112" s="103">
        <v>1919363.8911299999</v>
      </c>
      <c r="CJ112" s="103">
        <v>26.68</v>
      </c>
      <c r="CK112" s="103">
        <f t="shared" si="4"/>
        <v>485.57599999999996</v>
      </c>
      <c r="CL112" s="103">
        <v>339209</v>
      </c>
      <c r="CM112" s="103">
        <v>1049065.6000000001</v>
      </c>
      <c r="CN112" s="104">
        <v>0.32334393578437798</v>
      </c>
      <c r="CO112" s="103">
        <v>7928.0632100000003</v>
      </c>
      <c r="CP112" s="103">
        <v>0.56000000000000005</v>
      </c>
      <c r="CQ112" s="103">
        <v>49243.457840000003</v>
      </c>
      <c r="CR112" s="103">
        <v>1.63</v>
      </c>
      <c r="CS112" s="103">
        <f t="shared" si="5"/>
        <v>0.91280000000000006</v>
      </c>
      <c r="CT112" s="103">
        <v>11048.2</v>
      </c>
      <c r="CU112" s="103">
        <v>285885.09999999998</v>
      </c>
      <c r="CV112" s="104">
        <v>3.8645595730592473E-2</v>
      </c>
      <c r="CW112" s="103">
        <v>0</v>
      </c>
      <c r="CX112" s="103">
        <v>0</v>
      </c>
      <c r="CY112" s="103">
        <v>9011.20759</v>
      </c>
      <c r="CZ112" s="103">
        <v>0</v>
      </c>
      <c r="DA112" s="103">
        <f t="shared" si="6"/>
        <v>0</v>
      </c>
      <c r="DB112" s="103">
        <v>17825</v>
      </c>
      <c r="DC112" s="103">
        <v>1039779.2</v>
      </c>
      <c r="DD112" s="104">
        <v>1.7143062680999965E-2</v>
      </c>
      <c r="DE112" s="103">
        <v>0</v>
      </c>
      <c r="DF112" s="103">
        <v>0</v>
      </c>
      <c r="DG112" s="103">
        <v>0</v>
      </c>
      <c r="DH112" s="103">
        <v>0</v>
      </c>
      <c r="DI112" s="103">
        <f t="shared" si="7"/>
        <v>0</v>
      </c>
      <c r="DJ112" s="103">
        <v>7688.7</v>
      </c>
      <c r="DK112" s="103">
        <v>561059.9</v>
      </c>
      <c r="DL112" s="104">
        <v>1.3703884380259575E-2</v>
      </c>
    </row>
    <row r="113" spans="1:116" s="15" customFormat="1" ht="119.45" customHeight="1" x14ac:dyDescent="0.25">
      <c r="A113" s="100" t="s">
        <v>198</v>
      </c>
      <c r="B113" s="100" t="s">
        <v>2343</v>
      </c>
      <c r="C113" s="100" t="s">
        <v>87</v>
      </c>
      <c r="D113" s="101" t="str">
        <f>"Chemistry 220"</f>
        <v>Chemistry 220</v>
      </c>
      <c r="E113" s="102" t="s">
        <v>2344</v>
      </c>
      <c r="F113" s="100">
        <v>7</v>
      </c>
      <c r="G113" s="100">
        <v>0</v>
      </c>
      <c r="H113" s="100">
        <v>0</v>
      </c>
      <c r="I113" s="100">
        <v>10</v>
      </c>
      <c r="J113" s="100">
        <v>3</v>
      </c>
      <c r="K113" s="100">
        <v>2</v>
      </c>
      <c r="L113" s="100">
        <v>1</v>
      </c>
      <c r="M113" s="100">
        <v>2</v>
      </c>
      <c r="N113" s="100">
        <v>1</v>
      </c>
      <c r="O113" s="100">
        <v>0</v>
      </c>
      <c r="P113" s="100">
        <v>2.48</v>
      </c>
      <c r="Q113" s="100">
        <v>26.03</v>
      </c>
      <c r="R113" s="100">
        <v>0</v>
      </c>
      <c r="S113" s="100">
        <v>0</v>
      </c>
      <c r="T113" s="100">
        <v>0</v>
      </c>
      <c r="U113" s="100">
        <v>1</v>
      </c>
      <c r="V113" s="100">
        <v>0</v>
      </c>
      <c r="W113" s="100">
        <v>0</v>
      </c>
      <c r="X113" s="100">
        <v>1</v>
      </c>
      <c r="Y113" s="100">
        <v>0</v>
      </c>
      <c r="Z113" s="100">
        <v>0</v>
      </c>
      <c r="AA113" s="100">
        <v>1</v>
      </c>
      <c r="AB113" s="100">
        <v>0</v>
      </c>
      <c r="AC113" s="100">
        <v>1</v>
      </c>
      <c r="AD113" s="100">
        <v>0</v>
      </c>
      <c r="AE113" s="100">
        <v>0</v>
      </c>
      <c r="AF113" s="100">
        <v>1</v>
      </c>
      <c r="AG113" s="100">
        <v>0</v>
      </c>
      <c r="AH113" s="100">
        <v>1</v>
      </c>
      <c r="AI113" s="100">
        <v>0</v>
      </c>
      <c r="AJ113" s="100">
        <v>0</v>
      </c>
      <c r="AK113" s="100">
        <v>0</v>
      </c>
      <c r="AL113" s="100">
        <v>0</v>
      </c>
      <c r="AM113" s="100">
        <v>0</v>
      </c>
      <c r="AN113" s="100">
        <v>1</v>
      </c>
      <c r="AO113" s="100">
        <v>0</v>
      </c>
      <c r="AP113" s="100">
        <v>0</v>
      </c>
      <c r="AQ113" s="100">
        <v>0</v>
      </c>
      <c r="AR113" s="100">
        <v>0</v>
      </c>
      <c r="AS113" s="100">
        <v>0</v>
      </c>
      <c r="AT113" s="100">
        <v>0</v>
      </c>
      <c r="AU113" s="100">
        <v>0</v>
      </c>
      <c r="AV113" s="100">
        <v>0</v>
      </c>
      <c r="AW113" s="100">
        <v>0</v>
      </c>
      <c r="AX113" s="100">
        <v>0</v>
      </c>
      <c r="AY113" s="100">
        <v>0</v>
      </c>
      <c r="AZ113" s="100">
        <v>0</v>
      </c>
      <c r="BA113" s="100">
        <v>0</v>
      </c>
      <c r="BB113" s="100">
        <v>0</v>
      </c>
      <c r="BC113" s="100">
        <v>0</v>
      </c>
      <c r="BD113" s="100">
        <v>0</v>
      </c>
      <c r="BE113" s="100">
        <v>0</v>
      </c>
      <c r="BF113" s="100">
        <v>0</v>
      </c>
      <c r="BG113" s="100">
        <v>0</v>
      </c>
      <c r="BH113" s="100">
        <v>0</v>
      </c>
      <c r="BI113" s="100">
        <v>0</v>
      </c>
      <c r="BJ113" s="100">
        <v>0</v>
      </c>
      <c r="BK113" s="100">
        <v>0</v>
      </c>
      <c r="BL113" s="100">
        <v>0</v>
      </c>
      <c r="BM113" s="100">
        <v>0</v>
      </c>
      <c r="BN113" s="100">
        <v>0</v>
      </c>
      <c r="BO113" s="100">
        <v>0</v>
      </c>
      <c r="BP113" s="100">
        <v>0</v>
      </c>
      <c r="BQ113" s="100">
        <v>1</v>
      </c>
      <c r="BR113" s="100">
        <v>0</v>
      </c>
      <c r="BS113" s="100">
        <v>0</v>
      </c>
      <c r="BT113" s="100">
        <v>0</v>
      </c>
      <c r="BU113" s="100">
        <v>1</v>
      </c>
      <c r="BV113" s="100">
        <v>0</v>
      </c>
      <c r="BW113" s="100">
        <v>0</v>
      </c>
      <c r="BX113" s="100">
        <v>0</v>
      </c>
      <c r="BY113" s="100">
        <v>0</v>
      </c>
      <c r="BZ113" s="100">
        <v>0</v>
      </c>
      <c r="CA113" s="100">
        <v>0</v>
      </c>
      <c r="CB113" s="100" t="s">
        <v>2090</v>
      </c>
      <c r="CC113" s="100">
        <v>0</v>
      </c>
      <c r="CD113" s="100">
        <v>0</v>
      </c>
      <c r="CE113" s="100">
        <v>0</v>
      </c>
      <c r="CF113" s="100">
        <v>0</v>
      </c>
      <c r="CG113" s="103">
        <v>330049.37459000002</v>
      </c>
      <c r="CH113" s="103">
        <v>23.57</v>
      </c>
      <c r="CI113" s="103">
        <v>725150.32444</v>
      </c>
      <c r="CJ113" s="103">
        <v>10.58</v>
      </c>
      <c r="CK113" s="103">
        <f t="shared" si="4"/>
        <v>249.3706</v>
      </c>
      <c r="CL113" s="103">
        <v>23716.9</v>
      </c>
      <c r="CM113" s="103">
        <v>485117.5</v>
      </c>
      <c r="CN113" s="104">
        <v>4.8888980504723088E-2</v>
      </c>
      <c r="CO113" s="103">
        <v>0</v>
      </c>
      <c r="CP113" s="103">
        <v>0</v>
      </c>
      <c r="CQ113" s="103">
        <v>17136.580139999998</v>
      </c>
      <c r="CR113" s="103">
        <v>0</v>
      </c>
      <c r="CS113" s="103">
        <f t="shared" si="5"/>
        <v>0</v>
      </c>
      <c r="CT113" s="103">
        <v>35392.400000000001</v>
      </c>
      <c r="CU113" s="103">
        <v>1072505.2</v>
      </c>
      <c r="CV113" s="104">
        <v>3.2999746761134589E-2</v>
      </c>
      <c r="CW113" s="103">
        <v>35321.385009999998</v>
      </c>
      <c r="CX113" s="103">
        <v>2.74</v>
      </c>
      <c r="CY113" s="103">
        <v>58225.347959999999</v>
      </c>
      <c r="CZ113" s="103">
        <v>1.1578541103820919</v>
      </c>
      <c r="DA113" s="103">
        <f t="shared" si="6"/>
        <v>3.1725202624469317</v>
      </c>
      <c r="DB113" s="103">
        <v>9591.2000000000007</v>
      </c>
      <c r="DC113" s="103">
        <v>737884.4</v>
      </c>
      <c r="DD113" s="104">
        <v>1.2998242001050571E-2</v>
      </c>
      <c r="DE113" s="103">
        <v>0</v>
      </c>
      <c r="DF113" s="103">
        <v>0</v>
      </c>
      <c r="DG113" s="103">
        <v>0</v>
      </c>
      <c r="DH113" s="103">
        <v>0</v>
      </c>
      <c r="DI113" s="103">
        <f t="shared" si="7"/>
        <v>0</v>
      </c>
      <c r="DJ113" s="103">
        <v>20859.8</v>
      </c>
      <c r="DK113" s="103">
        <v>1027144.4</v>
      </c>
      <c r="DL113" s="104">
        <v>2.030853694962461E-2</v>
      </c>
    </row>
    <row r="114" spans="1:116" s="15" customFormat="1" ht="120.2" customHeight="1" x14ac:dyDescent="0.25">
      <c r="A114" s="100" t="s">
        <v>199</v>
      </c>
      <c r="B114" s="100" t="s">
        <v>2345</v>
      </c>
      <c r="C114" s="100" t="s">
        <v>87</v>
      </c>
      <c r="D114" s="101" t="str">
        <f>"Chemistry 262"</f>
        <v>Chemistry 262</v>
      </c>
      <c r="E114" s="102" t="s">
        <v>2346</v>
      </c>
      <c r="F114" s="100">
        <v>7</v>
      </c>
      <c r="G114" s="100">
        <v>0</v>
      </c>
      <c r="H114" s="100">
        <v>0</v>
      </c>
      <c r="I114" s="100">
        <v>10</v>
      </c>
      <c r="J114" s="100">
        <v>3</v>
      </c>
      <c r="K114" s="100">
        <v>2</v>
      </c>
      <c r="L114" s="100">
        <v>1</v>
      </c>
      <c r="M114" s="100">
        <v>2</v>
      </c>
      <c r="N114" s="100">
        <v>1</v>
      </c>
      <c r="O114" s="100">
        <v>0</v>
      </c>
      <c r="P114" s="100">
        <v>2.34</v>
      </c>
      <c r="Q114" s="100">
        <v>26.03</v>
      </c>
      <c r="R114" s="100">
        <v>0</v>
      </c>
      <c r="S114" s="100">
        <v>0</v>
      </c>
      <c r="T114" s="100">
        <v>0</v>
      </c>
      <c r="U114" s="100">
        <v>1</v>
      </c>
      <c r="V114" s="100">
        <v>0</v>
      </c>
      <c r="W114" s="100">
        <v>0</v>
      </c>
      <c r="X114" s="100">
        <v>1</v>
      </c>
      <c r="Y114" s="100">
        <v>0</v>
      </c>
      <c r="Z114" s="100">
        <v>0</v>
      </c>
      <c r="AA114" s="100">
        <v>1</v>
      </c>
      <c r="AB114" s="100">
        <v>0</v>
      </c>
      <c r="AC114" s="100">
        <v>1</v>
      </c>
      <c r="AD114" s="100">
        <v>0</v>
      </c>
      <c r="AE114" s="100">
        <v>0</v>
      </c>
      <c r="AF114" s="100">
        <v>1</v>
      </c>
      <c r="AG114" s="100">
        <v>0</v>
      </c>
      <c r="AH114" s="100">
        <v>1</v>
      </c>
      <c r="AI114" s="100">
        <v>0</v>
      </c>
      <c r="AJ114" s="100">
        <v>0</v>
      </c>
      <c r="AK114" s="100">
        <v>0</v>
      </c>
      <c r="AL114" s="100">
        <v>0</v>
      </c>
      <c r="AM114" s="100">
        <v>0</v>
      </c>
      <c r="AN114" s="100">
        <v>1</v>
      </c>
      <c r="AO114" s="100">
        <v>0</v>
      </c>
      <c r="AP114" s="100">
        <v>0</v>
      </c>
      <c r="AQ114" s="100">
        <v>0</v>
      </c>
      <c r="AR114" s="100">
        <v>0</v>
      </c>
      <c r="AS114" s="100">
        <v>0</v>
      </c>
      <c r="AT114" s="100">
        <v>0</v>
      </c>
      <c r="AU114" s="100">
        <v>0</v>
      </c>
      <c r="AV114" s="100">
        <v>0</v>
      </c>
      <c r="AW114" s="100">
        <v>0</v>
      </c>
      <c r="AX114" s="100">
        <v>0</v>
      </c>
      <c r="AY114" s="100">
        <v>0</v>
      </c>
      <c r="AZ114" s="100">
        <v>0</v>
      </c>
      <c r="BA114" s="100">
        <v>0</v>
      </c>
      <c r="BB114" s="100">
        <v>0</v>
      </c>
      <c r="BC114" s="100">
        <v>0</v>
      </c>
      <c r="BD114" s="100">
        <v>0</v>
      </c>
      <c r="BE114" s="100">
        <v>0</v>
      </c>
      <c r="BF114" s="100">
        <v>0</v>
      </c>
      <c r="BG114" s="100">
        <v>0</v>
      </c>
      <c r="BH114" s="100">
        <v>0</v>
      </c>
      <c r="BI114" s="100">
        <v>0</v>
      </c>
      <c r="BJ114" s="100">
        <v>0</v>
      </c>
      <c r="BK114" s="100">
        <v>0</v>
      </c>
      <c r="BL114" s="100">
        <v>0</v>
      </c>
      <c r="BM114" s="100">
        <v>0</v>
      </c>
      <c r="BN114" s="100">
        <v>0</v>
      </c>
      <c r="BO114" s="100">
        <v>0</v>
      </c>
      <c r="BP114" s="100">
        <v>0</v>
      </c>
      <c r="BQ114" s="100">
        <v>0</v>
      </c>
      <c r="BR114" s="100">
        <v>0</v>
      </c>
      <c r="BS114" s="100">
        <v>0</v>
      </c>
      <c r="BT114" s="100">
        <v>0</v>
      </c>
      <c r="BU114" s="100">
        <v>0</v>
      </c>
      <c r="BV114" s="100">
        <v>1</v>
      </c>
      <c r="BW114" s="100">
        <v>0</v>
      </c>
      <c r="BX114" s="100">
        <v>0</v>
      </c>
      <c r="BY114" s="100">
        <v>0</v>
      </c>
      <c r="BZ114" s="100">
        <v>0</v>
      </c>
      <c r="CA114" s="100">
        <v>0</v>
      </c>
      <c r="CB114" s="100" t="s">
        <v>2090</v>
      </c>
      <c r="CC114" s="100">
        <v>0</v>
      </c>
      <c r="CD114" s="100">
        <v>0</v>
      </c>
      <c r="CE114" s="100">
        <v>0</v>
      </c>
      <c r="CF114" s="100">
        <v>0</v>
      </c>
      <c r="CG114" s="103">
        <v>4014.0639700000002</v>
      </c>
      <c r="CH114" s="103">
        <v>1.1400000000000001</v>
      </c>
      <c r="CI114" s="103">
        <v>121490.41493</v>
      </c>
      <c r="CJ114" s="103">
        <v>2.5499999999999998</v>
      </c>
      <c r="CK114" s="103">
        <f t="shared" si="4"/>
        <v>2.907</v>
      </c>
      <c r="CL114" s="103">
        <v>2510.1</v>
      </c>
      <c r="CM114" s="103">
        <v>482548.6</v>
      </c>
      <c r="CN114" s="104">
        <v>5.2017558438673325E-3</v>
      </c>
      <c r="CO114" s="103">
        <v>0</v>
      </c>
      <c r="CP114" s="103">
        <v>0</v>
      </c>
      <c r="CQ114" s="103">
        <v>0</v>
      </c>
      <c r="CR114" s="103">
        <v>0</v>
      </c>
      <c r="CS114" s="103">
        <f t="shared" si="5"/>
        <v>0</v>
      </c>
      <c r="CT114" s="103">
        <v>3914.3</v>
      </c>
      <c r="CU114" s="103">
        <v>729877.6</v>
      </c>
      <c r="CV114" s="104">
        <v>5.3629540076308687E-3</v>
      </c>
      <c r="CW114" s="103">
        <v>33538.060709999998</v>
      </c>
      <c r="CX114" s="103">
        <v>2.54</v>
      </c>
      <c r="CY114" s="103">
        <v>791880.22352</v>
      </c>
      <c r="CZ114" s="103">
        <v>11.970534069981584</v>
      </c>
      <c r="DA114" s="103">
        <f t="shared" si="6"/>
        <v>30.405156537753225</v>
      </c>
      <c r="DB114" s="103">
        <v>3101</v>
      </c>
      <c r="DC114" s="103">
        <v>319191.7</v>
      </c>
      <c r="DD114" s="104">
        <v>9.7151648993379202E-3</v>
      </c>
      <c r="DE114" s="103">
        <v>0</v>
      </c>
      <c r="DF114" s="103">
        <v>0</v>
      </c>
      <c r="DG114" s="103">
        <v>0</v>
      </c>
      <c r="DH114" s="103">
        <v>0</v>
      </c>
      <c r="DI114" s="103">
        <f t="shared" si="7"/>
        <v>0</v>
      </c>
      <c r="DJ114" s="103">
        <v>2858.9</v>
      </c>
      <c r="DK114" s="103">
        <v>654841.19999999995</v>
      </c>
      <c r="DL114" s="104">
        <v>4.3657912788627228E-3</v>
      </c>
    </row>
    <row r="115" spans="1:116" s="15" customFormat="1" ht="120.2" customHeight="1" x14ac:dyDescent="0.25">
      <c r="A115" s="100" t="s">
        <v>200</v>
      </c>
      <c r="B115" s="100" t="s">
        <v>2347</v>
      </c>
      <c r="C115" s="100" t="s">
        <v>87</v>
      </c>
      <c r="D115" s="101" t="str">
        <f>"Chemistry 275"</f>
        <v>Chemistry 275</v>
      </c>
      <c r="E115" s="102" t="s">
        <v>2348</v>
      </c>
      <c r="F115" s="100">
        <v>7</v>
      </c>
      <c r="G115" s="100">
        <v>0</v>
      </c>
      <c r="H115" s="100">
        <v>0</v>
      </c>
      <c r="I115" s="100">
        <v>10</v>
      </c>
      <c r="J115" s="100">
        <v>3</v>
      </c>
      <c r="K115" s="100">
        <v>2</v>
      </c>
      <c r="L115" s="100">
        <v>1</v>
      </c>
      <c r="M115" s="100">
        <v>2</v>
      </c>
      <c r="N115" s="100">
        <v>1</v>
      </c>
      <c r="O115" s="100">
        <v>0</v>
      </c>
      <c r="P115" s="100">
        <v>2.34</v>
      </c>
      <c r="Q115" s="100">
        <v>26.03</v>
      </c>
      <c r="R115" s="100">
        <v>0</v>
      </c>
      <c r="S115" s="100">
        <v>0</v>
      </c>
      <c r="T115" s="100">
        <v>0</v>
      </c>
      <c r="U115" s="100">
        <v>1</v>
      </c>
      <c r="V115" s="100">
        <v>0</v>
      </c>
      <c r="W115" s="100">
        <v>0</v>
      </c>
      <c r="X115" s="100">
        <v>1</v>
      </c>
      <c r="Y115" s="100">
        <v>0</v>
      </c>
      <c r="Z115" s="100">
        <v>0</v>
      </c>
      <c r="AA115" s="100">
        <v>1</v>
      </c>
      <c r="AB115" s="100">
        <v>0</v>
      </c>
      <c r="AC115" s="100">
        <v>1</v>
      </c>
      <c r="AD115" s="100">
        <v>0</v>
      </c>
      <c r="AE115" s="100">
        <v>0</v>
      </c>
      <c r="AF115" s="100">
        <v>1</v>
      </c>
      <c r="AG115" s="100">
        <v>0</v>
      </c>
      <c r="AH115" s="100">
        <v>1</v>
      </c>
      <c r="AI115" s="100">
        <v>0</v>
      </c>
      <c r="AJ115" s="100">
        <v>0</v>
      </c>
      <c r="AK115" s="100">
        <v>0</v>
      </c>
      <c r="AL115" s="100">
        <v>0</v>
      </c>
      <c r="AM115" s="100">
        <v>0</v>
      </c>
      <c r="AN115" s="100">
        <v>1</v>
      </c>
      <c r="AO115" s="100">
        <v>0</v>
      </c>
      <c r="AP115" s="100">
        <v>0</v>
      </c>
      <c r="AQ115" s="100">
        <v>0</v>
      </c>
      <c r="AR115" s="100">
        <v>0</v>
      </c>
      <c r="AS115" s="100">
        <v>0</v>
      </c>
      <c r="AT115" s="100">
        <v>0</v>
      </c>
      <c r="AU115" s="100">
        <v>0</v>
      </c>
      <c r="AV115" s="100">
        <v>0</v>
      </c>
      <c r="AW115" s="100">
        <v>0</v>
      </c>
      <c r="AX115" s="100">
        <v>0</v>
      </c>
      <c r="AY115" s="100">
        <v>0</v>
      </c>
      <c r="AZ115" s="100">
        <v>0</v>
      </c>
      <c r="BA115" s="100">
        <v>0</v>
      </c>
      <c r="BB115" s="100">
        <v>0</v>
      </c>
      <c r="BC115" s="100">
        <v>0</v>
      </c>
      <c r="BD115" s="100">
        <v>0</v>
      </c>
      <c r="BE115" s="100">
        <v>0</v>
      </c>
      <c r="BF115" s="100">
        <v>0</v>
      </c>
      <c r="BG115" s="100">
        <v>0</v>
      </c>
      <c r="BH115" s="100">
        <v>0</v>
      </c>
      <c r="BI115" s="100">
        <v>0</v>
      </c>
      <c r="BJ115" s="100">
        <v>0</v>
      </c>
      <c r="BK115" s="100">
        <v>0</v>
      </c>
      <c r="BL115" s="100">
        <v>0</v>
      </c>
      <c r="BM115" s="100">
        <v>0</v>
      </c>
      <c r="BN115" s="100">
        <v>0</v>
      </c>
      <c r="BO115" s="100">
        <v>0</v>
      </c>
      <c r="BP115" s="100">
        <v>0</v>
      </c>
      <c r="BQ115" s="100">
        <v>0</v>
      </c>
      <c r="BR115" s="100">
        <v>0</v>
      </c>
      <c r="BS115" s="100">
        <v>0</v>
      </c>
      <c r="BT115" s="100">
        <v>0</v>
      </c>
      <c r="BU115" s="100">
        <v>0</v>
      </c>
      <c r="BV115" s="100">
        <v>1</v>
      </c>
      <c r="BW115" s="100">
        <v>0</v>
      </c>
      <c r="BX115" s="100">
        <v>0</v>
      </c>
      <c r="BY115" s="100">
        <v>0</v>
      </c>
      <c r="BZ115" s="100">
        <v>0</v>
      </c>
      <c r="CA115" s="100">
        <v>0</v>
      </c>
      <c r="CB115" s="100" t="s">
        <v>2090</v>
      </c>
      <c r="CC115" s="100">
        <v>0</v>
      </c>
      <c r="CD115" s="100">
        <v>0</v>
      </c>
      <c r="CE115" s="100">
        <v>0</v>
      </c>
      <c r="CF115" s="100">
        <v>0</v>
      </c>
      <c r="CG115" s="103">
        <v>31246.042979999998</v>
      </c>
      <c r="CH115" s="103">
        <v>3.52</v>
      </c>
      <c r="CI115" s="103">
        <v>1100307.48171</v>
      </c>
      <c r="CJ115" s="103">
        <v>15.21</v>
      </c>
      <c r="CK115" s="103">
        <f t="shared" si="4"/>
        <v>53.539200000000001</v>
      </c>
      <c r="CL115" s="103">
        <v>9342</v>
      </c>
      <c r="CM115" s="103">
        <v>653952.80000000005</v>
      </c>
      <c r="CN115" s="104">
        <v>1.4285434667456121E-2</v>
      </c>
      <c r="CO115" s="103">
        <v>0</v>
      </c>
      <c r="CP115" s="103">
        <v>0</v>
      </c>
      <c r="CQ115" s="103">
        <v>35636.824919999999</v>
      </c>
      <c r="CR115" s="103">
        <v>1.23</v>
      </c>
      <c r="CS115" s="103">
        <f t="shared" si="5"/>
        <v>0</v>
      </c>
      <c r="CT115" s="103">
        <v>2772.8</v>
      </c>
      <c r="CU115" s="103">
        <v>750420.1</v>
      </c>
      <c r="CV115" s="104">
        <v>3.694996975694015E-3</v>
      </c>
      <c r="CW115" s="103">
        <v>0</v>
      </c>
      <c r="CX115" s="103">
        <v>0</v>
      </c>
      <c r="CY115" s="103">
        <v>106030.60629</v>
      </c>
      <c r="CZ115" s="103">
        <v>1.0515773660490737</v>
      </c>
      <c r="DA115" s="103">
        <f t="shared" si="6"/>
        <v>0</v>
      </c>
      <c r="DB115" s="103">
        <v>3224</v>
      </c>
      <c r="DC115" s="103">
        <v>722152.8</v>
      </c>
      <c r="DD115" s="104">
        <v>4.4644291346651287E-3</v>
      </c>
      <c r="DE115" s="103">
        <v>0</v>
      </c>
      <c r="DF115" s="103">
        <v>0</v>
      </c>
      <c r="DG115" s="103">
        <v>71983.571049999999</v>
      </c>
      <c r="DH115" s="103">
        <v>1.22</v>
      </c>
      <c r="DI115" s="103">
        <f t="shared" si="7"/>
        <v>0</v>
      </c>
      <c r="DJ115" s="103">
        <v>4676.1000000000004</v>
      </c>
      <c r="DK115" s="103">
        <v>819981</v>
      </c>
      <c r="DL115" s="104">
        <v>5.702693111181845E-3</v>
      </c>
    </row>
    <row r="116" spans="1:116" s="15" customFormat="1" ht="120.2" customHeight="1" x14ac:dyDescent="0.25">
      <c r="A116" s="100" t="s">
        <v>201</v>
      </c>
      <c r="B116" s="100" t="s">
        <v>2349</v>
      </c>
      <c r="C116" s="100" t="s">
        <v>87</v>
      </c>
      <c r="D116" s="101" t="str">
        <f>"Chemistry 218"</f>
        <v>Chemistry 218</v>
      </c>
      <c r="E116" s="102" t="s">
        <v>2350</v>
      </c>
      <c r="F116" s="100">
        <v>6</v>
      </c>
      <c r="G116" s="100">
        <v>0</v>
      </c>
      <c r="H116" s="100">
        <v>0</v>
      </c>
      <c r="I116" s="100">
        <v>10</v>
      </c>
      <c r="J116" s="100">
        <v>4</v>
      </c>
      <c r="K116" s="100">
        <v>3</v>
      </c>
      <c r="L116" s="100">
        <v>3</v>
      </c>
      <c r="M116" s="100">
        <v>2</v>
      </c>
      <c r="N116" s="100">
        <v>2</v>
      </c>
      <c r="O116" s="100">
        <v>1</v>
      </c>
      <c r="P116" s="100">
        <v>2.27</v>
      </c>
      <c r="Q116" s="100">
        <v>41.57</v>
      </c>
      <c r="R116" s="100">
        <v>0</v>
      </c>
      <c r="S116" s="100">
        <v>0</v>
      </c>
      <c r="T116" s="100">
        <v>0</v>
      </c>
      <c r="U116" s="100">
        <v>1</v>
      </c>
      <c r="V116" s="100">
        <v>0</v>
      </c>
      <c r="W116" s="100">
        <v>1</v>
      </c>
      <c r="X116" s="100">
        <v>0</v>
      </c>
      <c r="Y116" s="100">
        <v>0</v>
      </c>
      <c r="Z116" s="100">
        <v>1</v>
      </c>
      <c r="AA116" s="100">
        <v>0</v>
      </c>
      <c r="AB116" s="100">
        <v>0</v>
      </c>
      <c r="AC116" s="100">
        <v>1</v>
      </c>
      <c r="AD116" s="100">
        <v>0</v>
      </c>
      <c r="AE116" s="100">
        <v>0</v>
      </c>
      <c r="AF116" s="100">
        <v>1</v>
      </c>
      <c r="AG116" s="100">
        <v>0</v>
      </c>
      <c r="AH116" s="100">
        <v>0</v>
      </c>
      <c r="AI116" s="100">
        <v>1</v>
      </c>
      <c r="AJ116" s="100">
        <v>0</v>
      </c>
      <c r="AK116" s="100">
        <v>0</v>
      </c>
      <c r="AL116" s="100">
        <v>0</v>
      </c>
      <c r="AM116" s="100">
        <v>0</v>
      </c>
      <c r="AN116" s="100">
        <v>1</v>
      </c>
      <c r="AO116" s="100">
        <v>0</v>
      </c>
      <c r="AP116" s="100">
        <v>0</v>
      </c>
      <c r="AQ116" s="100">
        <v>0</v>
      </c>
      <c r="AR116" s="100">
        <v>0</v>
      </c>
      <c r="AS116" s="100">
        <v>0</v>
      </c>
      <c r="AT116" s="100">
        <v>0</v>
      </c>
      <c r="AU116" s="100">
        <v>0</v>
      </c>
      <c r="AV116" s="100">
        <v>0</v>
      </c>
      <c r="AW116" s="100">
        <v>0</v>
      </c>
      <c r="AX116" s="100">
        <v>0</v>
      </c>
      <c r="AY116" s="100">
        <v>0</v>
      </c>
      <c r="AZ116" s="100">
        <v>0</v>
      </c>
      <c r="BA116" s="100">
        <v>0</v>
      </c>
      <c r="BB116" s="100">
        <v>0</v>
      </c>
      <c r="BC116" s="100">
        <v>0</v>
      </c>
      <c r="BD116" s="100">
        <v>0</v>
      </c>
      <c r="BE116" s="100">
        <v>0</v>
      </c>
      <c r="BF116" s="100">
        <v>0</v>
      </c>
      <c r="BG116" s="100">
        <v>0</v>
      </c>
      <c r="BH116" s="100">
        <v>0</v>
      </c>
      <c r="BI116" s="100">
        <v>0</v>
      </c>
      <c r="BJ116" s="100">
        <v>0</v>
      </c>
      <c r="BK116" s="100">
        <v>0</v>
      </c>
      <c r="BL116" s="100">
        <v>0</v>
      </c>
      <c r="BM116" s="100">
        <v>0</v>
      </c>
      <c r="BN116" s="100">
        <v>0</v>
      </c>
      <c r="BO116" s="100">
        <v>0</v>
      </c>
      <c r="BP116" s="100">
        <v>0</v>
      </c>
      <c r="BQ116" s="100">
        <v>0</v>
      </c>
      <c r="BR116" s="100">
        <v>1</v>
      </c>
      <c r="BS116" s="100">
        <v>0</v>
      </c>
      <c r="BT116" s="100">
        <v>1</v>
      </c>
      <c r="BU116" s="100">
        <v>0</v>
      </c>
      <c r="BV116" s="100">
        <v>0</v>
      </c>
      <c r="BW116" s="100">
        <v>0</v>
      </c>
      <c r="BX116" s="100">
        <v>0</v>
      </c>
      <c r="BY116" s="100">
        <v>0</v>
      </c>
      <c r="BZ116" s="100">
        <v>0</v>
      </c>
      <c r="CA116" s="100">
        <v>0</v>
      </c>
      <c r="CB116" s="100" t="s">
        <v>2090</v>
      </c>
      <c r="CC116" s="100">
        <v>0</v>
      </c>
      <c r="CD116" s="100">
        <v>0</v>
      </c>
      <c r="CE116" s="100">
        <v>0</v>
      </c>
      <c r="CF116" s="100">
        <v>0</v>
      </c>
      <c r="CG116" s="103">
        <v>0</v>
      </c>
      <c r="CH116" s="103">
        <v>0</v>
      </c>
      <c r="CI116" s="103">
        <v>10080.686830000001</v>
      </c>
      <c r="CJ116" s="103">
        <v>1.62</v>
      </c>
      <c r="CK116" s="103">
        <f t="shared" si="4"/>
        <v>0</v>
      </c>
      <c r="CL116" s="103">
        <v>919.6</v>
      </c>
      <c r="CM116" s="103">
        <v>145324.6</v>
      </c>
      <c r="CN116" s="104">
        <v>6.3279031905128244E-3</v>
      </c>
      <c r="CO116" s="103">
        <v>0</v>
      </c>
      <c r="CP116" s="103">
        <v>0</v>
      </c>
      <c r="CQ116" s="103">
        <v>0</v>
      </c>
      <c r="CR116" s="103">
        <v>0</v>
      </c>
      <c r="CS116" s="103">
        <f t="shared" si="5"/>
        <v>0</v>
      </c>
      <c r="CT116" s="103">
        <v>1753.5</v>
      </c>
      <c r="CU116" s="103">
        <v>602320.30000000005</v>
      </c>
      <c r="CV116" s="104">
        <v>2.9112417429729663E-3</v>
      </c>
      <c r="CW116" s="103">
        <v>0</v>
      </c>
      <c r="CX116" s="103">
        <v>0</v>
      </c>
      <c r="CY116" s="103">
        <v>26438.148010000001</v>
      </c>
      <c r="CZ116" s="103">
        <v>0</v>
      </c>
      <c r="DA116" s="103">
        <f t="shared" si="6"/>
        <v>0</v>
      </c>
      <c r="DB116" s="103">
        <v>5757.2</v>
      </c>
      <c r="DC116" s="103">
        <v>810866.2</v>
      </c>
      <c r="DD116" s="104">
        <v>7.1000616377893174E-3</v>
      </c>
      <c r="DE116" s="103">
        <v>0</v>
      </c>
      <c r="DF116" s="103">
        <v>0</v>
      </c>
      <c r="DG116" s="103">
        <v>0</v>
      </c>
      <c r="DH116" s="103">
        <v>0</v>
      </c>
      <c r="DI116" s="103">
        <f t="shared" si="7"/>
        <v>0</v>
      </c>
      <c r="DJ116" s="103">
        <v>7409</v>
      </c>
      <c r="DK116" s="103">
        <v>769085.5</v>
      </c>
      <c r="DL116" s="104">
        <v>9.6335192901179385E-3</v>
      </c>
    </row>
    <row r="117" spans="1:116" s="15" customFormat="1" ht="120.2" customHeight="1" x14ac:dyDescent="0.25">
      <c r="A117" s="100" t="s">
        <v>202</v>
      </c>
      <c r="B117" s="100" t="s">
        <v>2351</v>
      </c>
      <c r="C117" s="100" t="s">
        <v>87</v>
      </c>
      <c r="D117" s="101" t="str">
        <f>"Chemistry 273"</f>
        <v>Chemistry 273</v>
      </c>
      <c r="E117" s="102" t="s">
        <v>2352</v>
      </c>
      <c r="F117" s="100">
        <v>6</v>
      </c>
      <c r="G117" s="100">
        <v>0</v>
      </c>
      <c r="H117" s="100">
        <v>0</v>
      </c>
      <c r="I117" s="100">
        <v>10</v>
      </c>
      <c r="J117" s="100">
        <v>4</v>
      </c>
      <c r="K117" s="100">
        <v>3</v>
      </c>
      <c r="L117" s="100">
        <v>2</v>
      </c>
      <c r="M117" s="100">
        <v>2</v>
      </c>
      <c r="N117" s="100">
        <v>2</v>
      </c>
      <c r="O117" s="100">
        <v>0</v>
      </c>
      <c r="P117" s="100">
        <v>2.92</v>
      </c>
      <c r="Q117" s="100">
        <v>38.92</v>
      </c>
      <c r="R117" s="100">
        <v>0</v>
      </c>
      <c r="S117" s="100">
        <v>0</v>
      </c>
      <c r="T117" s="100">
        <v>0</v>
      </c>
      <c r="U117" s="100">
        <v>1</v>
      </c>
      <c r="V117" s="100">
        <v>0</v>
      </c>
      <c r="W117" s="100">
        <v>1</v>
      </c>
      <c r="X117" s="100">
        <v>0</v>
      </c>
      <c r="Y117" s="100">
        <v>0</v>
      </c>
      <c r="Z117" s="100">
        <v>0</v>
      </c>
      <c r="AA117" s="100">
        <v>1</v>
      </c>
      <c r="AB117" s="100">
        <v>0</v>
      </c>
      <c r="AC117" s="100">
        <v>1</v>
      </c>
      <c r="AD117" s="100">
        <v>0</v>
      </c>
      <c r="AE117" s="100">
        <v>0</v>
      </c>
      <c r="AF117" s="100">
        <v>1</v>
      </c>
      <c r="AG117" s="100">
        <v>0</v>
      </c>
      <c r="AH117" s="100">
        <v>0</v>
      </c>
      <c r="AI117" s="100">
        <v>1</v>
      </c>
      <c r="AJ117" s="100">
        <v>0</v>
      </c>
      <c r="AK117" s="100">
        <v>0</v>
      </c>
      <c r="AL117" s="100">
        <v>0</v>
      </c>
      <c r="AM117" s="100">
        <v>0</v>
      </c>
      <c r="AN117" s="100">
        <v>1</v>
      </c>
      <c r="AO117" s="100">
        <v>0</v>
      </c>
      <c r="AP117" s="100">
        <v>0</v>
      </c>
      <c r="AQ117" s="100">
        <v>0</v>
      </c>
      <c r="AR117" s="100">
        <v>0</v>
      </c>
      <c r="AS117" s="100">
        <v>0</v>
      </c>
      <c r="AT117" s="100">
        <v>0</v>
      </c>
      <c r="AU117" s="100">
        <v>0</v>
      </c>
      <c r="AV117" s="100">
        <v>0</v>
      </c>
      <c r="AW117" s="100">
        <v>0</v>
      </c>
      <c r="AX117" s="100">
        <v>0</v>
      </c>
      <c r="AY117" s="100">
        <v>0</v>
      </c>
      <c r="AZ117" s="100">
        <v>0</v>
      </c>
      <c r="BA117" s="100">
        <v>0</v>
      </c>
      <c r="BB117" s="100">
        <v>0</v>
      </c>
      <c r="BC117" s="100">
        <v>0</v>
      </c>
      <c r="BD117" s="100">
        <v>0</v>
      </c>
      <c r="BE117" s="100">
        <v>0</v>
      </c>
      <c r="BF117" s="100">
        <v>0</v>
      </c>
      <c r="BG117" s="100">
        <v>0</v>
      </c>
      <c r="BH117" s="100">
        <v>0</v>
      </c>
      <c r="BI117" s="100">
        <v>0</v>
      </c>
      <c r="BJ117" s="100">
        <v>0</v>
      </c>
      <c r="BK117" s="100">
        <v>0</v>
      </c>
      <c r="BL117" s="100">
        <v>0</v>
      </c>
      <c r="BM117" s="100">
        <v>0</v>
      </c>
      <c r="BN117" s="100">
        <v>0</v>
      </c>
      <c r="BO117" s="100">
        <v>0</v>
      </c>
      <c r="BP117" s="100">
        <v>0</v>
      </c>
      <c r="BQ117" s="100">
        <v>1</v>
      </c>
      <c r="BR117" s="100">
        <v>0</v>
      </c>
      <c r="BS117" s="100">
        <v>0</v>
      </c>
      <c r="BT117" s="100">
        <v>0</v>
      </c>
      <c r="BU117" s="100">
        <v>1</v>
      </c>
      <c r="BV117" s="100">
        <v>0</v>
      </c>
      <c r="BW117" s="100">
        <v>0</v>
      </c>
      <c r="BX117" s="100">
        <v>0</v>
      </c>
      <c r="BY117" s="100">
        <v>0</v>
      </c>
      <c r="BZ117" s="100">
        <v>0</v>
      </c>
      <c r="CA117" s="100">
        <v>0</v>
      </c>
      <c r="CB117" s="100" t="s">
        <v>2090</v>
      </c>
      <c r="CC117" s="100">
        <v>0</v>
      </c>
      <c r="CD117" s="100">
        <v>0</v>
      </c>
      <c r="CE117" s="100">
        <v>0</v>
      </c>
      <c r="CF117" s="100">
        <v>0</v>
      </c>
      <c r="CG117" s="103">
        <v>462884.93904000003</v>
      </c>
      <c r="CH117" s="103">
        <v>45.22</v>
      </c>
      <c r="CI117" s="103">
        <v>1147503.8658</v>
      </c>
      <c r="CJ117" s="103">
        <v>24.72</v>
      </c>
      <c r="CK117" s="103">
        <f t="shared" si="4"/>
        <v>1117.8383999999999</v>
      </c>
      <c r="CL117" s="103">
        <v>10966</v>
      </c>
      <c r="CM117" s="103">
        <v>112814</v>
      </c>
      <c r="CN117" s="104">
        <v>9.7204247699753582E-2</v>
      </c>
      <c r="CO117" s="103">
        <v>156898.89734</v>
      </c>
      <c r="CP117" s="103">
        <v>25.35</v>
      </c>
      <c r="CQ117" s="103">
        <v>29445.086060000001</v>
      </c>
      <c r="CR117" s="103">
        <v>0</v>
      </c>
      <c r="CS117" s="103">
        <f t="shared" si="5"/>
        <v>0</v>
      </c>
      <c r="CT117" s="103">
        <v>11800.2</v>
      </c>
      <c r="CU117" s="103">
        <v>429884.1</v>
      </c>
      <c r="CV117" s="104">
        <v>2.7449724239626452E-2</v>
      </c>
      <c r="CW117" s="103">
        <v>499814.87570999999</v>
      </c>
      <c r="CX117" s="103">
        <v>68.77</v>
      </c>
      <c r="CY117" s="103">
        <v>821471.13919999998</v>
      </c>
      <c r="CZ117" s="103">
        <v>21.341845036925772</v>
      </c>
      <c r="DA117" s="103">
        <f t="shared" si="6"/>
        <v>1467.6786831893853</v>
      </c>
      <c r="DB117" s="103">
        <v>52130</v>
      </c>
      <c r="DC117" s="103">
        <v>662406.9</v>
      </c>
      <c r="DD117" s="104">
        <v>7.8697851728295701E-2</v>
      </c>
      <c r="DE117" s="103">
        <v>59220.57303</v>
      </c>
      <c r="DF117" s="103">
        <v>8.92</v>
      </c>
      <c r="DG117" s="103">
        <v>23343.98156</v>
      </c>
      <c r="DH117" s="103">
        <v>0.45</v>
      </c>
      <c r="DI117" s="103">
        <f t="shared" si="7"/>
        <v>4.0140000000000002</v>
      </c>
      <c r="DJ117" s="103">
        <v>6588.1</v>
      </c>
      <c r="DK117" s="103">
        <v>528022.5</v>
      </c>
      <c r="DL117" s="104">
        <v>1.247693043383568E-2</v>
      </c>
    </row>
    <row r="118" spans="1:116" s="15" customFormat="1" ht="120.2" customHeight="1" x14ac:dyDescent="0.25">
      <c r="A118" s="100" t="s">
        <v>203</v>
      </c>
      <c r="B118" s="100" t="s">
        <v>2353</v>
      </c>
      <c r="C118" s="100" t="s">
        <v>87</v>
      </c>
      <c r="D118" s="101" t="str">
        <f>"Chemistry 236"</f>
        <v>Chemistry 236</v>
      </c>
      <c r="E118" s="102" t="s">
        <v>2354</v>
      </c>
      <c r="F118" s="100">
        <v>8</v>
      </c>
      <c r="G118" s="100">
        <v>2</v>
      </c>
      <c r="H118" s="100">
        <v>0.25</v>
      </c>
      <c r="I118" s="100">
        <v>10</v>
      </c>
      <c r="J118" s="100">
        <v>2</v>
      </c>
      <c r="K118" s="100">
        <v>1</v>
      </c>
      <c r="L118" s="100">
        <v>0</v>
      </c>
      <c r="M118" s="100">
        <v>1</v>
      </c>
      <c r="N118" s="100">
        <v>1</v>
      </c>
      <c r="O118" s="100">
        <v>0</v>
      </c>
      <c r="P118" s="100">
        <v>3.2</v>
      </c>
      <c r="Q118" s="100">
        <v>9.23</v>
      </c>
      <c r="R118" s="100">
        <v>0</v>
      </c>
      <c r="S118" s="100">
        <v>0</v>
      </c>
      <c r="T118" s="100">
        <v>0</v>
      </c>
      <c r="U118" s="100">
        <v>1</v>
      </c>
      <c r="V118" s="100">
        <v>0</v>
      </c>
      <c r="W118" s="100">
        <v>0</v>
      </c>
      <c r="X118" s="100">
        <v>1</v>
      </c>
      <c r="Y118" s="100">
        <v>0</v>
      </c>
      <c r="Z118" s="100">
        <v>0</v>
      </c>
      <c r="AA118" s="100">
        <v>1</v>
      </c>
      <c r="AB118" s="100">
        <v>0</v>
      </c>
      <c r="AC118" s="100">
        <v>1</v>
      </c>
      <c r="AD118" s="100">
        <v>0</v>
      </c>
      <c r="AE118" s="100">
        <v>0</v>
      </c>
      <c r="AF118" s="100">
        <v>0</v>
      </c>
      <c r="AG118" s="100">
        <v>1</v>
      </c>
      <c r="AH118" s="100">
        <v>1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  <c r="AY118" s="100">
        <v>0</v>
      </c>
      <c r="AZ118" s="100">
        <v>0</v>
      </c>
      <c r="BA118" s="100">
        <v>0</v>
      </c>
      <c r="BB118" s="100">
        <v>0</v>
      </c>
      <c r="BC118" s="100">
        <v>0</v>
      </c>
      <c r="BD118" s="100">
        <v>0</v>
      </c>
      <c r="BE118" s="100">
        <v>0</v>
      </c>
      <c r="BF118" s="100">
        <v>0</v>
      </c>
      <c r="BG118" s="100">
        <v>0</v>
      </c>
      <c r="BH118" s="100">
        <v>0</v>
      </c>
      <c r="BI118" s="100">
        <v>0</v>
      </c>
      <c r="BJ118" s="100">
        <v>0</v>
      </c>
      <c r="BK118" s="100">
        <v>0</v>
      </c>
      <c r="BL118" s="100">
        <v>0</v>
      </c>
      <c r="BM118" s="100">
        <v>0</v>
      </c>
      <c r="BN118" s="100">
        <v>0</v>
      </c>
      <c r="BO118" s="100">
        <v>0</v>
      </c>
      <c r="BP118" s="100">
        <v>0</v>
      </c>
      <c r="BQ118" s="100">
        <v>0</v>
      </c>
      <c r="BR118" s="100">
        <v>0</v>
      </c>
      <c r="BS118" s="100">
        <v>0</v>
      </c>
      <c r="BT118" s="100">
        <v>0</v>
      </c>
      <c r="BU118" s="100">
        <v>0</v>
      </c>
      <c r="BV118" s="100">
        <v>0</v>
      </c>
      <c r="BW118" s="100">
        <v>0</v>
      </c>
      <c r="BX118" s="100">
        <v>0</v>
      </c>
      <c r="BY118" s="100">
        <v>0</v>
      </c>
      <c r="BZ118" s="100">
        <v>0</v>
      </c>
      <c r="CA118" s="100">
        <v>0</v>
      </c>
      <c r="CB118" s="100" t="s">
        <v>2090</v>
      </c>
      <c r="CC118" s="100">
        <v>0</v>
      </c>
      <c r="CD118" s="100">
        <v>0</v>
      </c>
      <c r="CE118" s="100">
        <v>0</v>
      </c>
      <c r="CF118" s="100">
        <v>0</v>
      </c>
      <c r="CG118" s="103">
        <v>36448.267760000002</v>
      </c>
      <c r="CH118" s="103">
        <v>9.48</v>
      </c>
      <c r="CI118" s="103">
        <v>2867782.3347999998</v>
      </c>
      <c r="CJ118" s="103">
        <v>38.36</v>
      </c>
      <c r="CK118" s="103">
        <f t="shared" si="4"/>
        <v>363.65280000000001</v>
      </c>
      <c r="CL118" s="103">
        <v>9306.4</v>
      </c>
      <c r="CM118" s="103">
        <v>96997.1</v>
      </c>
      <c r="CN118" s="104">
        <v>9.5945136504081041E-2</v>
      </c>
      <c r="CO118" s="103">
        <v>0</v>
      </c>
      <c r="CP118" s="103">
        <v>0</v>
      </c>
      <c r="CQ118" s="103">
        <v>4518.4647999999997</v>
      </c>
      <c r="CR118" s="103">
        <v>0</v>
      </c>
      <c r="CS118" s="103">
        <f t="shared" si="5"/>
        <v>0</v>
      </c>
      <c r="CT118" s="103">
        <v>16416.400000000001</v>
      </c>
      <c r="CU118" s="103">
        <v>706730.2</v>
      </c>
      <c r="CV118" s="104">
        <v>2.3228666328395195E-2</v>
      </c>
      <c r="CW118" s="103">
        <v>148337.08012</v>
      </c>
      <c r="CX118" s="103">
        <v>21.28</v>
      </c>
      <c r="CY118" s="103">
        <v>3933339.8994900002</v>
      </c>
      <c r="CZ118" s="103">
        <v>36.263235796424915</v>
      </c>
      <c r="DA118" s="103">
        <f t="shared" si="6"/>
        <v>771.68165774792226</v>
      </c>
      <c r="DB118" s="103">
        <v>252129.2</v>
      </c>
      <c r="DC118" s="103">
        <v>758967.4</v>
      </c>
      <c r="DD118" s="104">
        <v>0.33220030267439682</v>
      </c>
      <c r="DE118" s="103">
        <v>0</v>
      </c>
      <c r="DF118" s="103">
        <v>0</v>
      </c>
      <c r="DG118" s="103">
        <v>49286.921199999997</v>
      </c>
      <c r="DH118" s="103">
        <v>1</v>
      </c>
      <c r="DI118" s="103">
        <f t="shared" si="7"/>
        <v>0</v>
      </c>
      <c r="DJ118" s="103">
        <v>7211.9</v>
      </c>
      <c r="DK118" s="103">
        <v>604994.1</v>
      </c>
      <c r="DL118" s="104">
        <v>1.1920612118366113E-2</v>
      </c>
    </row>
    <row r="119" spans="1:116" s="15" customFormat="1" ht="192.2" customHeight="1" x14ac:dyDescent="0.25">
      <c r="A119" s="100" t="s">
        <v>204</v>
      </c>
      <c r="B119" s="100" t="s">
        <v>2355</v>
      </c>
      <c r="C119" s="100" t="s">
        <v>87</v>
      </c>
      <c r="D119" s="101" t="str">
        <f>"Chemistry 355"</f>
        <v>Chemistry 355</v>
      </c>
      <c r="E119" s="102" t="s">
        <v>2356</v>
      </c>
      <c r="F119" s="100">
        <v>9</v>
      </c>
      <c r="G119" s="100">
        <v>0</v>
      </c>
      <c r="H119" s="100">
        <v>0</v>
      </c>
      <c r="I119" s="100">
        <v>11</v>
      </c>
      <c r="J119" s="100">
        <v>2</v>
      </c>
      <c r="K119" s="100">
        <v>1</v>
      </c>
      <c r="L119" s="100">
        <v>1</v>
      </c>
      <c r="M119" s="100">
        <v>2</v>
      </c>
      <c r="N119" s="100">
        <v>1</v>
      </c>
      <c r="O119" s="100">
        <v>0</v>
      </c>
      <c r="P119" s="100">
        <v>2.75</v>
      </c>
      <c r="Q119" s="100">
        <v>12.89</v>
      </c>
      <c r="R119" s="100">
        <v>0</v>
      </c>
      <c r="S119" s="100">
        <v>0</v>
      </c>
      <c r="T119" s="100">
        <v>1</v>
      </c>
      <c r="U119" s="100">
        <v>0</v>
      </c>
      <c r="V119" s="100">
        <v>0</v>
      </c>
      <c r="W119" s="100">
        <v>0</v>
      </c>
      <c r="X119" s="100">
        <v>1</v>
      </c>
      <c r="Y119" s="100">
        <v>0</v>
      </c>
      <c r="Z119" s="100">
        <v>0</v>
      </c>
      <c r="AA119" s="100">
        <v>1</v>
      </c>
      <c r="AB119" s="100">
        <v>0</v>
      </c>
      <c r="AC119" s="100">
        <v>1</v>
      </c>
      <c r="AD119" s="100">
        <v>0</v>
      </c>
      <c r="AE119" s="100">
        <v>0</v>
      </c>
      <c r="AF119" s="100">
        <v>1</v>
      </c>
      <c r="AG119" s="100">
        <v>0</v>
      </c>
      <c r="AH119" s="100">
        <v>1</v>
      </c>
      <c r="AI119" s="100">
        <v>0</v>
      </c>
      <c r="AJ119" s="100"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v>1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0</v>
      </c>
      <c r="AX119" s="100">
        <v>0</v>
      </c>
      <c r="AY119" s="100">
        <v>0</v>
      </c>
      <c r="AZ119" s="100">
        <v>0</v>
      </c>
      <c r="BA119" s="100">
        <v>0</v>
      </c>
      <c r="BB119" s="100">
        <v>0</v>
      </c>
      <c r="BC119" s="100">
        <v>0</v>
      </c>
      <c r="BD119" s="100">
        <v>0</v>
      </c>
      <c r="BE119" s="100">
        <v>0</v>
      </c>
      <c r="BF119" s="100">
        <v>0</v>
      </c>
      <c r="BG119" s="100">
        <v>0</v>
      </c>
      <c r="BH119" s="100">
        <v>0</v>
      </c>
      <c r="BI119" s="100">
        <v>0</v>
      </c>
      <c r="BJ119" s="100">
        <v>0</v>
      </c>
      <c r="BK119" s="100">
        <v>0</v>
      </c>
      <c r="BL119" s="100">
        <v>0</v>
      </c>
      <c r="BM119" s="100">
        <v>0</v>
      </c>
      <c r="BN119" s="100">
        <v>0</v>
      </c>
      <c r="BO119" s="100">
        <v>0</v>
      </c>
      <c r="BP119" s="100">
        <v>1</v>
      </c>
      <c r="BQ119" s="100">
        <v>0</v>
      </c>
      <c r="BR119" s="100">
        <v>0</v>
      </c>
      <c r="BS119" s="100">
        <v>0</v>
      </c>
      <c r="BT119" s="100">
        <v>0</v>
      </c>
      <c r="BU119" s="100">
        <v>0</v>
      </c>
      <c r="BV119" s="100">
        <v>0</v>
      </c>
      <c r="BW119" s="100">
        <v>0</v>
      </c>
      <c r="BX119" s="100">
        <v>0</v>
      </c>
      <c r="BY119" s="100">
        <v>0</v>
      </c>
      <c r="BZ119" s="100">
        <v>0</v>
      </c>
      <c r="CA119" s="100">
        <v>0</v>
      </c>
      <c r="CB119" s="100" t="s">
        <v>2090</v>
      </c>
      <c r="CC119" s="100">
        <v>0</v>
      </c>
      <c r="CD119" s="100">
        <v>0</v>
      </c>
      <c r="CE119" s="100">
        <v>0</v>
      </c>
      <c r="CF119" s="100">
        <v>0</v>
      </c>
      <c r="CG119" s="103">
        <v>1189444.32394</v>
      </c>
      <c r="CH119" s="103">
        <v>47.04</v>
      </c>
      <c r="CI119" s="103">
        <v>6063507.0767999999</v>
      </c>
      <c r="CJ119" s="103">
        <v>52.23</v>
      </c>
      <c r="CK119" s="103">
        <f t="shared" si="4"/>
        <v>2456.8991999999998</v>
      </c>
      <c r="CL119" s="103">
        <v>723999.9</v>
      </c>
      <c r="CM119" s="103">
        <v>390649.5</v>
      </c>
      <c r="CN119" s="104">
        <v>1.8533235035498574</v>
      </c>
      <c r="CO119" s="103">
        <v>2951864.52721</v>
      </c>
      <c r="CP119" s="103">
        <v>14.08</v>
      </c>
      <c r="CQ119" s="103">
        <v>2325534.3771600001</v>
      </c>
      <c r="CR119" s="103">
        <v>14.08</v>
      </c>
      <c r="CS119" s="103">
        <f t="shared" si="5"/>
        <v>198.24639999999999</v>
      </c>
      <c r="CT119" s="103">
        <v>125770.6</v>
      </c>
      <c r="CU119" s="103">
        <v>391101.3</v>
      </c>
      <c r="CV119" s="104">
        <v>0.32158062374121488</v>
      </c>
      <c r="CW119" s="103">
        <v>1314598.32229</v>
      </c>
      <c r="CX119" s="103">
        <v>54.64</v>
      </c>
      <c r="CY119" s="103">
        <v>5740763.9319900004</v>
      </c>
      <c r="CZ119" s="103">
        <v>52.917989707653561</v>
      </c>
      <c r="DA119" s="103">
        <f t="shared" si="6"/>
        <v>2891.4389576261906</v>
      </c>
      <c r="DB119" s="103">
        <v>790851</v>
      </c>
      <c r="DC119" s="103">
        <v>416521.2</v>
      </c>
      <c r="DD119" s="104">
        <v>1.8987052759859522</v>
      </c>
      <c r="DE119" s="103">
        <v>132041.87340000001</v>
      </c>
      <c r="DF119" s="103">
        <v>5.37</v>
      </c>
      <c r="DG119" s="103">
        <v>2979593.5418199999</v>
      </c>
      <c r="DH119" s="103">
        <v>15.95</v>
      </c>
      <c r="DI119" s="103">
        <f t="shared" si="7"/>
        <v>85.651499999999999</v>
      </c>
      <c r="DJ119" s="103">
        <v>88114.2</v>
      </c>
      <c r="DK119" s="103">
        <v>232717.9</v>
      </c>
      <c r="DL119" s="104">
        <v>0.3786309518949767</v>
      </c>
    </row>
    <row r="120" spans="1:116" s="15" customFormat="1" ht="157.69999999999999" customHeight="1" x14ac:dyDescent="0.25">
      <c r="A120" s="100" t="s">
        <v>205</v>
      </c>
      <c r="B120" s="100" t="s">
        <v>2357</v>
      </c>
      <c r="C120" s="100" t="s">
        <v>87</v>
      </c>
      <c r="D120" s="101" t="str">
        <f>"Chemistry 359"</f>
        <v>Chemistry 359</v>
      </c>
      <c r="E120" s="102" t="s">
        <v>2358</v>
      </c>
      <c r="F120" s="100">
        <v>9</v>
      </c>
      <c r="G120" s="100">
        <v>0</v>
      </c>
      <c r="H120" s="100">
        <v>0</v>
      </c>
      <c r="I120" s="100">
        <v>11</v>
      </c>
      <c r="J120" s="100">
        <v>2</v>
      </c>
      <c r="K120" s="100">
        <v>1</v>
      </c>
      <c r="L120" s="100">
        <v>1</v>
      </c>
      <c r="M120" s="100">
        <v>2</v>
      </c>
      <c r="N120" s="100">
        <v>1</v>
      </c>
      <c r="O120" s="100">
        <v>0</v>
      </c>
      <c r="P120" s="100">
        <v>2.96</v>
      </c>
      <c r="Q120" s="100">
        <v>12.89</v>
      </c>
      <c r="R120" s="100">
        <v>0</v>
      </c>
      <c r="S120" s="100">
        <v>0</v>
      </c>
      <c r="T120" s="100">
        <v>1</v>
      </c>
      <c r="U120" s="100">
        <v>0</v>
      </c>
      <c r="V120" s="100">
        <v>0</v>
      </c>
      <c r="W120" s="100">
        <v>0</v>
      </c>
      <c r="X120" s="100">
        <v>1</v>
      </c>
      <c r="Y120" s="100">
        <v>0</v>
      </c>
      <c r="Z120" s="100">
        <v>0</v>
      </c>
      <c r="AA120" s="100">
        <v>1</v>
      </c>
      <c r="AB120" s="100">
        <v>0</v>
      </c>
      <c r="AC120" s="100">
        <v>1</v>
      </c>
      <c r="AD120" s="100">
        <v>0</v>
      </c>
      <c r="AE120" s="100">
        <v>0</v>
      </c>
      <c r="AF120" s="100">
        <v>1</v>
      </c>
      <c r="AG120" s="100">
        <v>0</v>
      </c>
      <c r="AH120" s="100">
        <v>1</v>
      </c>
      <c r="AI120" s="100">
        <v>0</v>
      </c>
      <c r="AJ120" s="100">
        <v>0</v>
      </c>
      <c r="AK120" s="100">
        <v>1</v>
      </c>
      <c r="AL120" s="100">
        <v>1</v>
      </c>
      <c r="AM120" s="100">
        <v>0</v>
      </c>
      <c r="AN120" s="100">
        <v>0</v>
      </c>
      <c r="AO120" s="100">
        <v>1</v>
      </c>
      <c r="AP120" s="100">
        <v>0</v>
      </c>
      <c r="AQ120" s="100">
        <v>0</v>
      </c>
      <c r="AR120" s="100">
        <v>0</v>
      </c>
      <c r="AS120" s="100">
        <v>0</v>
      </c>
      <c r="AT120" s="100">
        <v>0</v>
      </c>
      <c r="AU120" s="100">
        <v>0</v>
      </c>
      <c r="AV120" s="100">
        <v>0</v>
      </c>
      <c r="AW120" s="100">
        <v>0</v>
      </c>
      <c r="AX120" s="100">
        <v>0</v>
      </c>
      <c r="AY120" s="100">
        <v>0</v>
      </c>
      <c r="AZ120" s="100">
        <v>0</v>
      </c>
      <c r="BA120" s="100">
        <v>0</v>
      </c>
      <c r="BB120" s="100">
        <v>0</v>
      </c>
      <c r="BC120" s="100">
        <v>0</v>
      </c>
      <c r="BD120" s="100">
        <v>0</v>
      </c>
      <c r="BE120" s="100">
        <v>0</v>
      </c>
      <c r="BF120" s="100">
        <v>0</v>
      </c>
      <c r="BG120" s="100">
        <v>0</v>
      </c>
      <c r="BH120" s="100">
        <v>0</v>
      </c>
      <c r="BI120" s="100">
        <v>0</v>
      </c>
      <c r="BJ120" s="100">
        <v>0</v>
      </c>
      <c r="BK120" s="100">
        <v>0</v>
      </c>
      <c r="BL120" s="100">
        <v>0</v>
      </c>
      <c r="BM120" s="100">
        <v>0</v>
      </c>
      <c r="BN120" s="100">
        <v>1</v>
      </c>
      <c r="BO120" s="100">
        <v>0</v>
      </c>
      <c r="BP120" s="100">
        <v>0</v>
      </c>
      <c r="BQ120" s="100">
        <v>0</v>
      </c>
      <c r="BR120" s="100">
        <v>0</v>
      </c>
      <c r="BS120" s="100">
        <v>0</v>
      </c>
      <c r="BT120" s="100">
        <v>0</v>
      </c>
      <c r="BU120" s="100">
        <v>0</v>
      </c>
      <c r="BV120" s="100">
        <v>0</v>
      </c>
      <c r="BW120" s="100">
        <v>0</v>
      </c>
      <c r="BX120" s="100">
        <v>0</v>
      </c>
      <c r="BY120" s="100">
        <v>0</v>
      </c>
      <c r="BZ120" s="100">
        <v>0</v>
      </c>
      <c r="CA120" s="100">
        <v>0</v>
      </c>
      <c r="CB120" s="100" t="s">
        <v>2090</v>
      </c>
      <c r="CC120" s="100">
        <v>0</v>
      </c>
      <c r="CD120" s="100">
        <v>0</v>
      </c>
      <c r="CE120" s="100">
        <v>0</v>
      </c>
      <c r="CF120" s="100">
        <v>0</v>
      </c>
      <c r="CG120" s="103">
        <v>410263.89322000003</v>
      </c>
      <c r="CH120" s="103">
        <v>15.39</v>
      </c>
      <c r="CI120" s="103">
        <v>5004515.8935599998</v>
      </c>
      <c r="CJ120" s="103">
        <v>36.130000000000003</v>
      </c>
      <c r="CK120" s="103">
        <f t="shared" si="4"/>
        <v>556.04070000000002</v>
      </c>
      <c r="CL120" s="103">
        <v>478777.5</v>
      </c>
      <c r="CM120" s="103">
        <v>472235.6</v>
      </c>
      <c r="CN120" s="104">
        <v>1.0138530428455628</v>
      </c>
      <c r="CO120" s="103">
        <v>49014.085760000002</v>
      </c>
      <c r="CP120" s="103">
        <v>1.38</v>
      </c>
      <c r="CQ120" s="103">
        <v>2367474.41921</v>
      </c>
      <c r="CR120" s="103">
        <v>14.5</v>
      </c>
      <c r="CS120" s="103">
        <f t="shared" si="5"/>
        <v>20.009999999999998</v>
      </c>
      <c r="CT120" s="103">
        <v>150085.29999999999</v>
      </c>
      <c r="CU120" s="103">
        <v>682071.2</v>
      </c>
      <c r="CV120" s="104">
        <v>0.22004345000932454</v>
      </c>
      <c r="CW120" s="103">
        <v>572825.00321</v>
      </c>
      <c r="CX120" s="103">
        <v>38.18</v>
      </c>
      <c r="CY120" s="103">
        <v>4997925.7708000001</v>
      </c>
      <c r="CZ120" s="103">
        <v>40.908086610693772</v>
      </c>
      <c r="DA120" s="103">
        <f t="shared" si="6"/>
        <v>1561.8707467962881</v>
      </c>
      <c r="DB120" s="103">
        <v>549175.69999999995</v>
      </c>
      <c r="DC120" s="103">
        <v>532450.5</v>
      </c>
      <c r="DD120" s="104">
        <v>1.0314117462562247</v>
      </c>
      <c r="DE120" s="103">
        <v>22977.155470000002</v>
      </c>
      <c r="DF120" s="103">
        <v>0.69</v>
      </c>
      <c r="DG120" s="103">
        <v>1595470.70156</v>
      </c>
      <c r="DH120" s="103">
        <v>8.2899999999999991</v>
      </c>
      <c r="DI120" s="103">
        <f t="shared" si="7"/>
        <v>5.7200999999999986</v>
      </c>
      <c r="DJ120" s="103">
        <v>53874.400000000001</v>
      </c>
      <c r="DK120" s="103">
        <v>676516.2</v>
      </c>
      <c r="DL120" s="104">
        <v>7.9635047911639084E-2</v>
      </c>
    </row>
    <row r="121" spans="1:116" s="15" customFormat="1" ht="157.69999999999999" customHeight="1" x14ac:dyDescent="0.25">
      <c r="A121" s="100" t="s">
        <v>206</v>
      </c>
      <c r="B121" s="100" t="s">
        <v>2359</v>
      </c>
      <c r="C121" s="100" t="s">
        <v>87</v>
      </c>
      <c r="D121" s="101" t="str">
        <f>"Chemistry 370"</f>
        <v>Chemistry 370</v>
      </c>
      <c r="E121" s="102" t="s">
        <v>2360</v>
      </c>
      <c r="F121" s="100">
        <v>9</v>
      </c>
      <c r="G121" s="100">
        <v>0</v>
      </c>
      <c r="H121" s="100">
        <v>0</v>
      </c>
      <c r="I121" s="100">
        <v>11</v>
      </c>
      <c r="J121" s="100">
        <v>2</v>
      </c>
      <c r="K121" s="100">
        <v>1</v>
      </c>
      <c r="L121" s="100">
        <v>1</v>
      </c>
      <c r="M121" s="100">
        <v>2</v>
      </c>
      <c r="N121" s="100">
        <v>1</v>
      </c>
      <c r="O121" s="100">
        <v>0</v>
      </c>
      <c r="P121" s="100">
        <v>2.75</v>
      </c>
      <c r="Q121" s="100">
        <v>12.89</v>
      </c>
      <c r="R121" s="100">
        <v>0</v>
      </c>
      <c r="S121" s="100">
        <v>0</v>
      </c>
      <c r="T121" s="100">
        <v>1</v>
      </c>
      <c r="U121" s="100">
        <v>0</v>
      </c>
      <c r="V121" s="100">
        <v>0</v>
      </c>
      <c r="W121" s="100">
        <v>0</v>
      </c>
      <c r="X121" s="100">
        <v>1</v>
      </c>
      <c r="Y121" s="100">
        <v>0</v>
      </c>
      <c r="Z121" s="100">
        <v>0</v>
      </c>
      <c r="AA121" s="100">
        <v>1</v>
      </c>
      <c r="AB121" s="100">
        <v>0</v>
      </c>
      <c r="AC121" s="100">
        <v>1</v>
      </c>
      <c r="AD121" s="100">
        <v>0</v>
      </c>
      <c r="AE121" s="100">
        <v>0</v>
      </c>
      <c r="AF121" s="100">
        <v>1</v>
      </c>
      <c r="AG121" s="100">
        <v>0</v>
      </c>
      <c r="AH121" s="100">
        <v>1</v>
      </c>
      <c r="AI121" s="100">
        <v>0</v>
      </c>
      <c r="AJ121" s="100">
        <v>0</v>
      </c>
      <c r="AK121" s="100">
        <v>1</v>
      </c>
      <c r="AL121" s="100">
        <v>0</v>
      </c>
      <c r="AM121" s="100">
        <v>1</v>
      </c>
      <c r="AN121" s="100">
        <v>0</v>
      </c>
      <c r="AO121" s="100">
        <v>1</v>
      </c>
      <c r="AP121" s="100">
        <v>0</v>
      </c>
      <c r="AQ121" s="100">
        <v>0</v>
      </c>
      <c r="AR121" s="100">
        <v>0</v>
      </c>
      <c r="AS121" s="100">
        <v>0</v>
      </c>
      <c r="AT121" s="100">
        <v>0</v>
      </c>
      <c r="AU121" s="100">
        <v>0</v>
      </c>
      <c r="AV121" s="100">
        <v>0</v>
      </c>
      <c r="AW121" s="100">
        <v>0</v>
      </c>
      <c r="AX121" s="100">
        <v>0</v>
      </c>
      <c r="AY121" s="100">
        <v>0</v>
      </c>
      <c r="AZ121" s="100">
        <v>0</v>
      </c>
      <c r="BA121" s="100">
        <v>0</v>
      </c>
      <c r="BB121" s="100">
        <v>0</v>
      </c>
      <c r="BC121" s="100">
        <v>0</v>
      </c>
      <c r="BD121" s="100">
        <v>0</v>
      </c>
      <c r="BE121" s="100">
        <v>0</v>
      </c>
      <c r="BF121" s="100">
        <v>0</v>
      </c>
      <c r="BG121" s="100">
        <v>0</v>
      </c>
      <c r="BH121" s="100">
        <v>0</v>
      </c>
      <c r="BI121" s="100">
        <v>0</v>
      </c>
      <c r="BJ121" s="100">
        <v>0</v>
      </c>
      <c r="BK121" s="100">
        <v>0</v>
      </c>
      <c r="BL121" s="100">
        <v>0</v>
      </c>
      <c r="BM121" s="100">
        <v>0</v>
      </c>
      <c r="BN121" s="100">
        <v>1</v>
      </c>
      <c r="BO121" s="100">
        <v>0</v>
      </c>
      <c r="BP121" s="100">
        <v>0</v>
      </c>
      <c r="BQ121" s="100">
        <v>0</v>
      </c>
      <c r="BR121" s="100">
        <v>0</v>
      </c>
      <c r="BS121" s="100">
        <v>0</v>
      </c>
      <c r="BT121" s="100">
        <v>0</v>
      </c>
      <c r="BU121" s="100">
        <v>0</v>
      </c>
      <c r="BV121" s="100">
        <v>0</v>
      </c>
      <c r="BW121" s="100">
        <v>0</v>
      </c>
      <c r="BX121" s="100">
        <v>0</v>
      </c>
      <c r="BY121" s="100">
        <v>0</v>
      </c>
      <c r="BZ121" s="100">
        <v>0</v>
      </c>
      <c r="CA121" s="100">
        <v>0</v>
      </c>
      <c r="CB121" s="100" t="s">
        <v>2090</v>
      </c>
      <c r="CC121" s="100">
        <v>0</v>
      </c>
      <c r="CD121" s="100">
        <v>0</v>
      </c>
      <c r="CE121" s="100">
        <v>0</v>
      </c>
      <c r="CF121" s="100">
        <v>0</v>
      </c>
      <c r="CG121" s="103">
        <v>316389.83695000003</v>
      </c>
      <c r="CH121" s="103">
        <v>20.440000000000001</v>
      </c>
      <c r="CI121" s="103">
        <v>4430307.0900600003</v>
      </c>
      <c r="CJ121" s="103">
        <v>44.89</v>
      </c>
      <c r="CK121" s="103">
        <f t="shared" si="4"/>
        <v>917.55160000000012</v>
      </c>
      <c r="CL121" s="103">
        <v>803782.4</v>
      </c>
      <c r="CM121" s="103">
        <v>939266</v>
      </c>
      <c r="CN121" s="104">
        <v>0.85575587746176274</v>
      </c>
      <c r="CO121" s="103">
        <v>132535.92726</v>
      </c>
      <c r="CP121" s="103">
        <v>5.97</v>
      </c>
      <c r="CQ121" s="103">
        <v>3184706.1156500001</v>
      </c>
      <c r="CR121" s="103">
        <v>25.15</v>
      </c>
      <c r="CS121" s="103">
        <f t="shared" si="5"/>
        <v>150.1455</v>
      </c>
      <c r="CT121" s="103">
        <v>386593.8</v>
      </c>
      <c r="CU121" s="103">
        <v>692703.6</v>
      </c>
      <c r="CV121" s="104">
        <v>0.55809411124758124</v>
      </c>
      <c r="CW121" s="103">
        <v>776297.27252</v>
      </c>
      <c r="CX121" s="103">
        <v>43.15</v>
      </c>
      <c r="CY121" s="103">
        <v>5425904.2489999998</v>
      </c>
      <c r="CZ121" s="103">
        <v>51.454643048845938</v>
      </c>
      <c r="DA121" s="103">
        <f t="shared" si="6"/>
        <v>2220.2678475577022</v>
      </c>
      <c r="DB121" s="103">
        <v>822317.7</v>
      </c>
      <c r="DC121" s="103">
        <v>825709.9</v>
      </c>
      <c r="DD121" s="104">
        <v>0.9958917774874686</v>
      </c>
      <c r="DE121" s="103">
        <v>166121.72309000001</v>
      </c>
      <c r="DF121" s="103">
        <v>8.2200000000000006</v>
      </c>
      <c r="DG121" s="103">
        <v>3611405.8708899999</v>
      </c>
      <c r="DH121" s="103">
        <v>23.85</v>
      </c>
      <c r="DI121" s="103">
        <f t="shared" si="7"/>
        <v>196.04700000000003</v>
      </c>
      <c r="DJ121" s="103">
        <v>199867.1</v>
      </c>
      <c r="DK121" s="103">
        <v>426455.6</v>
      </c>
      <c r="DL121" s="104">
        <v>0.46867036099420434</v>
      </c>
    </row>
    <row r="122" spans="1:116" s="15" customFormat="1" ht="166.7" customHeight="1" x14ac:dyDescent="0.25">
      <c r="A122" s="100" t="s">
        <v>207</v>
      </c>
      <c r="B122" s="100" t="s">
        <v>2361</v>
      </c>
      <c r="C122" s="100" t="s">
        <v>87</v>
      </c>
      <c r="D122" s="101" t="str">
        <f>"Chemistry 244"</f>
        <v>Chemistry 244</v>
      </c>
      <c r="E122" s="102" t="s">
        <v>2362</v>
      </c>
      <c r="F122" s="100">
        <v>9</v>
      </c>
      <c r="G122" s="100">
        <v>0</v>
      </c>
      <c r="H122" s="100">
        <v>0</v>
      </c>
      <c r="I122" s="100">
        <v>11</v>
      </c>
      <c r="J122" s="100">
        <v>2</v>
      </c>
      <c r="K122" s="100">
        <v>1</v>
      </c>
      <c r="L122" s="100">
        <v>1</v>
      </c>
      <c r="M122" s="100">
        <v>2</v>
      </c>
      <c r="N122" s="100">
        <v>1</v>
      </c>
      <c r="O122" s="100">
        <v>0</v>
      </c>
      <c r="P122" s="100">
        <v>2.96</v>
      </c>
      <c r="Q122" s="100">
        <v>12.89</v>
      </c>
      <c r="R122" s="100">
        <v>0</v>
      </c>
      <c r="S122" s="100">
        <v>0</v>
      </c>
      <c r="T122" s="100">
        <v>1</v>
      </c>
      <c r="U122" s="100">
        <v>0</v>
      </c>
      <c r="V122" s="100">
        <v>0</v>
      </c>
      <c r="W122" s="100">
        <v>0</v>
      </c>
      <c r="X122" s="100">
        <v>1</v>
      </c>
      <c r="Y122" s="100">
        <v>0</v>
      </c>
      <c r="Z122" s="100">
        <v>0</v>
      </c>
      <c r="AA122" s="100">
        <v>1</v>
      </c>
      <c r="AB122" s="100">
        <v>0</v>
      </c>
      <c r="AC122" s="100">
        <v>1</v>
      </c>
      <c r="AD122" s="100">
        <v>0</v>
      </c>
      <c r="AE122" s="100">
        <v>0</v>
      </c>
      <c r="AF122" s="100">
        <v>1</v>
      </c>
      <c r="AG122" s="100">
        <v>0</v>
      </c>
      <c r="AH122" s="100">
        <v>1</v>
      </c>
      <c r="AI122" s="100">
        <v>0</v>
      </c>
      <c r="AJ122" s="100">
        <v>0</v>
      </c>
      <c r="AK122" s="100">
        <v>1</v>
      </c>
      <c r="AL122" s="100">
        <v>0</v>
      </c>
      <c r="AM122" s="100">
        <v>1</v>
      </c>
      <c r="AN122" s="100">
        <v>0</v>
      </c>
      <c r="AO122" s="100">
        <v>1</v>
      </c>
      <c r="AP122" s="100">
        <v>0</v>
      </c>
      <c r="AQ122" s="100">
        <v>0</v>
      </c>
      <c r="AR122" s="100">
        <v>0</v>
      </c>
      <c r="AS122" s="100">
        <v>0</v>
      </c>
      <c r="AT122" s="100">
        <v>0</v>
      </c>
      <c r="AU122" s="100">
        <v>0</v>
      </c>
      <c r="AV122" s="100">
        <v>0</v>
      </c>
      <c r="AW122" s="100">
        <v>0</v>
      </c>
      <c r="AX122" s="100">
        <v>0</v>
      </c>
      <c r="AY122" s="100">
        <v>0</v>
      </c>
      <c r="AZ122" s="100">
        <v>0</v>
      </c>
      <c r="BA122" s="100">
        <v>0</v>
      </c>
      <c r="BB122" s="100">
        <v>0</v>
      </c>
      <c r="BC122" s="100">
        <v>0</v>
      </c>
      <c r="BD122" s="100">
        <v>0</v>
      </c>
      <c r="BE122" s="100">
        <v>0</v>
      </c>
      <c r="BF122" s="100">
        <v>0</v>
      </c>
      <c r="BG122" s="100">
        <v>0</v>
      </c>
      <c r="BH122" s="100">
        <v>0</v>
      </c>
      <c r="BI122" s="100">
        <v>0</v>
      </c>
      <c r="BJ122" s="100">
        <v>0</v>
      </c>
      <c r="BK122" s="100">
        <v>0</v>
      </c>
      <c r="BL122" s="100">
        <v>0</v>
      </c>
      <c r="BM122" s="100">
        <v>0</v>
      </c>
      <c r="BN122" s="100">
        <v>1</v>
      </c>
      <c r="BO122" s="100">
        <v>0</v>
      </c>
      <c r="BP122" s="100">
        <v>0</v>
      </c>
      <c r="BQ122" s="100">
        <v>0</v>
      </c>
      <c r="BR122" s="100">
        <v>0</v>
      </c>
      <c r="BS122" s="100">
        <v>0</v>
      </c>
      <c r="BT122" s="100">
        <v>0</v>
      </c>
      <c r="BU122" s="100">
        <v>0</v>
      </c>
      <c r="BV122" s="100">
        <v>0</v>
      </c>
      <c r="BW122" s="100">
        <v>0</v>
      </c>
      <c r="BX122" s="100">
        <v>0</v>
      </c>
      <c r="BY122" s="100">
        <v>0</v>
      </c>
      <c r="BZ122" s="100">
        <v>0</v>
      </c>
      <c r="CA122" s="100">
        <v>0</v>
      </c>
      <c r="CB122" s="100" t="s">
        <v>2090</v>
      </c>
      <c r="CC122" s="100">
        <v>0</v>
      </c>
      <c r="CD122" s="100">
        <v>0</v>
      </c>
      <c r="CE122" s="100">
        <v>0</v>
      </c>
      <c r="CF122" s="100">
        <v>0</v>
      </c>
      <c r="CG122" s="103">
        <v>386531.19316000002</v>
      </c>
      <c r="CH122" s="103">
        <v>27.19</v>
      </c>
      <c r="CI122" s="103">
        <v>4802879.06403</v>
      </c>
      <c r="CJ122" s="103">
        <v>54.65</v>
      </c>
      <c r="CK122" s="103">
        <f t="shared" si="4"/>
        <v>1485.9335000000001</v>
      </c>
      <c r="CL122" s="103">
        <v>558497.6</v>
      </c>
      <c r="CM122" s="103">
        <v>606742.6</v>
      </c>
      <c r="CN122" s="104">
        <v>0.92048522717870807</v>
      </c>
      <c r="CO122" s="103">
        <v>55082.034220000001</v>
      </c>
      <c r="CP122" s="103">
        <v>2.58</v>
      </c>
      <c r="CQ122" s="103">
        <v>2556722.28957</v>
      </c>
      <c r="CR122" s="103">
        <v>21.32</v>
      </c>
      <c r="CS122" s="103">
        <f t="shared" si="5"/>
        <v>55.005600000000001</v>
      </c>
      <c r="CT122" s="103">
        <v>138335.79999999999</v>
      </c>
      <c r="CU122" s="103">
        <v>656608.5</v>
      </c>
      <c r="CV122" s="104">
        <v>0.21068231678389784</v>
      </c>
      <c r="CW122" s="103">
        <v>725643.48338999995</v>
      </c>
      <c r="CX122" s="103">
        <v>44.26</v>
      </c>
      <c r="CY122" s="103">
        <v>5348872.7635500003</v>
      </c>
      <c r="CZ122" s="103">
        <v>53.280811569177636</v>
      </c>
      <c r="DA122" s="103">
        <f t="shared" si="6"/>
        <v>2358.2087200518022</v>
      </c>
      <c r="DB122" s="103">
        <v>935959.8</v>
      </c>
      <c r="DC122" s="103">
        <v>901638.4</v>
      </c>
      <c r="DD122" s="104">
        <v>1.0380655925923297</v>
      </c>
      <c r="DE122" s="103">
        <v>55951.479489999998</v>
      </c>
      <c r="DF122" s="103">
        <v>3.06</v>
      </c>
      <c r="DG122" s="103">
        <v>2401683.6041199998</v>
      </c>
      <c r="DH122" s="103">
        <v>19.34</v>
      </c>
      <c r="DI122" s="103">
        <f t="shared" si="7"/>
        <v>59.180399999999999</v>
      </c>
      <c r="DJ122" s="103">
        <v>196340.7</v>
      </c>
      <c r="DK122" s="103">
        <v>710910.6</v>
      </c>
      <c r="DL122" s="104">
        <v>0.276181984063819</v>
      </c>
    </row>
    <row r="123" spans="1:116" s="15" customFormat="1" ht="183.2" customHeight="1" x14ac:dyDescent="0.25">
      <c r="A123" s="100" t="s">
        <v>208</v>
      </c>
      <c r="B123" s="100" t="s">
        <v>2363</v>
      </c>
      <c r="C123" s="100" t="s">
        <v>87</v>
      </c>
      <c r="D123" s="101" t="str">
        <f>"Chemistry 350"</f>
        <v>Chemistry 350</v>
      </c>
      <c r="E123" s="102" t="s">
        <v>2364</v>
      </c>
      <c r="F123" s="100">
        <v>9</v>
      </c>
      <c r="G123" s="100">
        <v>0</v>
      </c>
      <c r="H123" s="100">
        <v>0</v>
      </c>
      <c r="I123" s="100">
        <v>11</v>
      </c>
      <c r="J123" s="100">
        <v>2</v>
      </c>
      <c r="K123" s="100">
        <v>1</v>
      </c>
      <c r="L123" s="100">
        <v>1</v>
      </c>
      <c r="M123" s="100">
        <v>2</v>
      </c>
      <c r="N123" s="100">
        <v>1</v>
      </c>
      <c r="O123" s="100">
        <v>0</v>
      </c>
      <c r="P123" s="100">
        <v>2.75</v>
      </c>
      <c r="Q123" s="100">
        <v>12.89</v>
      </c>
      <c r="R123" s="100">
        <v>0</v>
      </c>
      <c r="S123" s="100">
        <v>0</v>
      </c>
      <c r="T123" s="100">
        <v>1</v>
      </c>
      <c r="U123" s="100">
        <v>0</v>
      </c>
      <c r="V123" s="100">
        <v>0</v>
      </c>
      <c r="W123" s="100">
        <v>0</v>
      </c>
      <c r="X123" s="100">
        <v>1</v>
      </c>
      <c r="Y123" s="100">
        <v>0</v>
      </c>
      <c r="Z123" s="100">
        <v>0</v>
      </c>
      <c r="AA123" s="100">
        <v>1</v>
      </c>
      <c r="AB123" s="100">
        <v>0</v>
      </c>
      <c r="AC123" s="100">
        <v>1</v>
      </c>
      <c r="AD123" s="100">
        <v>0</v>
      </c>
      <c r="AE123" s="100">
        <v>0</v>
      </c>
      <c r="AF123" s="100">
        <v>1</v>
      </c>
      <c r="AG123" s="100">
        <v>0</v>
      </c>
      <c r="AH123" s="100">
        <v>1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1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  <c r="AY123" s="100">
        <v>0</v>
      </c>
      <c r="AZ123" s="100">
        <v>0</v>
      </c>
      <c r="BA123" s="100">
        <v>0</v>
      </c>
      <c r="BB123" s="100">
        <v>0</v>
      </c>
      <c r="BC123" s="100">
        <v>0</v>
      </c>
      <c r="BD123" s="100">
        <v>0</v>
      </c>
      <c r="BE123" s="100">
        <v>0</v>
      </c>
      <c r="BF123" s="100">
        <v>0</v>
      </c>
      <c r="BG123" s="100">
        <v>0</v>
      </c>
      <c r="BH123" s="100">
        <v>0</v>
      </c>
      <c r="BI123" s="100">
        <v>0</v>
      </c>
      <c r="BJ123" s="100">
        <v>0</v>
      </c>
      <c r="BK123" s="100">
        <v>0</v>
      </c>
      <c r="BL123" s="100">
        <v>0</v>
      </c>
      <c r="BM123" s="100">
        <v>0</v>
      </c>
      <c r="BN123" s="100">
        <v>1</v>
      </c>
      <c r="BO123" s="100">
        <v>0</v>
      </c>
      <c r="BP123" s="100">
        <v>0</v>
      </c>
      <c r="BQ123" s="100">
        <v>0</v>
      </c>
      <c r="BR123" s="100">
        <v>0</v>
      </c>
      <c r="BS123" s="100">
        <v>0</v>
      </c>
      <c r="BT123" s="100">
        <v>0</v>
      </c>
      <c r="BU123" s="100">
        <v>0</v>
      </c>
      <c r="BV123" s="100">
        <v>0</v>
      </c>
      <c r="BW123" s="100">
        <v>0</v>
      </c>
      <c r="BX123" s="100">
        <v>0</v>
      </c>
      <c r="BY123" s="100">
        <v>0</v>
      </c>
      <c r="BZ123" s="100">
        <v>0</v>
      </c>
      <c r="CA123" s="100">
        <v>0</v>
      </c>
      <c r="CB123" s="100" t="s">
        <v>2090</v>
      </c>
      <c r="CC123" s="100">
        <v>0</v>
      </c>
      <c r="CD123" s="100">
        <v>0</v>
      </c>
      <c r="CE123" s="100">
        <v>0</v>
      </c>
      <c r="CF123" s="100">
        <v>0</v>
      </c>
      <c r="CG123" s="103">
        <v>1490743.3124599999</v>
      </c>
      <c r="CH123" s="103">
        <v>62.07</v>
      </c>
      <c r="CI123" s="103">
        <v>6475996.5647099996</v>
      </c>
      <c r="CJ123" s="103">
        <v>30.1</v>
      </c>
      <c r="CK123" s="103">
        <f t="shared" si="4"/>
        <v>1868.307</v>
      </c>
      <c r="CL123" s="103">
        <v>857655.3</v>
      </c>
      <c r="CM123" s="103">
        <v>308800.2</v>
      </c>
      <c r="CN123" s="104">
        <v>2.7773793540289158</v>
      </c>
      <c r="CO123" s="103">
        <v>775784.18275000004</v>
      </c>
      <c r="CP123" s="103">
        <v>32.020000000000003</v>
      </c>
      <c r="CQ123" s="103">
        <v>3458083.1066899998</v>
      </c>
      <c r="CR123" s="103">
        <v>10.26</v>
      </c>
      <c r="CS123" s="103">
        <f t="shared" si="5"/>
        <v>328.52520000000004</v>
      </c>
      <c r="CT123" s="103">
        <v>564671.9</v>
      </c>
      <c r="CU123" s="103">
        <v>278985.90000000002</v>
      </c>
      <c r="CV123" s="104">
        <v>2.024015909047733</v>
      </c>
      <c r="CW123" s="103">
        <v>2002490.31363</v>
      </c>
      <c r="CX123" s="103">
        <v>85.98</v>
      </c>
      <c r="CY123" s="103">
        <v>6547882.2234899998</v>
      </c>
      <c r="CZ123" s="103">
        <v>55.646173149309909</v>
      </c>
      <c r="DA123" s="103">
        <f t="shared" si="6"/>
        <v>4784.4579673776661</v>
      </c>
      <c r="DB123" s="103">
        <v>872964.2</v>
      </c>
      <c r="DC123" s="103">
        <v>198070.9</v>
      </c>
      <c r="DD123" s="104">
        <v>4.4073319200346948</v>
      </c>
      <c r="DE123" s="103">
        <v>691344.57762999996</v>
      </c>
      <c r="DF123" s="103">
        <v>30.22</v>
      </c>
      <c r="DG123" s="103">
        <v>5436152.6669199998</v>
      </c>
      <c r="DH123" s="103">
        <v>11.48</v>
      </c>
      <c r="DI123" s="103">
        <f t="shared" si="7"/>
        <v>346.92559999999997</v>
      </c>
      <c r="DJ123" s="103">
        <v>556018.80000000005</v>
      </c>
      <c r="DK123" s="103">
        <v>224379.9</v>
      </c>
      <c r="DL123" s="104">
        <v>2.478024101089269</v>
      </c>
    </row>
    <row r="124" spans="1:116" s="15" customFormat="1" ht="128.44999999999999" customHeight="1" x14ac:dyDescent="0.25">
      <c r="A124" s="100" t="s">
        <v>209</v>
      </c>
      <c r="B124" s="100" t="s">
        <v>2365</v>
      </c>
      <c r="C124" s="100" t="s">
        <v>87</v>
      </c>
      <c r="D124" s="101" t="str">
        <f>"Chemistry 247"</f>
        <v>Chemistry 247</v>
      </c>
      <c r="E124" s="102" t="s">
        <v>2366</v>
      </c>
      <c r="F124" s="100">
        <v>9</v>
      </c>
      <c r="G124" s="100">
        <v>0</v>
      </c>
      <c r="H124" s="100">
        <v>0</v>
      </c>
      <c r="I124" s="100">
        <v>11</v>
      </c>
      <c r="J124" s="100">
        <v>2</v>
      </c>
      <c r="K124" s="100">
        <v>1</v>
      </c>
      <c r="L124" s="100">
        <v>1</v>
      </c>
      <c r="M124" s="100">
        <v>2</v>
      </c>
      <c r="N124" s="100">
        <v>1</v>
      </c>
      <c r="O124" s="100">
        <v>0</v>
      </c>
      <c r="P124" s="100">
        <v>2.96</v>
      </c>
      <c r="Q124" s="100">
        <v>12.89</v>
      </c>
      <c r="R124" s="100">
        <v>0</v>
      </c>
      <c r="S124" s="100">
        <v>0</v>
      </c>
      <c r="T124" s="100">
        <v>1</v>
      </c>
      <c r="U124" s="100">
        <v>0</v>
      </c>
      <c r="V124" s="100">
        <v>0</v>
      </c>
      <c r="W124" s="100">
        <v>0</v>
      </c>
      <c r="X124" s="100">
        <v>1</v>
      </c>
      <c r="Y124" s="100">
        <v>0</v>
      </c>
      <c r="Z124" s="100">
        <v>0</v>
      </c>
      <c r="AA124" s="100">
        <v>1</v>
      </c>
      <c r="AB124" s="100">
        <v>0</v>
      </c>
      <c r="AC124" s="100">
        <v>1</v>
      </c>
      <c r="AD124" s="100">
        <v>0</v>
      </c>
      <c r="AE124" s="100">
        <v>0</v>
      </c>
      <c r="AF124" s="100">
        <v>1</v>
      </c>
      <c r="AG124" s="100">
        <v>0</v>
      </c>
      <c r="AH124" s="100">
        <v>1</v>
      </c>
      <c r="AI124" s="100">
        <v>0</v>
      </c>
      <c r="AJ124" s="100">
        <v>0</v>
      </c>
      <c r="AK124" s="100">
        <v>0</v>
      </c>
      <c r="AL124" s="100">
        <v>0</v>
      </c>
      <c r="AM124" s="100">
        <v>0</v>
      </c>
      <c r="AN124" s="100">
        <v>0</v>
      </c>
      <c r="AO124" s="100">
        <v>1</v>
      </c>
      <c r="AP124" s="100">
        <v>0</v>
      </c>
      <c r="AQ124" s="100">
        <v>0</v>
      </c>
      <c r="AR124" s="100">
        <v>0</v>
      </c>
      <c r="AS124" s="100">
        <v>0</v>
      </c>
      <c r="AT124" s="100">
        <v>0</v>
      </c>
      <c r="AU124" s="100">
        <v>0</v>
      </c>
      <c r="AV124" s="100">
        <v>0</v>
      </c>
      <c r="AW124" s="100">
        <v>0</v>
      </c>
      <c r="AX124" s="100">
        <v>0</v>
      </c>
      <c r="AY124" s="100">
        <v>0</v>
      </c>
      <c r="AZ124" s="100">
        <v>0</v>
      </c>
      <c r="BA124" s="100">
        <v>0</v>
      </c>
      <c r="BB124" s="100">
        <v>0</v>
      </c>
      <c r="BC124" s="100">
        <v>0</v>
      </c>
      <c r="BD124" s="100">
        <v>0</v>
      </c>
      <c r="BE124" s="100">
        <v>0</v>
      </c>
      <c r="BF124" s="100">
        <v>0</v>
      </c>
      <c r="BG124" s="100">
        <v>0</v>
      </c>
      <c r="BH124" s="100">
        <v>0</v>
      </c>
      <c r="BI124" s="100">
        <v>0</v>
      </c>
      <c r="BJ124" s="100">
        <v>0</v>
      </c>
      <c r="BK124" s="100">
        <v>0</v>
      </c>
      <c r="BL124" s="100">
        <v>0</v>
      </c>
      <c r="BM124" s="100">
        <v>0</v>
      </c>
      <c r="BN124" s="100">
        <v>1</v>
      </c>
      <c r="BO124" s="100">
        <v>0</v>
      </c>
      <c r="BP124" s="100">
        <v>0</v>
      </c>
      <c r="BQ124" s="100">
        <v>0</v>
      </c>
      <c r="BR124" s="100">
        <v>0</v>
      </c>
      <c r="BS124" s="100">
        <v>0</v>
      </c>
      <c r="BT124" s="100">
        <v>0</v>
      </c>
      <c r="BU124" s="100">
        <v>0</v>
      </c>
      <c r="BV124" s="100">
        <v>0</v>
      </c>
      <c r="BW124" s="100">
        <v>0</v>
      </c>
      <c r="BX124" s="100">
        <v>0</v>
      </c>
      <c r="BY124" s="100">
        <v>0</v>
      </c>
      <c r="BZ124" s="100">
        <v>0</v>
      </c>
      <c r="CA124" s="100">
        <v>0</v>
      </c>
      <c r="CB124" s="100" t="s">
        <v>2090</v>
      </c>
      <c r="CC124" s="100">
        <v>0</v>
      </c>
      <c r="CD124" s="100">
        <v>0</v>
      </c>
      <c r="CE124" s="100">
        <v>0</v>
      </c>
      <c r="CF124" s="100">
        <v>0</v>
      </c>
      <c r="CG124" s="103">
        <v>741757.22517999995</v>
      </c>
      <c r="CH124" s="103">
        <v>38.479999999999997</v>
      </c>
      <c r="CI124" s="103">
        <v>5323645.3677200004</v>
      </c>
      <c r="CJ124" s="103">
        <v>51.78</v>
      </c>
      <c r="CK124" s="103">
        <f t="shared" si="4"/>
        <v>1992.4943999999998</v>
      </c>
      <c r="CL124" s="103">
        <v>703383.8</v>
      </c>
      <c r="CM124" s="103">
        <v>654541.1</v>
      </c>
      <c r="CN124" s="104">
        <v>1.0746212881055139</v>
      </c>
      <c r="CO124" s="103">
        <v>0</v>
      </c>
      <c r="CP124" s="103">
        <v>0</v>
      </c>
      <c r="CQ124" s="103">
        <v>318622.52659000002</v>
      </c>
      <c r="CR124" s="103">
        <v>2.61</v>
      </c>
      <c r="CS124" s="103">
        <f t="shared" si="5"/>
        <v>0</v>
      </c>
      <c r="CT124" s="103">
        <v>65589.899999999994</v>
      </c>
      <c r="CU124" s="103">
        <v>809325.4</v>
      </c>
      <c r="CV124" s="104">
        <v>8.1042680731384431E-2</v>
      </c>
      <c r="CW124" s="103">
        <v>1031176.68254</v>
      </c>
      <c r="CX124" s="103">
        <v>51.2</v>
      </c>
      <c r="CY124" s="103">
        <v>5478711.2915200004</v>
      </c>
      <c r="CZ124" s="103">
        <v>48.592671269251191</v>
      </c>
      <c r="DA124" s="103">
        <f t="shared" si="6"/>
        <v>2487.9447689856611</v>
      </c>
      <c r="DB124" s="103">
        <v>467254.3</v>
      </c>
      <c r="DC124" s="103">
        <v>379554.9</v>
      </c>
      <c r="DD124" s="104">
        <v>1.2310585372498155</v>
      </c>
      <c r="DE124" s="103">
        <v>38814.576979999998</v>
      </c>
      <c r="DF124" s="103">
        <v>1.77</v>
      </c>
      <c r="DG124" s="103">
        <v>1765527.5064900001</v>
      </c>
      <c r="DH124" s="103">
        <v>11.67</v>
      </c>
      <c r="DI124" s="103">
        <f t="shared" si="7"/>
        <v>20.655899999999999</v>
      </c>
      <c r="DJ124" s="103">
        <v>54448.2</v>
      </c>
      <c r="DK124" s="103">
        <v>396617</v>
      </c>
      <c r="DL124" s="104">
        <v>0.1372815587834107</v>
      </c>
    </row>
    <row r="125" spans="1:116" s="15" customFormat="1" ht="187.7" customHeight="1" x14ac:dyDescent="0.25">
      <c r="A125" s="100" t="s">
        <v>210</v>
      </c>
      <c r="B125" s="100" t="s">
        <v>2367</v>
      </c>
      <c r="C125" s="100" t="s">
        <v>87</v>
      </c>
      <c r="D125" s="101" t="str">
        <f>"Chemistry 271"</f>
        <v>Chemistry 271</v>
      </c>
      <c r="E125" s="102" t="s">
        <v>2368</v>
      </c>
      <c r="F125" s="100">
        <v>9</v>
      </c>
      <c r="G125" s="100">
        <v>0</v>
      </c>
      <c r="H125" s="100">
        <v>0</v>
      </c>
      <c r="I125" s="100">
        <v>11</v>
      </c>
      <c r="J125" s="100">
        <v>2</v>
      </c>
      <c r="K125" s="100">
        <v>1</v>
      </c>
      <c r="L125" s="100">
        <v>1</v>
      </c>
      <c r="M125" s="100">
        <v>2</v>
      </c>
      <c r="N125" s="100">
        <v>1</v>
      </c>
      <c r="O125" s="100">
        <v>0</v>
      </c>
      <c r="P125" s="100">
        <v>2.75</v>
      </c>
      <c r="Q125" s="100">
        <v>12.89</v>
      </c>
      <c r="R125" s="100">
        <v>0</v>
      </c>
      <c r="S125" s="100">
        <v>0</v>
      </c>
      <c r="T125" s="100">
        <v>1</v>
      </c>
      <c r="U125" s="100">
        <v>0</v>
      </c>
      <c r="V125" s="100">
        <v>0</v>
      </c>
      <c r="W125" s="100">
        <v>0</v>
      </c>
      <c r="X125" s="100">
        <v>1</v>
      </c>
      <c r="Y125" s="100">
        <v>0</v>
      </c>
      <c r="Z125" s="100">
        <v>0</v>
      </c>
      <c r="AA125" s="100">
        <v>1</v>
      </c>
      <c r="AB125" s="100">
        <v>0</v>
      </c>
      <c r="AC125" s="100">
        <v>1</v>
      </c>
      <c r="AD125" s="100">
        <v>0</v>
      </c>
      <c r="AE125" s="100">
        <v>0</v>
      </c>
      <c r="AF125" s="100">
        <v>1</v>
      </c>
      <c r="AG125" s="100">
        <v>0</v>
      </c>
      <c r="AH125" s="100">
        <v>1</v>
      </c>
      <c r="AI125" s="100">
        <v>0</v>
      </c>
      <c r="AJ125" s="100">
        <v>0</v>
      </c>
      <c r="AK125" s="100">
        <v>1</v>
      </c>
      <c r="AL125" s="100">
        <v>0</v>
      </c>
      <c r="AM125" s="100">
        <v>1</v>
      </c>
      <c r="AN125" s="100">
        <v>0</v>
      </c>
      <c r="AO125" s="100">
        <v>1</v>
      </c>
      <c r="AP125" s="100">
        <v>0</v>
      </c>
      <c r="AQ125" s="100">
        <v>0</v>
      </c>
      <c r="AR125" s="100">
        <v>0</v>
      </c>
      <c r="AS125" s="100">
        <v>0</v>
      </c>
      <c r="AT125" s="100">
        <v>0</v>
      </c>
      <c r="AU125" s="100">
        <v>0</v>
      </c>
      <c r="AV125" s="100">
        <v>0</v>
      </c>
      <c r="AW125" s="100">
        <v>0</v>
      </c>
      <c r="AX125" s="100">
        <v>0</v>
      </c>
      <c r="AY125" s="100">
        <v>0</v>
      </c>
      <c r="AZ125" s="100">
        <v>0</v>
      </c>
      <c r="BA125" s="100">
        <v>0</v>
      </c>
      <c r="BB125" s="100">
        <v>0</v>
      </c>
      <c r="BC125" s="100">
        <v>0</v>
      </c>
      <c r="BD125" s="100">
        <v>0</v>
      </c>
      <c r="BE125" s="100">
        <v>0</v>
      </c>
      <c r="BF125" s="100">
        <v>0</v>
      </c>
      <c r="BG125" s="100">
        <v>0</v>
      </c>
      <c r="BH125" s="100">
        <v>0</v>
      </c>
      <c r="BI125" s="100">
        <v>0</v>
      </c>
      <c r="BJ125" s="100">
        <v>0</v>
      </c>
      <c r="BK125" s="100">
        <v>0</v>
      </c>
      <c r="BL125" s="100">
        <v>0</v>
      </c>
      <c r="BM125" s="100">
        <v>0</v>
      </c>
      <c r="BN125" s="100">
        <v>1</v>
      </c>
      <c r="BO125" s="100">
        <v>0</v>
      </c>
      <c r="BP125" s="100">
        <v>0</v>
      </c>
      <c r="BQ125" s="100">
        <v>0</v>
      </c>
      <c r="BR125" s="100">
        <v>0</v>
      </c>
      <c r="BS125" s="100">
        <v>0</v>
      </c>
      <c r="BT125" s="100">
        <v>0</v>
      </c>
      <c r="BU125" s="100">
        <v>0</v>
      </c>
      <c r="BV125" s="100">
        <v>0</v>
      </c>
      <c r="BW125" s="100">
        <v>0</v>
      </c>
      <c r="BX125" s="100">
        <v>0</v>
      </c>
      <c r="BY125" s="100">
        <v>0</v>
      </c>
      <c r="BZ125" s="100">
        <v>0</v>
      </c>
      <c r="CA125" s="100">
        <v>0</v>
      </c>
      <c r="CB125" s="100" t="s">
        <v>2090</v>
      </c>
      <c r="CC125" s="100">
        <v>0</v>
      </c>
      <c r="CD125" s="100">
        <v>0</v>
      </c>
      <c r="CE125" s="100">
        <v>0</v>
      </c>
      <c r="CF125" s="100">
        <v>0</v>
      </c>
      <c r="CG125" s="103">
        <v>225332.21802999999</v>
      </c>
      <c r="CH125" s="103">
        <v>13</v>
      </c>
      <c r="CI125" s="103">
        <v>3719528.8729900001</v>
      </c>
      <c r="CJ125" s="103">
        <v>37.450000000000003</v>
      </c>
      <c r="CK125" s="103">
        <f t="shared" si="4"/>
        <v>486.85</v>
      </c>
      <c r="CL125" s="103">
        <v>144041.4</v>
      </c>
      <c r="CM125" s="103">
        <v>207388.9</v>
      </c>
      <c r="CN125" s="104">
        <v>0.69454729737223153</v>
      </c>
      <c r="CO125" s="103">
        <v>22517.545880000001</v>
      </c>
      <c r="CP125" s="103">
        <v>1.03</v>
      </c>
      <c r="CQ125" s="103">
        <v>1475238.69524</v>
      </c>
      <c r="CR125" s="103">
        <v>11.79</v>
      </c>
      <c r="CS125" s="103">
        <f t="shared" si="5"/>
        <v>12.143699999999999</v>
      </c>
      <c r="CT125" s="103">
        <v>216921.4</v>
      </c>
      <c r="CU125" s="103">
        <v>701534.8</v>
      </c>
      <c r="CV125" s="104">
        <v>0.30920974982281701</v>
      </c>
      <c r="CW125" s="103">
        <v>937553.85603999998</v>
      </c>
      <c r="CX125" s="103">
        <v>51.37</v>
      </c>
      <c r="CY125" s="103">
        <v>5722249.3186299996</v>
      </c>
      <c r="CZ125" s="103">
        <v>55.727253079749289</v>
      </c>
      <c r="DA125" s="103">
        <f t="shared" si="6"/>
        <v>2862.7089907067207</v>
      </c>
      <c r="DB125" s="103">
        <v>22618</v>
      </c>
      <c r="DC125" s="103">
        <v>7328.4</v>
      </c>
      <c r="DD125" s="104">
        <v>3.0863489984171171</v>
      </c>
      <c r="DE125" s="103">
        <v>41382.348180000001</v>
      </c>
      <c r="DF125" s="103">
        <v>1.98</v>
      </c>
      <c r="DG125" s="103">
        <v>2107099.0784499999</v>
      </c>
      <c r="DH125" s="103">
        <v>15.92</v>
      </c>
      <c r="DI125" s="103">
        <f t="shared" si="7"/>
        <v>31.521599999999999</v>
      </c>
      <c r="DJ125" s="103">
        <v>207452</v>
      </c>
      <c r="DK125" s="103">
        <v>694811.7</v>
      </c>
      <c r="DL125" s="104">
        <v>0.29857298027652673</v>
      </c>
    </row>
    <row r="126" spans="1:116" s="15" customFormat="1" ht="132.94999999999999" customHeight="1" x14ac:dyDescent="0.25">
      <c r="A126" s="100" t="s">
        <v>211</v>
      </c>
      <c r="B126" s="100" t="s">
        <v>2369</v>
      </c>
      <c r="C126" s="100" t="s">
        <v>87</v>
      </c>
      <c r="D126" s="101" t="str">
        <f>"Chemistry 280"</f>
        <v>Chemistry 280</v>
      </c>
      <c r="E126" s="102" t="s">
        <v>2370</v>
      </c>
      <c r="F126" s="100">
        <v>8</v>
      </c>
      <c r="G126" s="100">
        <v>0</v>
      </c>
      <c r="H126" s="100">
        <v>0</v>
      </c>
      <c r="I126" s="100">
        <v>11</v>
      </c>
      <c r="J126" s="100">
        <v>3</v>
      </c>
      <c r="K126" s="100">
        <v>2</v>
      </c>
      <c r="L126" s="100">
        <v>2</v>
      </c>
      <c r="M126" s="100">
        <v>2</v>
      </c>
      <c r="N126" s="100">
        <v>2</v>
      </c>
      <c r="O126" s="100">
        <v>0</v>
      </c>
      <c r="P126" s="100">
        <v>2.17</v>
      </c>
      <c r="Q126" s="100">
        <v>25.78</v>
      </c>
      <c r="R126" s="100">
        <v>0</v>
      </c>
      <c r="S126" s="100">
        <v>0</v>
      </c>
      <c r="T126" s="100">
        <v>1</v>
      </c>
      <c r="U126" s="100">
        <v>0</v>
      </c>
      <c r="V126" s="100">
        <v>0</v>
      </c>
      <c r="W126" s="100">
        <v>1</v>
      </c>
      <c r="X126" s="100">
        <v>0</v>
      </c>
      <c r="Y126" s="100">
        <v>0</v>
      </c>
      <c r="Z126" s="100">
        <v>0</v>
      </c>
      <c r="AA126" s="100">
        <v>1</v>
      </c>
      <c r="AB126" s="100">
        <v>0</v>
      </c>
      <c r="AC126" s="100">
        <v>1</v>
      </c>
      <c r="AD126" s="100">
        <v>0</v>
      </c>
      <c r="AE126" s="100">
        <v>0</v>
      </c>
      <c r="AF126" s="100">
        <v>1</v>
      </c>
      <c r="AG126" s="100">
        <v>0</v>
      </c>
      <c r="AH126" s="100">
        <v>1</v>
      </c>
      <c r="AI126" s="100">
        <v>0</v>
      </c>
      <c r="AJ126" s="100">
        <v>0</v>
      </c>
      <c r="AK126" s="100">
        <v>0</v>
      </c>
      <c r="AL126" s="100">
        <v>0</v>
      </c>
      <c r="AM126" s="100">
        <v>0</v>
      </c>
      <c r="AN126" s="100">
        <v>0</v>
      </c>
      <c r="AO126" s="100">
        <v>1</v>
      </c>
      <c r="AP126" s="100">
        <v>0</v>
      </c>
      <c r="AQ126" s="100">
        <v>0</v>
      </c>
      <c r="AR126" s="100">
        <v>0</v>
      </c>
      <c r="AS126" s="100">
        <v>0</v>
      </c>
      <c r="AT126" s="100">
        <v>0</v>
      </c>
      <c r="AU126" s="100">
        <v>0</v>
      </c>
      <c r="AV126" s="100">
        <v>0</v>
      </c>
      <c r="AW126" s="100">
        <v>0</v>
      </c>
      <c r="AX126" s="100">
        <v>0</v>
      </c>
      <c r="AY126" s="100">
        <v>0</v>
      </c>
      <c r="AZ126" s="100">
        <v>0</v>
      </c>
      <c r="BA126" s="100">
        <v>0</v>
      </c>
      <c r="BB126" s="100">
        <v>0</v>
      </c>
      <c r="BC126" s="100">
        <v>0</v>
      </c>
      <c r="BD126" s="100">
        <v>0</v>
      </c>
      <c r="BE126" s="100">
        <v>0</v>
      </c>
      <c r="BF126" s="100">
        <v>0</v>
      </c>
      <c r="BG126" s="100">
        <v>0</v>
      </c>
      <c r="BH126" s="100">
        <v>0</v>
      </c>
      <c r="BI126" s="100">
        <v>0</v>
      </c>
      <c r="BJ126" s="100">
        <v>0</v>
      </c>
      <c r="BK126" s="100">
        <v>0</v>
      </c>
      <c r="BL126" s="100">
        <v>0</v>
      </c>
      <c r="BM126" s="100">
        <v>0</v>
      </c>
      <c r="BN126" s="100">
        <v>1</v>
      </c>
      <c r="BO126" s="100">
        <v>0</v>
      </c>
      <c r="BP126" s="100">
        <v>0</v>
      </c>
      <c r="BQ126" s="100">
        <v>0</v>
      </c>
      <c r="BR126" s="100">
        <v>0</v>
      </c>
      <c r="BS126" s="100">
        <v>0</v>
      </c>
      <c r="BT126" s="100">
        <v>0</v>
      </c>
      <c r="BU126" s="100">
        <v>0</v>
      </c>
      <c r="BV126" s="100">
        <v>0</v>
      </c>
      <c r="BW126" s="100">
        <v>0</v>
      </c>
      <c r="BX126" s="100">
        <v>0</v>
      </c>
      <c r="BY126" s="100">
        <v>0</v>
      </c>
      <c r="BZ126" s="100">
        <v>0</v>
      </c>
      <c r="CA126" s="100">
        <v>0</v>
      </c>
      <c r="CB126" s="100" t="s">
        <v>2090</v>
      </c>
      <c r="CC126" s="100">
        <v>0</v>
      </c>
      <c r="CD126" s="100">
        <v>0</v>
      </c>
      <c r="CE126" s="100">
        <v>0</v>
      </c>
      <c r="CF126" s="100">
        <v>0</v>
      </c>
      <c r="CG126" s="103">
        <v>1574692.2885199999</v>
      </c>
      <c r="CH126" s="103">
        <v>71.38</v>
      </c>
      <c r="CI126" s="103">
        <v>4867716.9812200004</v>
      </c>
      <c r="CJ126" s="103">
        <v>49.01</v>
      </c>
      <c r="CK126" s="103">
        <f t="shared" si="4"/>
        <v>3498.3337999999994</v>
      </c>
      <c r="CL126" s="103">
        <v>543532.1</v>
      </c>
      <c r="CM126" s="103">
        <v>438575.5</v>
      </c>
      <c r="CN126" s="104">
        <v>1.2393125014963216</v>
      </c>
      <c r="CO126" s="103">
        <v>97684.659650000001</v>
      </c>
      <c r="CP126" s="103">
        <v>4.08</v>
      </c>
      <c r="CQ126" s="103">
        <v>1296493.58923</v>
      </c>
      <c r="CR126" s="103">
        <v>11.7</v>
      </c>
      <c r="CS126" s="103">
        <f t="shared" si="5"/>
        <v>47.735999999999997</v>
      </c>
      <c r="CT126" s="103">
        <v>64485.5</v>
      </c>
      <c r="CU126" s="103">
        <v>258096</v>
      </c>
      <c r="CV126" s="104">
        <v>0.24985083069865477</v>
      </c>
      <c r="CW126" s="103">
        <v>1183961.2702599999</v>
      </c>
      <c r="CX126" s="103">
        <v>73.959999999999994</v>
      </c>
      <c r="CY126" s="103">
        <v>3754249.1212300002</v>
      </c>
      <c r="CZ126" s="103">
        <v>52.202879862454331</v>
      </c>
      <c r="DA126" s="103">
        <f t="shared" si="6"/>
        <v>3860.924994627122</v>
      </c>
      <c r="DB126" s="103">
        <v>563249.19999999995</v>
      </c>
      <c r="DC126" s="103">
        <v>729877.4</v>
      </c>
      <c r="DD126" s="104">
        <v>0.77170385053709012</v>
      </c>
      <c r="DE126" s="103">
        <v>91218.416110000006</v>
      </c>
      <c r="DF126" s="103">
        <v>4.4000000000000004</v>
      </c>
      <c r="DG126" s="103">
        <v>1246374.4265099999</v>
      </c>
      <c r="DH126" s="103">
        <v>9.25</v>
      </c>
      <c r="DI126" s="103">
        <f t="shared" si="7"/>
        <v>40.700000000000003</v>
      </c>
      <c r="DJ126" s="103">
        <v>97104</v>
      </c>
      <c r="DK126" s="103">
        <v>494206.9</v>
      </c>
      <c r="DL126" s="104">
        <v>0.19648450881604446</v>
      </c>
    </row>
    <row r="127" spans="1:116" s="15" customFormat="1" ht="145.69999999999999" customHeight="1" x14ac:dyDescent="0.25">
      <c r="A127" s="100" t="s">
        <v>212</v>
      </c>
      <c r="B127" s="100" t="s">
        <v>2371</v>
      </c>
      <c r="C127" s="100" t="s">
        <v>87</v>
      </c>
      <c r="D127" s="101" t="str">
        <f>"Chemistry 287"</f>
        <v>Chemistry 287</v>
      </c>
      <c r="E127" s="102" t="s">
        <v>2372</v>
      </c>
      <c r="F127" s="100">
        <v>9</v>
      </c>
      <c r="G127" s="100">
        <v>1</v>
      </c>
      <c r="H127" s="100">
        <v>0.11</v>
      </c>
      <c r="I127" s="100">
        <v>11</v>
      </c>
      <c r="J127" s="100">
        <v>2</v>
      </c>
      <c r="K127" s="100">
        <v>1</v>
      </c>
      <c r="L127" s="100">
        <v>1</v>
      </c>
      <c r="M127" s="100">
        <v>2</v>
      </c>
      <c r="N127" s="100">
        <v>0</v>
      </c>
      <c r="O127" s="100">
        <v>0</v>
      </c>
      <c r="P127" s="100">
        <v>3.5</v>
      </c>
      <c r="Q127" s="100">
        <v>4.93</v>
      </c>
      <c r="R127" s="100">
        <v>0</v>
      </c>
      <c r="S127" s="100">
        <v>0</v>
      </c>
      <c r="T127" s="100">
        <v>1</v>
      </c>
      <c r="U127" s="100">
        <v>0</v>
      </c>
      <c r="V127" s="100">
        <v>0</v>
      </c>
      <c r="W127" s="100">
        <v>0</v>
      </c>
      <c r="X127" s="100">
        <v>1</v>
      </c>
      <c r="Y127" s="100">
        <v>0</v>
      </c>
      <c r="Z127" s="100">
        <v>0</v>
      </c>
      <c r="AA127" s="100">
        <v>1</v>
      </c>
      <c r="AB127" s="100">
        <v>0</v>
      </c>
      <c r="AC127" s="100">
        <v>0</v>
      </c>
      <c r="AD127" s="100">
        <v>1</v>
      </c>
      <c r="AE127" s="100">
        <v>0</v>
      </c>
      <c r="AF127" s="100">
        <v>0</v>
      </c>
      <c r="AG127" s="100">
        <v>1</v>
      </c>
      <c r="AH127" s="100">
        <v>1</v>
      </c>
      <c r="AI127" s="100">
        <v>0</v>
      </c>
      <c r="AJ127" s="100">
        <v>0</v>
      </c>
      <c r="AK127" s="100">
        <v>0</v>
      </c>
      <c r="AL127" s="100">
        <v>0</v>
      </c>
      <c r="AM127" s="100">
        <v>0</v>
      </c>
      <c r="AN127" s="100">
        <v>1</v>
      </c>
      <c r="AO127" s="100">
        <v>0</v>
      </c>
      <c r="AP127" s="100">
        <v>0</v>
      </c>
      <c r="AQ127" s="100">
        <v>0</v>
      </c>
      <c r="AR127" s="100">
        <v>0</v>
      </c>
      <c r="AS127" s="100">
        <v>0</v>
      </c>
      <c r="AT127" s="100">
        <v>0</v>
      </c>
      <c r="AU127" s="100">
        <v>0</v>
      </c>
      <c r="AV127" s="100">
        <v>0</v>
      </c>
      <c r="AW127" s="100">
        <v>0</v>
      </c>
      <c r="AX127" s="100">
        <v>0</v>
      </c>
      <c r="AY127" s="100">
        <v>0</v>
      </c>
      <c r="AZ127" s="100">
        <v>0</v>
      </c>
      <c r="BA127" s="100">
        <v>0</v>
      </c>
      <c r="BB127" s="100">
        <v>0</v>
      </c>
      <c r="BC127" s="100">
        <v>0</v>
      </c>
      <c r="BD127" s="100">
        <v>0</v>
      </c>
      <c r="BE127" s="100">
        <v>0</v>
      </c>
      <c r="BF127" s="100">
        <v>0</v>
      </c>
      <c r="BG127" s="100">
        <v>0</v>
      </c>
      <c r="BH127" s="100">
        <v>0</v>
      </c>
      <c r="BI127" s="100">
        <v>0</v>
      </c>
      <c r="BJ127" s="100">
        <v>0</v>
      </c>
      <c r="BK127" s="100">
        <v>0</v>
      </c>
      <c r="BL127" s="100">
        <v>0</v>
      </c>
      <c r="BM127" s="100">
        <v>0</v>
      </c>
      <c r="BN127" s="100">
        <v>0</v>
      </c>
      <c r="BO127" s="100">
        <v>0</v>
      </c>
      <c r="BP127" s="100">
        <v>0</v>
      </c>
      <c r="BQ127" s="100">
        <v>0</v>
      </c>
      <c r="BR127" s="100">
        <v>0</v>
      </c>
      <c r="BS127" s="100">
        <v>0</v>
      </c>
      <c r="BT127" s="100">
        <v>0</v>
      </c>
      <c r="BU127" s="100">
        <v>0</v>
      </c>
      <c r="BV127" s="100">
        <v>1</v>
      </c>
      <c r="BW127" s="100">
        <v>0</v>
      </c>
      <c r="BX127" s="100">
        <v>0</v>
      </c>
      <c r="BY127" s="100">
        <v>0</v>
      </c>
      <c r="BZ127" s="100">
        <v>0</v>
      </c>
      <c r="CA127" s="100">
        <v>0</v>
      </c>
      <c r="CB127" s="100" t="s">
        <v>2090</v>
      </c>
      <c r="CC127" s="100">
        <v>0</v>
      </c>
      <c r="CD127" s="100">
        <v>0</v>
      </c>
      <c r="CE127" s="100">
        <v>0</v>
      </c>
      <c r="CF127" s="100">
        <v>0</v>
      </c>
      <c r="CG127" s="103">
        <v>317253.60852000001</v>
      </c>
      <c r="CH127" s="103">
        <v>18.14</v>
      </c>
      <c r="CI127" s="103">
        <v>4324225.1125499997</v>
      </c>
      <c r="CJ127" s="103">
        <v>34.54</v>
      </c>
      <c r="CK127" s="103">
        <f t="shared" si="4"/>
        <v>626.55560000000003</v>
      </c>
      <c r="CL127" s="103">
        <v>510748.6</v>
      </c>
      <c r="CM127" s="103">
        <v>704544.6</v>
      </c>
      <c r="CN127" s="104">
        <v>0.72493437604943678</v>
      </c>
      <c r="CO127" s="103">
        <v>0</v>
      </c>
      <c r="CP127" s="103">
        <v>0</v>
      </c>
      <c r="CQ127" s="103">
        <v>15031.951569999999</v>
      </c>
      <c r="CR127" s="103">
        <v>0</v>
      </c>
      <c r="CS127" s="103">
        <f t="shared" si="5"/>
        <v>0</v>
      </c>
      <c r="CT127" s="103">
        <v>30478.2</v>
      </c>
      <c r="CU127" s="103">
        <v>983059.9</v>
      </c>
      <c r="CV127" s="104">
        <v>3.1003400708339339E-2</v>
      </c>
      <c r="CW127" s="103">
        <v>240649.75443</v>
      </c>
      <c r="CX127" s="103">
        <v>15.73</v>
      </c>
      <c r="CY127" s="103">
        <v>3664502.57485</v>
      </c>
      <c r="CZ127" s="103">
        <v>34.092183469776828</v>
      </c>
      <c r="DA127" s="103">
        <f t="shared" si="6"/>
        <v>536.27004597958955</v>
      </c>
      <c r="DB127" s="103">
        <v>575716.69999999995</v>
      </c>
      <c r="DC127" s="103">
        <v>598428.1</v>
      </c>
      <c r="DD127" s="104">
        <v>0.96204823937913342</v>
      </c>
      <c r="DE127" s="103">
        <v>0</v>
      </c>
      <c r="DF127" s="103">
        <v>0</v>
      </c>
      <c r="DG127" s="103">
        <v>0</v>
      </c>
      <c r="DH127" s="103">
        <v>0</v>
      </c>
      <c r="DI127" s="103">
        <f t="shared" si="7"/>
        <v>0</v>
      </c>
      <c r="DJ127" s="103">
        <v>5368.5</v>
      </c>
      <c r="DK127" s="103">
        <v>386029.5</v>
      </c>
      <c r="DL127" s="104">
        <v>1.3906968249835828E-2</v>
      </c>
    </row>
    <row r="128" spans="1:116" s="15" customFormat="1" ht="121.7" customHeight="1" x14ac:dyDescent="0.25">
      <c r="A128" s="100" t="s">
        <v>213</v>
      </c>
      <c r="B128" s="100" t="s">
        <v>2373</v>
      </c>
      <c r="C128" s="100" t="s">
        <v>87</v>
      </c>
      <c r="D128" s="101" t="str">
        <f>"Chemistry 308"</f>
        <v>Chemistry 308</v>
      </c>
      <c r="E128" s="102" t="s">
        <v>2374</v>
      </c>
      <c r="F128" s="100">
        <v>8</v>
      </c>
      <c r="G128" s="100">
        <v>1</v>
      </c>
      <c r="H128" s="100">
        <v>0.13</v>
      </c>
      <c r="I128" s="100">
        <v>11</v>
      </c>
      <c r="J128" s="100">
        <v>3</v>
      </c>
      <c r="K128" s="100">
        <v>2</v>
      </c>
      <c r="L128" s="100">
        <v>2</v>
      </c>
      <c r="M128" s="100">
        <v>2</v>
      </c>
      <c r="N128" s="100">
        <v>1</v>
      </c>
      <c r="O128" s="100">
        <v>1</v>
      </c>
      <c r="P128" s="100">
        <v>2.77</v>
      </c>
      <c r="Q128" s="100">
        <v>28.68</v>
      </c>
      <c r="R128" s="100">
        <v>0</v>
      </c>
      <c r="S128" s="100">
        <v>0</v>
      </c>
      <c r="T128" s="100">
        <v>1</v>
      </c>
      <c r="U128" s="100">
        <v>0</v>
      </c>
      <c r="V128" s="100">
        <v>0</v>
      </c>
      <c r="W128" s="100">
        <v>1</v>
      </c>
      <c r="X128" s="100">
        <v>0</v>
      </c>
      <c r="Y128" s="100">
        <v>0</v>
      </c>
      <c r="Z128" s="100">
        <v>1</v>
      </c>
      <c r="AA128" s="100">
        <v>0</v>
      </c>
      <c r="AB128" s="100">
        <v>0</v>
      </c>
      <c r="AC128" s="100">
        <v>1</v>
      </c>
      <c r="AD128" s="100">
        <v>0</v>
      </c>
      <c r="AE128" s="100">
        <v>0</v>
      </c>
      <c r="AF128" s="100">
        <v>1</v>
      </c>
      <c r="AG128" s="100">
        <v>0</v>
      </c>
      <c r="AH128" s="100">
        <v>1</v>
      </c>
      <c r="AI128" s="100">
        <v>0</v>
      </c>
      <c r="AJ128" s="100">
        <v>0</v>
      </c>
      <c r="AK128" s="100">
        <v>0</v>
      </c>
      <c r="AL128" s="100">
        <v>0</v>
      </c>
      <c r="AM128" s="100">
        <v>0</v>
      </c>
      <c r="AN128" s="100">
        <v>1</v>
      </c>
      <c r="AO128" s="100">
        <v>0</v>
      </c>
      <c r="AP128" s="100">
        <v>0</v>
      </c>
      <c r="AQ128" s="100">
        <v>0</v>
      </c>
      <c r="AR128" s="100">
        <v>0</v>
      </c>
      <c r="AS128" s="100">
        <v>0</v>
      </c>
      <c r="AT128" s="100">
        <v>0</v>
      </c>
      <c r="AU128" s="100">
        <v>0</v>
      </c>
      <c r="AV128" s="100">
        <v>0</v>
      </c>
      <c r="AW128" s="100">
        <v>0</v>
      </c>
      <c r="AX128" s="100">
        <v>0</v>
      </c>
      <c r="AY128" s="100">
        <v>0</v>
      </c>
      <c r="AZ128" s="100">
        <v>0</v>
      </c>
      <c r="BA128" s="100">
        <v>0</v>
      </c>
      <c r="BB128" s="100">
        <v>0</v>
      </c>
      <c r="BC128" s="100">
        <v>0</v>
      </c>
      <c r="BD128" s="100">
        <v>0</v>
      </c>
      <c r="BE128" s="100">
        <v>0</v>
      </c>
      <c r="BF128" s="100">
        <v>0</v>
      </c>
      <c r="BG128" s="100">
        <v>0</v>
      </c>
      <c r="BH128" s="100">
        <v>0</v>
      </c>
      <c r="BI128" s="100">
        <v>0</v>
      </c>
      <c r="BJ128" s="100">
        <v>0</v>
      </c>
      <c r="BK128" s="100">
        <v>0</v>
      </c>
      <c r="BL128" s="100">
        <v>0</v>
      </c>
      <c r="BM128" s="100">
        <v>0</v>
      </c>
      <c r="BN128" s="100">
        <v>0</v>
      </c>
      <c r="BO128" s="100">
        <v>0</v>
      </c>
      <c r="BP128" s="100">
        <v>0</v>
      </c>
      <c r="BQ128" s="100">
        <v>0</v>
      </c>
      <c r="BR128" s="100">
        <v>1</v>
      </c>
      <c r="BS128" s="100">
        <v>0</v>
      </c>
      <c r="BT128" s="100">
        <v>1</v>
      </c>
      <c r="BU128" s="100">
        <v>0</v>
      </c>
      <c r="BV128" s="100">
        <v>0</v>
      </c>
      <c r="BW128" s="100">
        <v>0</v>
      </c>
      <c r="BX128" s="100">
        <v>0</v>
      </c>
      <c r="BY128" s="100">
        <v>0</v>
      </c>
      <c r="BZ128" s="100">
        <v>0</v>
      </c>
      <c r="CA128" s="100">
        <v>0</v>
      </c>
      <c r="CB128" s="100" t="s">
        <v>2090</v>
      </c>
      <c r="CC128" s="100">
        <v>0</v>
      </c>
      <c r="CD128" s="100">
        <v>0</v>
      </c>
      <c r="CE128" s="100">
        <v>0</v>
      </c>
      <c r="CF128" s="100">
        <v>0</v>
      </c>
      <c r="CG128" s="103">
        <v>0</v>
      </c>
      <c r="CH128" s="103">
        <v>0</v>
      </c>
      <c r="CI128" s="103">
        <v>96417.598559999999</v>
      </c>
      <c r="CJ128" s="103">
        <v>4.0999999999999996</v>
      </c>
      <c r="CK128" s="103">
        <f t="shared" si="4"/>
        <v>0</v>
      </c>
      <c r="CL128" s="103">
        <v>47379.3</v>
      </c>
      <c r="CM128" s="103">
        <v>1049808</v>
      </c>
      <c r="CN128" s="104">
        <v>4.5131395455168949E-2</v>
      </c>
      <c r="CO128" s="103">
        <v>0</v>
      </c>
      <c r="CP128" s="103">
        <v>0</v>
      </c>
      <c r="CQ128" s="103">
        <v>15683.05539</v>
      </c>
      <c r="CR128" s="103">
        <v>2.48</v>
      </c>
      <c r="CS128" s="103">
        <f t="shared" si="5"/>
        <v>0</v>
      </c>
      <c r="CT128" s="103">
        <v>20529.599999999999</v>
      </c>
      <c r="CU128" s="103">
        <v>799145.8</v>
      </c>
      <c r="CV128" s="104">
        <v>2.5689429888763726E-2</v>
      </c>
      <c r="CW128" s="103">
        <v>0</v>
      </c>
      <c r="CX128" s="103">
        <v>0</v>
      </c>
      <c r="CY128" s="103">
        <v>0</v>
      </c>
      <c r="CZ128" s="103">
        <v>0</v>
      </c>
      <c r="DA128" s="103">
        <f t="shared" si="6"/>
        <v>0</v>
      </c>
      <c r="DB128" s="103">
        <v>11260</v>
      </c>
      <c r="DC128" s="103">
        <v>500100.5</v>
      </c>
      <c r="DD128" s="104">
        <v>2.2515474389647679E-2</v>
      </c>
      <c r="DE128" s="103">
        <v>9408.3813800000007</v>
      </c>
      <c r="DF128" s="103">
        <v>0.57999999999999996</v>
      </c>
      <c r="DG128" s="103">
        <v>87611.500690000001</v>
      </c>
      <c r="DH128" s="103">
        <v>1.1599999999999999</v>
      </c>
      <c r="DI128" s="103">
        <f t="shared" si="7"/>
        <v>0.67279999999999995</v>
      </c>
      <c r="DJ128" s="103">
        <v>22402.6</v>
      </c>
      <c r="DK128" s="103">
        <v>882084.7</v>
      </c>
      <c r="DL128" s="104">
        <v>2.5397334292273747E-2</v>
      </c>
    </row>
    <row r="129" spans="1:116" s="15" customFormat="1" ht="145.69999999999999" customHeight="1" x14ac:dyDescent="0.25">
      <c r="A129" s="100" t="s">
        <v>214</v>
      </c>
      <c r="B129" s="100" t="s">
        <v>2375</v>
      </c>
      <c r="C129" s="100" t="s">
        <v>87</v>
      </c>
      <c r="D129" s="101" t="str">
        <f>"Chemistry 315"</f>
        <v>Chemistry 315</v>
      </c>
      <c r="E129" s="102" t="s">
        <v>2376</v>
      </c>
      <c r="F129" s="100">
        <v>8</v>
      </c>
      <c r="G129" s="100">
        <v>1</v>
      </c>
      <c r="H129" s="100">
        <v>0.13</v>
      </c>
      <c r="I129" s="100">
        <v>11</v>
      </c>
      <c r="J129" s="100">
        <v>3</v>
      </c>
      <c r="K129" s="100">
        <v>2</v>
      </c>
      <c r="L129" s="100">
        <v>1</v>
      </c>
      <c r="M129" s="100">
        <v>2</v>
      </c>
      <c r="N129" s="100">
        <v>1</v>
      </c>
      <c r="O129" s="100">
        <v>0</v>
      </c>
      <c r="P129" s="100">
        <v>2.75</v>
      </c>
      <c r="Q129" s="100">
        <v>26.03</v>
      </c>
      <c r="R129" s="100">
        <v>0</v>
      </c>
      <c r="S129" s="100">
        <v>0</v>
      </c>
      <c r="T129" s="100">
        <v>1</v>
      </c>
      <c r="U129" s="100">
        <v>0</v>
      </c>
      <c r="V129" s="100">
        <v>0</v>
      </c>
      <c r="W129" s="100">
        <v>0</v>
      </c>
      <c r="X129" s="100">
        <v>1</v>
      </c>
      <c r="Y129" s="100">
        <v>0</v>
      </c>
      <c r="Z129" s="100">
        <v>0</v>
      </c>
      <c r="AA129" s="100">
        <v>1</v>
      </c>
      <c r="AB129" s="100">
        <v>0</v>
      </c>
      <c r="AC129" s="100">
        <v>1</v>
      </c>
      <c r="AD129" s="100">
        <v>0</v>
      </c>
      <c r="AE129" s="100">
        <v>0</v>
      </c>
      <c r="AF129" s="100">
        <v>1</v>
      </c>
      <c r="AG129" s="100">
        <v>0</v>
      </c>
      <c r="AH129" s="100">
        <v>1</v>
      </c>
      <c r="AI129" s="100">
        <v>0</v>
      </c>
      <c r="AJ129" s="100">
        <v>0</v>
      </c>
      <c r="AK129" s="100">
        <v>0</v>
      </c>
      <c r="AL129" s="100">
        <v>0</v>
      </c>
      <c r="AM129" s="100">
        <v>0</v>
      </c>
      <c r="AN129" s="100">
        <v>1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  <c r="AU129" s="100">
        <v>0</v>
      </c>
      <c r="AV129" s="100">
        <v>0</v>
      </c>
      <c r="AW129" s="100">
        <v>0</v>
      </c>
      <c r="AX129" s="100">
        <v>0</v>
      </c>
      <c r="AY129" s="100">
        <v>0</v>
      </c>
      <c r="AZ129" s="100">
        <v>0</v>
      </c>
      <c r="BA129" s="100">
        <v>0</v>
      </c>
      <c r="BB129" s="100">
        <v>0</v>
      </c>
      <c r="BC129" s="100">
        <v>0</v>
      </c>
      <c r="BD129" s="100">
        <v>0</v>
      </c>
      <c r="BE129" s="100">
        <v>0</v>
      </c>
      <c r="BF129" s="100">
        <v>0</v>
      </c>
      <c r="BG129" s="100">
        <v>0</v>
      </c>
      <c r="BH129" s="100">
        <v>0</v>
      </c>
      <c r="BI129" s="100">
        <v>0</v>
      </c>
      <c r="BJ129" s="100">
        <v>0</v>
      </c>
      <c r="BK129" s="100">
        <v>0</v>
      </c>
      <c r="BL129" s="100">
        <v>0</v>
      </c>
      <c r="BM129" s="100">
        <v>0</v>
      </c>
      <c r="BN129" s="100">
        <v>0</v>
      </c>
      <c r="BO129" s="100">
        <v>0</v>
      </c>
      <c r="BP129" s="100">
        <v>0</v>
      </c>
      <c r="BQ129" s="100">
        <v>1</v>
      </c>
      <c r="BR129" s="100">
        <v>0</v>
      </c>
      <c r="BS129" s="100">
        <v>0</v>
      </c>
      <c r="BT129" s="100">
        <v>0</v>
      </c>
      <c r="BU129" s="100">
        <v>1</v>
      </c>
      <c r="BV129" s="100">
        <v>0</v>
      </c>
      <c r="BW129" s="100">
        <v>0</v>
      </c>
      <c r="BX129" s="100">
        <v>0</v>
      </c>
      <c r="BY129" s="100">
        <v>0</v>
      </c>
      <c r="BZ129" s="100">
        <v>0</v>
      </c>
      <c r="CA129" s="100">
        <v>0</v>
      </c>
      <c r="CB129" s="100" t="s">
        <v>2090</v>
      </c>
      <c r="CC129" s="100">
        <v>0</v>
      </c>
      <c r="CD129" s="100">
        <v>0</v>
      </c>
      <c r="CE129" s="100">
        <v>0</v>
      </c>
      <c r="CF129" s="100">
        <v>0</v>
      </c>
      <c r="CG129" s="103">
        <v>328765.38884000003</v>
      </c>
      <c r="CH129" s="103">
        <v>28.86</v>
      </c>
      <c r="CI129" s="103">
        <v>3441956.7868599999</v>
      </c>
      <c r="CJ129" s="103">
        <v>34.54</v>
      </c>
      <c r="CK129" s="103">
        <f t="shared" si="4"/>
        <v>996.82439999999997</v>
      </c>
      <c r="CL129" s="103">
        <v>89387.199999999997</v>
      </c>
      <c r="CM129" s="103">
        <v>545599.19999999995</v>
      </c>
      <c r="CN129" s="104">
        <v>0.16383308479924458</v>
      </c>
      <c r="CO129" s="103">
        <v>27982.457399999999</v>
      </c>
      <c r="CP129" s="103">
        <v>1.9100000000000001</v>
      </c>
      <c r="CQ129" s="103">
        <v>996956.01283999998</v>
      </c>
      <c r="CR129" s="103">
        <v>13.43</v>
      </c>
      <c r="CS129" s="103">
        <f t="shared" si="5"/>
        <v>25.651300000000003</v>
      </c>
      <c r="CT129" s="103">
        <v>29548.3</v>
      </c>
      <c r="CU129" s="103">
        <v>740976.8</v>
      </c>
      <c r="CV129" s="104">
        <v>3.9877496839307247E-2</v>
      </c>
      <c r="CW129" s="103">
        <v>351106.10888000001</v>
      </c>
      <c r="CX129" s="103">
        <v>39.5</v>
      </c>
      <c r="CY129" s="103">
        <v>3260239.5305699999</v>
      </c>
      <c r="CZ129" s="103">
        <v>37.324937574639023</v>
      </c>
      <c r="DA129" s="103">
        <f t="shared" si="6"/>
        <v>1474.3350341982414</v>
      </c>
      <c r="DB129" s="103">
        <v>584740.69999999995</v>
      </c>
      <c r="DC129" s="103">
        <v>818416</v>
      </c>
      <c r="DD129" s="104">
        <v>0.7144785781314148</v>
      </c>
      <c r="DE129" s="103">
        <v>20462.9414</v>
      </c>
      <c r="DF129" s="103">
        <v>1.6800000000000002</v>
      </c>
      <c r="DG129" s="103">
        <v>762934.35442999995</v>
      </c>
      <c r="DH129" s="103">
        <v>8.48</v>
      </c>
      <c r="DI129" s="103">
        <f t="shared" si="7"/>
        <v>14.246400000000001</v>
      </c>
      <c r="DJ129" s="103">
        <v>84330.2</v>
      </c>
      <c r="DK129" s="103">
        <v>1038156.4</v>
      </c>
      <c r="DL129" s="104">
        <v>8.1230727855648721E-2</v>
      </c>
    </row>
    <row r="130" spans="1:116" s="15" customFormat="1" ht="141.19999999999999" customHeight="1" x14ac:dyDescent="0.25">
      <c r="A130" s="100" t="s">
        <v>215</v>
      </c>
      <c r="B130" s="100" t="s">
        <v>2377</v>
      </c>
      <c r="C130" s="100" t="s">
        <v>87</v>
      </c>
      <c r="D130" s="101" t="str">
        <f>"Chemistry 208"</f>
        <v>Chemistry 208</v>
      </c>
      <c r="E130" s="102" t="s">
        <v>2378</v>
      </c>
      <c r="F130" s="100">
        <v>7</v>
      </c>
      <c r="G130" s="100">
        <v>1</v>
      </c>
      <c r="H130" s="100">
        <v>0.14000000000000001</v>
      </c>
      <c r="I130" s="100">
        <v>11</v>
      </c>
      <c r="J130" s="100">
        <v>4</v>
      </c>
      <c r="K130" s="100">
        <v>3</v>
      </c>
      <c r="L130" s="100">
        <v>3</v>
      </c>
      <c r="M130" s="100">
        <v>2</v>
      </c>
      <c r="N130" s="100">
        <v>2</v>
      </c>
      <c r="O130" s="100">
        <v>0</v>
      </c>
      <c r="P130" s="100">
        <v>2.0699999999999998</v>
      </c>
      <c r="Q130" s="100">
        <v>30.71</v>
      </c>
      <c r="R130" s="100">
        <v>0</v>
      </c>
      <c r="S130" s="100">
        <v>0</v>
      </c>
      <c r="T130" s="100">
        <v>1</v>
      </c>
      <c r="U130" s="100">
        <v>0</v>
      </c>
      <c r="V130" s="100">
        <v>0</v>
      </c>
      <c r="W130" s="100">
        <v>1</v>
      </c>
      <c r="X130" s="100">
        <v>0</v>
      </c>
      <c r="Y130" s="100">
        <v>0</v>
      </c>
      <c r="Z130" s="100">
        <v>0</v>
      </c>
      <c r="AA130" s="100">
        <v>1</v>
      </c>
      <c r="AB130" s="100">
        <v>0</v>
      </c>
      <c r="AC130" s="100">
        <v>1</v>
      </c>
      <c r="AD130" s="100">
        <v>0</v>
      </c>
      <c r="AE130" s="100">
        <v>0</v>
      </c>
      <c r="AF130" s="100">
        <v>1</v>
      </c>
      <c r="AG130" s="100">
        <v>0</v>
      </c>
      <c r="AH130" s="100">
        <v>0</v>
      </c>
      <c r="AI130" s="100">
        <v>1</v>
      </c>
      <c r="AJ130" s="100">
        <v>0</v>
      </c>
      <c r="AK130" s="100">
        <v>0</v>
      </c>
      <c r="AL130" s="100">
        <v>0</v>
      </c>
      <c r="AM130" s="100">
        <v>0</v>
      </c>
      <c r="AN130" s="100">
        <v>1</v>
      </c>
      <c r="AO130" s="100">
        <v>0</v>
      </c>
      <c r="AP130" s="100">
        <v>0</v>
      </c>
      <c r="AQ130" s="100">
        <v>0</v>
      </c>
      <c r="AR130" s="100">
        <v>0</v>
      </c>
      <c r="AS130" s="100">
        <v>0</v>
      </c>
      <c r="AT130" s="100">
        <v>0</v>
      </c>
      <c r="AU130" s="100">
        <v>0</v>
      </c>
      <c r="AV130" s="100">
        <v>0</v>
      </c>
      <c r="AW130" s="100">
        <v>0</v>
      </c>
      <c r="AX130" s="100">
        <v>0</v>
      </c>
      <c r="AY130" s="100">
        <v>0</v>
      </c>
      <c r="AZ130" s="100">
        <v>0</v>
      </c>
      <c r="BA130" s="100">
        <v>0</v>
      </c>
      <c r="BB130" s="100">
        <v>0</v>
      </c>
      <c r="BC130" s="100">
        <v>0</v>
      </c>
      <c r="BD130" s="100">
        <v>0</v>
      </c>
      <c r="BE130" s="100">
        <v>0</v>
      </c>
      <c r="BF130" s="100">
        <v>0</v>
      </c>
      <c r="BG130" s="100">
        <v>0</v>
      </c>
      <c r="BH130" s="100">
        <v>0</v>
      </c>
      <c r="BI130" s="100">
        <v>0</v>
      </c>
      <c r="BJ130" s="100">
        <v>0</v>
      </c>
      <c r="BK130" s="100">
        <v>0</v>
      </c>
      <c r="BL130" s="100">
        <v>0</v>
      </c>
      <c r="BM130" s="100">
        <v>0</v>
      </c>
      <c r="BN130" s="100">
        <v>0</v>
      </c>
      <c r="BO130" s="100">
        <v>0</v>
      </c>
      <c r="BP130" s="100">
        <v>0</v>
      </c>
      <c r="BQ130" s="100">
        <v>0</v>
      </c>
      <c r="BR130" s="100">
        <v>0</v>
      </c>
      <c r="BS130" s="100">
        <v>0</v>
      </c>
      <c r="BT130" s="100">
        <v>0</v>
      </c>
      <c r="BU130" s="100">
        <v>0</v>
      </c>
      <c r="BV130" s="100">
        <v>1</v>
      </c>
      <c r="BW130" s="100">
        <v>0</v>
      </c>
      <c r="BX130" s="100">
        <v>0</v>
      </c>
      <c r="BY130" s="100">
        <v>0</v>
      </c>
      <c r="BZ130" s="100">
        <v>0</v>
      </c>
      <c r="CA130" s="100">
        <v>0</v>
      </c>
      <c r="CB130" s="100" t="s">
        <v>2090</v>
      </c>
      <c r="CC130" s="100">
        <v>0</v>
      </c>
      <c r="CD130" s="100">
        <v>0</v>
      </c>
      <c r="CE130" s="100">
        <v>0</v>
      </c>
      <c r="CF130" s="100">
        <v>0</v>
      </c>
      <c r="CG130" s="103">
        <v>404470.33717000001</v>
      </c>
      <c r="CH130" s="103">
        <v>32.83</v>
      </c>
      <c r="CI130" s="103">
        <v>3128989.5597799998</v>
      </c>
      <c r="CJ130" s="103">
        <v>35.619999999999997</v>
      </c>
      <c r="CK130" s="103">
        <f t="shared" ref="CK130:CK194" si="8">CJ130*CH130</f>
        <v>1169.4045999999998</v>
      </c>
      <c r="CL130" s="103">
        <v>359443.8</v>
      </c>
      <c r="CM130" s="103">
        <v>547351.1</v>
      </c>
      <c r="CN130" s="104">
        <v>0.65669695374687287</v>
      </c>
      <c r="CO130" s="103">
        <v>11647.42092</v>
      </c>
      <c r="CP130" s="103">
        <v>0.72</v>
      </c>
      <c r="CQ130" s="103">
        <v>318647.05300000001</v>
      </c>
      <c r="CR130" s="103">
        <v>4.66</v>
      </c>
      <c r="CS130" s="103">
        <f t="shared" ref="CS130:CS194" si="9">CR130*CP130</f>
        <v>3.3552</v>
      </c>
      <c r="CT130" s="103">
        <v>24210.7</v>
      </c>
      <c r="CU130" s="103">
        <v>719564.9</v>
      </c>
      <c r="CV130" s="104">
        <v>3.364630487117979E-2</v>
      </c>
      <c r="CW130" s="103">
        <v>790716.94250999996</v>
      </c>
      <c r="CX130" s="103">
        <v>48</v>
      </c>
      <c r="CY130" s="103">
        <v>3723481.7472600001</v>
      </c>
      <c r="CZ130" s="103">
        <v>40.33029612756264</v>
      </c>
      <c r="DA130" s="103">
        <f t="shared" ref="DA130:DA194" si="10">CZ130*CX130</f>
        <v>1935.8542141230068</v>
      </c>
      <c r="DB130" s="103">
        <v>263614.59999999998</v>
      </c>
      <c r="DC130" s="103">
        <v>293887.2</v>
      </c>
      <c r="DD130" s="104">
        <v>0.89699245152561924</v>
      </c>
      <c r="DE130" s="103">
        <v>30410.168160000001</v>
      </c>
      <c r="DF130" s="103">
        <v>1.78</v>
      </c>
      <c r="DG130" s="103">
        <v>779596.38609000004</v>
      </c>
      <c r="DH130" s="103">
        <v>7.82</v>
      </c>
      <c r="DI130" s="103">
        <f t="shared" ref="DI130:DI194" si="11">DH130*DF130</f>
        <v>13.919600000000001</v>
      </c>
      <c r="DJ130" s="103">
        <v>80205.5</v>
      </c>
      <c r="DK130" s="103">
        <v>767219.19999999995</v>
      </c>
      <c r="DL130" s="104">
        <v>0.10454052766145581</v>
      </c>
    </row>
    <row r="131" spans="1:116" s="15" customFormat="1" ht="120.2" customHeight="1" x14ac:dyDescent="0.25">
      <c r="A131" s="100" t="s">
        <v>216</v>
      </c>
      <c r="B131" s="100" t="s">
        <v>2379</v>
      </c>
      <c r="C131" s="100" t="s">
        <v>87</v>
      </c>
      <c r="D131" s="101" t="str">
        <f>"Chemistry 264"</f>
        <v>Chemistry 264</v>
      </c>
      <c r="E131" s="102" t="s">
        <v>2380</v>
      </c>
      <c r="F131" s="100">
        <v>8</v>
      </c>
      <c r="G131" s="100">
        <v>0</v>
      </c>
      <c r="H131" s="100">
        <v>0</v>
      </c>
      <c r="I131" s="100">
        <v>10</v>
      </c>
      <c r="J131" s="100">
        <v>2</v>
      </c>
      <c r="K131" s="100">
        <v>1</v>
      </c>
      <c r="L131" s="100">
        <v>0</v>
      </c>
      <c r="M131" s="100">
        <v>2</v>
      </c>
      <c r="N131" s="100">
        <v>0</v>
      </c>
      <c r="O131" s="100">
        <v>0</v>
      </c>
      <c r="P131" s="100">
        <v>4.07</v>
      </c>
      <c r="Q131" s="100">
        <v>0</v>
      </c>
      <c r="R131" s="100">
        <v>0</v>
      </c>
      <c r="S131" s="100">
        <v>0</v>
      </c>
      <c r="T131" s="100">
        <v>1</v>
      </c>
      <c r="U131" s="100">
        <v>0</v>
      </c>
      <c r="V131" s="100">
        <v>0</v>
      </c>
      <c r="W131" s="100">
        <v>0</v>
      </c>
      <c r="X131" s="100">
        <v>1</v>
      </c>
      <c r="Y131" s="100">
        <v>0</v>
      </c>
      <c r="Z131" s="100">
        <v>0</v>
      </c>
      <c r="AA131" s="100">
        <v>1</v>
      </c>
      <c r="AB131" s="100">
        <v>0</v>
      </c>
      <c r="AC131" s="100">
        <v>0</v>
      </c>
      <c r="AD131" s="100">
        <v>1</v>
      </c>
      <c r="AE131" s="100">
        <v>0</v>
      </c>
      <c r="AF131" s="100">
        <v>0</v>
      </c>
      <c r="AG131" s="100">
        <v>1</v>
      </c>
      <c r="AH131" s="100">
        <v>1</v>
      </c>
      <c r="AI131" s="100">
        <v>0</v>
      </c>
      <c r="AJ131" s="100">
        <v>0</v>
      </c>
      <c r="AK131" s="100">
        <v>0</v>
      </c>
      <c r="AL131" s="100">
        <v>0</v>
      </c>
      <c r="AM131" s="100">
        <v>0</v>
      </c>
      <c r="AN131" s="100">
        <v>1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  <c r="AU131" s="100">
        <v>0</v>
      </c>
      <c r="AV131" s="100">
        <v>0</v>
      </c>
      <c r="AW131" s="100">
        <v>0</v>
      </c>
      <c r="AX131" s="100">
        <v>0</v>
      </c>
      <c r="AY131" s="100">
        <v>0</v>
      </c>
      <c r="AZ131" s="100">
        <v>0</v>
      </c>
      <c r="BA131" s="100">
        <v>0</v>
      </c>
      <c r="BB131" s="100">
        <v>0</v>
      </c>
      <c r="BC131" s="100">
        <v>0</v>
      </c>
      <c r="BD131" s="100">
        <v>0</v>
      </c>
      <c r="BE131" s="100">
        <v>0</v>
      </c>
      <c r="BF131" s="100">
        <v>0</v>
      </c>
      <c r="BG131" s="100">
        <v>0</v>
      </c>
      <c r="BH131" s="100">
        <v>0</v>
      </c>
      <c r="BI131" s="100">
        <v>0</v>
      </c>
      <c r="BJ131" s="100">
        <v>0</v>
      </c>
      <c r="BK131" s="100">
        <v>0</v>
      </c>
      <c r="BL131" s="100">
        <v>0</v>
      </c>
      <c r="BM131" s="100">
        <v>0</v>
      </c>
      <c r="BN131" s="100">
        <v>0</v>
      </c>
      <c r="BO131" s="100">
        <v>0</v>
      </c>
      <c r="BP131" s="100">
        <v>0</v>
      </c>
      <c r="BQ131" s="100">
        <v>0</v>
      </c>
      <c r="BR131" s="100">
        <v>0</v>
      </c>
      <c r="BS131" s="100">
        <v>0</v>
      </c>
      <c r="BT131" s="100">
        <v>0</v>
      </c>
      <c r="BU131" s="100">
        <v>0</v>
      </c>
      <c r="BV131" s="100">
        <v>1</v>
      </c>
      <c r="BW131" s="100">
        <v>0</v>
      </c>
      <c r="BX131" s="100">
        <v>0</v>
      </c>
      <c r="BY131" s="100">
        <v>0</v>
      </c>
      <c r="BZ131" s="100">
        <v>0</v>
      </c>
      <c r="CA131" s="100">
        <v>0</v>
      </c>
      <c r="CB131" s="100" t="s">
        <v>2090</v>
      </c>
      <c r="CC131" s="100">
        <v>0</v>
      </c>
      <c r="CD131" s="100">
        <v>0</v>
      </c>
      <c r="CE131" s="100">
        <v>0</v>
      </c>
      <c r="CF131" s="100">
        <v>0</v>
      </c>
      <c r="CG131" s="103">
        <v>312951.14607999998</v>
      </c>
      <c r="CH131" s="103">
        <v>24.47</v>
      </c>
      <c r="CI131" s="103">
        <v>3870602.8822900001</v>
      </c>
      <c r="CJ131" s="103">
        <v>39.82</v>
      </c>
      <c r="CK131" s="103">
        <f t="shared" si="8"/>
        <v>974.3954</v>
      </c>
      <c r="CL131" s="103">
        <v>33600.800000000003</v>
      </c>
      <c r="CM131" s="103">
        <v>223542.6</v>
      </c>
      <c r="CN131" s="104">
        <v>0.15031050010154665</v>
      </c>
      <c r="CO131" s="103">
        <v>0</v>
      </c>
      <c r="CP131" s="103">
        <v>0</v>
      </c>
      <c r="CQ131" s="103">
        <v>60800.04019</v>
      </c>
      <c r="CR131" s="103">
        <v>2.09</v>
      </c>
      <c r="CS131" s="103">
        <f t="shared" si="9"/>
        <v>0</v>
      </c>
      <c r="CT131" s="103">
        <v>8237.7000000000007</v>
      </c>
      <c r="CU131" s="103">
        <v>870437.7</v>
      </c>
      <c r="CV131" s="104">
        <v>9.4638593893623876E-3</v>
      </c>
      <c r="CW131" s="103">
        <v>517614.43341</v>
      </c>
      <c r="CX131" s="103">
        <v>45.67</v>
      </c>
      <c r="CY131" s="103">
        <v>4153586.2179200002</v>
      </c>
      <c r="CZ131" s="103">
        <v>44.12016249732735</v>
      </c>
      <c r="DA131" s="103">
        <f t="shared" si="10"/>
        <v>2014.9678212529402</v>
      </c>
      <c r="DB131" s="103">
        <v>418812.2</v>
      </c>
      <c r="DC131" s="103">
        <v>931875.2</v>
      </c>
      <c r="DD131" s="104">
        <v>0.44942949442157065</v>
      </c>
      <c r="DE131" s="103">
        <v>20546.171679999999</v>
      </c>
      <c r="DF131" s="103">
        <v>1.56</v>
      </c>
      <c r="DG131" s="103">
        <v>582592.93839999998</v>
      </c>
      <c r="DH131" s="103">
        <v>6.18</v>
      </c>
      <c r="DI131" s="103">
        <f t="shared" si="11"/>
        <v>9.6408000000000005</v>
      </c>
      <c r="DJ131" s="103">
        <v>16385</v>
      </c>
      <c r="DK131" s="103">
        <v>709756.8</v>
      </c>
      <c r="DL131" s="104">
        <v>2.3085372341624624E-2</v>
      </c>
    </row>
    <row r="132" spans="1:116" s="15" customFormat="1" ht="154.69999999999999" customHeight="1" x14ac:dyDescent="0.25">
      <c r="A132" s="100" t="s">
        <v>217</v>
      </c>
      <c r="B132" s="100" t="s">
        <v>2381</v>
      </c>
      <c r="C132" s="100" t="s">
        <v>87</v>
      </c>
      <c r="D132" s="101" t="str">
        <f>"Chemistry 196"</f>
        <v>Chemistry 196</v>
      </c>
      <c r="E132" s="102" t="s">
        <v>2382</v>
      </c>
      <c r="F132" s="100">
        <v>7</v>
      </c>
      <c r="G132" s="100">
        <v>0</v>
      </c>
      <c r="H132" s="100">
        <v>0</v>
      </c>
      <c r="I132" s="100">
        <v>11</v>
      </c>
      <c r="J132" s="100">
        <v>4</v>
      </c>
      <c r="K132" s="100">
        <v>3</v>
      </c>
      <c r="L132" s="100">
        <v>1</v>
      </c>
      <c r="M132" s="100">
        <v>2</v>
      </c>
      <c r="N132" s="100">
        <v>2</v>
      </c>
      <c r="O132" s="100">
        <v>1</v>
      </c>
      <c r="P132" s="100">
        <v>2.69</v>
      </c>
      <c r="Q132" s="100">
        <v>46.26</v>
      </c>
      <c r="R132" s="100">
        <v>0</v>
      </c>
      <c r="S132" s="100">
        <v>0</v>
      </c>
      <c r="T132" s="100">
        <v>1</v>
      </c>
      <c r="U132" s="100">
        <v>0</v>
      </c>
      <c r="V132" s="100">
        <v>0</v>
      </c>
      <c r="W132" s="100">
        <v>0</v>
      </c>
      <c r="X132" s="100">
        <v>1</v>
      </c>
      <c r="Y132" s="100">
        <v>0</v>
      </c>
      <c r="Z132" s="100">
        <v>1</v>
      </c>
      <c r="AA132" s="100">
        <v>0</v>
      </c>
      <c r="AB132" s="100">
        <v>0</v>
      </c>
      <c r="AC132" s="100">
        <v>1</v>
      </c>
      <c r="AD132" s="100">
        <v>0</v>
      </c>
      <c r="AE132" s="100">
        <v>0</v>
      </c>
      <c r="AF132" s="100">
        <v>1</v>
      </c>
      <c r="AG132" s="100">
        <v>0</v>
      </c>
      <c r="AH132" s="100">
        <v>0</v>
      </c>
      <c r="AI132" s="100">
        <v>1</v>
      </c>
      <c r="AJ132" s="100">
        <v>0</v>
      </c>
      <c r="AK132" s="100">
        <v>0</v>
      </c>
      <c r="AL132" s="100">
        <v>0</v>
      </c>
      <c r="AM132" s="100">
        <v>0</v>
      </c>
      <c r="AN132" s="100">
        <v>1</v>
      </c>
      <c r="AO132" s="100">
        <v>0</v>
      </c>
      <c r="AP132" s="100">
        <v>0</v>
      </c>
      <c r="AQ132" s="100">
        <v>0</v>
      </c>
      <c r="AR132" s="100">
        <v>0</v>
      </c>
      <c r="AS132" s="100">
        <v>0</v>
      </c>
      <c r="AT132" s="100">
        <v>0</v>
      </c>
      <c r="AU132" s="100">
        <v>0</v>
      </c>
      <c r="AV132" s="100">
        <v>0</v>
      </c>
      <c r="AW132" s="100">
        <v>0</v>
      </c>
      <c r="AX132" s="100">
        <v>0</v>
      </c>
      <c r="AY132" s="100">
        <v>0</v>
      </c>
      <c r="AZ132" s="100">
        <v>0</v>
      </c>
      <c r="BA132" s="100">
        <v>0</v>
      </c>
      <c r="BB132" s="100">
        <v>0</v>
      </c>
      <c r="BC132" s="100">
        <v>0</v>
      </c>
      <c r="BD132" s="100">
        <v>1</v>
      </c>
      <c r="BE132" s="100">
        <v>0</v>
      </c>
      <c r="BF132" s="100">
        <v>0</v>
      </c>
      <c r="BG132" s="100">
        <v>0</v>
      </c>
      <c r="BH132" s="100">
        <v>0</v>
      </c>
      <c r="BI132" s="100">
        <v>0</v>
      </c>
      <c r="BJ132" s="100">
        <v>1</v>
      </c>
      <c r="BK132" s="100">
        <v>0</v>
      </c>
      <c r="BL132" s="100">
        <v>0</v>
      </c>
      <c r="BM132" s="100">
        <v>0</v>
      </c>
      <c r="BN132" s="100">
        <v>0</v>
      </c>
      <c r="BO132" s="100">
        <v>0</v>
      </c>
      <c r="BP132" s="100">
        <v>0</v>
      </c>
      <c r="BQ132" s="100">
        <v>1</v>
      </c>
      <c r="BR132" s="100">
        <v>0</v>
      </c>
      <c r="BS132" s="100">
        <v>0</v>
      </c>
      <c r="BT132" s="100">
        <v>0</v>
      </c>
      <c r="BU132" s="100">
        <v>1</v>
      </c>
      <c r="BV132" s="100">
        <v>0</v>
      </c>
      <c r="BW132" s="100">
        <v>0</v>
      </c>
      <c r="BX132" s="100">
        <v>0</v>
      </c>
      <c r="BY132" s="100">
        <v>0</v>
      </c>
      <c r="BZ132" s="100">
        <v>0</v>
      </c>
      <c r="CA132" s="100">
        <v>0</v>
      </c>
      <c r="CB132" s="100" t="s">
        <v>2090</v>
      </c>
      <c r="CC132" s="100">
        <v>0</v>
      </c>
      <c r="CD132" s="100">
        <v>0</v>
      </c>
      <c r="CE132" s="100">
        <v>0</v>
      </c>
      <c r="CF132" s="100">
        <v>0</v>
      </c>
      <c r="CG132" s="103">
        <v>13775.92275</v>
      </c>
      <c r="CH132" s="103">
        <v>0.99</v>
      </c>
      <c r="CI132" s="103">
        <v>113387.55067</v>
      </c>
      <c r="CJ132" s="103">
        <v>8.98</v>
      </c>
      <c r="CK132" s="103">
        <f t="shared" si="8"/>
        <v>8.8902000000000001</v>
      </c>
      <c r="CL132" s="103">
        <v>0</v>
      </c>
      <c r="CM132" s="103">
        <v>14853.4</v>
      </c>
      <c r="CN132" s="104">
        <v>0</v>
      </c>
      <c r="CO132" s="103">
        <v>0</v>
      </c>
      <c r="CP132" s="103">
        <v>0</v>
      </c>
      <c r="CQ132" s="103">
        <v>5523.9569700000002</v>
      </c>
      <c r="CR132" s="103">
        <v>1.25</v>
      </c>
      <c r="CS132" s="103">
        <f t="shared" si="9"/>
        <v>0</v>
      </c>
      <c r="CT132" s="103">
        <v>885</v>
      </c>
      <c r="CU132" s="103">
        <v>346987.2</v>
      </c>
      <c r="CV132" s="104">
        <v>2.5505263594737789E-3</v>
      </c>
      <c r="CW132" s="103">
        <v>10107.91662</v>
      </c>
      <c r="CX132" s="103">
        <v>0.88</v>
      </c>
      <c r="CY132" s="103">
        <v>153205.45079</v>
      </c>
      <c r="CZ132" s="103">
        <v>12.660011743981208</v>
      </c>
      <c r="DA132" s="103">
        <f t="shared" si="10"/>
        <v>11.140810334703463</v>
      </c>
      <c r="DB132" s="103">
        <v>2219</v>
      </c>
      <c r="DC132" s="103">
        <v>504303.5</v>
      </c>
      <c r="DD132" s="104">
        <v>4.4001280974651181E-3</v>
      </c>
      <c r="DE132" s="103">
        <v>16423.628550000001</v>
      </c>
      <c r="DF132" s="103">
        <v>0.72</v>
      </c>
      <c r="DG132" s="103">
        <v>25129.032599999999</v>
      </c>
      <c r="DH132" s="103">
        <v>3.8</v>
      </c>
      <c r="DI132" s="103">
        <f t="shared" si="11"/>
        <v>2.7359999999999998</v>
      </c>
      <c r="DJ132" s="103">
        <v>2193.6</v>
      </c>
      <c r="DK132" s="103">
        <v>530432.80000000005</v>
      </c>
      <c r="DL132" s="104">
        <v>4.1354908670806177E-3</v>
      </c>
    </row>
    <row r="133" spans="1:116" s="15" customFormat="1" ht="121.7" customHeight="1" x14ac:dyDescent="0.25">
      <c r="A133" s="100" t="s">
        <v>218</v>
      </c>
      <c r="B133" s="100" t="s">
        <v>2383</v>
      </c>
      <c r="C133" s="100" t="s">
        <v>87</v>
      </c>
      <c r="D133" s="101" t="str">
        <f>"Chemistry 278"</f>
        <v>Chemistry 278</v>
      </c>
      <c r="E133" s="102" t="s">
        <v>2384</v>
      </c>
      <c r="F133" s="100">
        <v>7</v>
      </c>
      <c r="G133" s="100">
        <v>0</v>
      </c>
      <c r="H133" s="100">
        <v>0</v>
      </c>
      <c r="I133" s="100">
        <v>11</v>
      </c>
      <c r="J133" s="100">
        <v>4</v>
      </c>
      <c r="K133" s="100">
        <v>3</v>
      </c>
      <c r="L133" s="100">
        <v>1</v>
      </c>
      <c r="M133" s="100">
        <v>1</v>
      </c>
      <c r="N133" s="100">
        <v>2</v>
      </c>
      <c r="O133" s="100">
        <v>1</v>
      </c>
      <c r="P133" s="100">
        <v>2.02</v>
      </c>
      <c r="Q133" s="100">
        <v>38.33</v>
      </c>
      <c r="R133" s="100">
        <v>0</v>
      </c>
      <c r="S133" s="100">
        <v>0</v>
      </c>
      <c r="T133" s="100">
        <v>1</v>
      </c>
      <c r="U133" s="100">
        <v>0</v>
      </c>
      <c r="V133" s="100">
        <v>0</v>
      </c>
      <c r="W133" s="100">
        <v>0</v>
      </c>
      <c r="X133" s="100">
        <v>1</v>
      </c>
      <c r="Y133" s="100">
        <v>0</v>
      </c>
      <c r="Z133" s="100">
        <v>1</v>
      </c>
      <c r="AA133" s="100">
        <v>0</v>
      </c>
      <c r="AB133" s="100">
        <v>0</v>
      </c>
      <c r="AC133" s="100">
        <v>1</v>
      </c>
      <c r="AD133" s="100">
        <v>0</v>
      </c>
      <c r="AE133" s="100">
        <v>0</v>
      </c>
      <c r="AF133" s="100">
        <v>1</v>
      </c>
      <c r="AG133" s="100">
        <v>0</v>
      </c>
      <c r="AH133" s="100">
        <v>0</v>
      </c>
      <c r="AI133" s="100">
        <v>1</v>
      </c>
      <c r="AJ133" s="100">
        <v>0</v>
      </c>
      <c r="AK133" s="100">
        <v>0</v>
      </c>
      <c r="AL133" s="100">
        <v>0</v>
      </c>
      <c r="AM133" s="100">
        <v>0</v>
      </c>
      <c r="AN133" s="100">
        <v>1</v>
      </c>
      <c r="AO133" s="100">
        <v>0</v>
      </c>
      <c r="AP133" s="100">
        <v>0</v>
      </c>
      <c r="AQ133" s="100">
        <v>0</v>
      </c>
      <c r="AR133" s="100">
        <v>0</v>
      </c>
      <c r="AS133" s="100">
        <v>0</v>
      </c>
      <c r="AT133" s="100">
        <v>0</v>
      </c>
      <c r="AU133" s="100">
        <v>0</v>
      </c>
      <c r="AV133" s="100">
        <v>0</v>
      </c>
      <c r="AW133" s="100">
        <v>0</v>
      </c>
      <c r="AX133" s="100">
        <v>0</v>
      </c>
      <c r="AY133" s="100">
        <v>0</v>
      </c>
      <c r="AZ133" s="100">
        <v>0</v>
      </c>
      <c r="BA133" s="100">
        <v>0</v>
      </c>
      <c r="BB133" s="100">
        <v>0</v>
      </c>
      <c r="BC133" s="100">
        <v>0</v>
      </c>
      <c r="BD133" s="100">
        <v>1</v>
      </c>
      <c r="BE133" s="100">
        <v>0</v>
      </c>
      <c r="BF133" s="100">
        <v>0</v>
      </c>
      <c r="BG133" s="100">
        <v>0</v>
      </c>
      <c r="BH133" s="100">
        <v>0</v>
      </c>
      <c r="BI133" s="100">
        <v>0</v>
      </c>
      <c r="BJ133" s="100">
        <v>1</v>
      </c>
      <c r="BK133" s="100">
        <v>0</v>
      </c>
      <c r="BL133" s="100">
        <v>0</v>
      </c>
      <c r="BM133" s="100">
        <v>0</v>
      </c>
      <c r="BN133" s="100">
        <v>0</v>
      </c>
      <c r="BO133" s="100">
        <v>0</v>
      </c>
      <c r="BP133" s="100">
        <v>0</v>
      </c>
      <c r="BQ133" s="100">
        <v>0</v>
      </c>
      <c r="BR133" s="100">
        <v>0</v>
      </c>
      <c r="BS133" s="100">
        <v>0</v>
      </c>
      <c r="BT133" s="100">
        <v>0</v>
      </c>
      <c r="BU133" s="100">
        <v>0</v>
      </c>
      <c r="BV133" s="100">
        <v>0</v>
      </c>
      <c r="BW133" s="100">
        <v>0</v>
      </c>
      <c r="BX133" s="100">
        <v>0</v>
      </c>
      <c r="BY133" s="100">
        <v>0</v>
      </c>
      <c r="BZ133" s="100">
        <v>0</v>
      </c>
      <c r="CA133" s="100">
        <v>0</v>
      </c>
      <c r="CB133" s="100" t="s">
        <v>2090</v>
      </c>
      <c r="CC133" s="100">
        <v>0</v>
      </c>
      <c r="CD133" s="100">
        <v>0</v>
      </c>
      <c r="CE133" s="100">
        <v>0</v>
      </c>
      <c r="CF133" s="100">
        <v>0</v>
      </c>
      <c r="CG133" s="103">
        <v>60183.18245</v>
      </c>
      <c r="CH133" s="103">
        <v>14.49</v>
      </c>
      <c r="CI133" s="103">
        <v>821676.61338999995</v>
      </c>
      <c r="CJ133" s="103">
        <v>14.1</v>
      </c>
      <c r="CK133" s="103">
        <f t="shared" si="8"/>
        <v>204.309</v>
      </c>
      <c r="CL133" s="103">
        <v>15343.8</v>
      </c>
      <c r="CM133" s="103">
        <v>631631.30000000005</v>
      </c>
      <c r="CN133" s="104">
        <v>2.4292336367751247E-2</v>
      </c>
      <c r="CO133" s="103">
        <v>15525.421179999999</v>
      </c>
      <c r="CP133" s="103">
        <v>2.9699999999999998</v>
      </c>
      <c r="CQ133" s="103">
        <v>15665.1677</v>
      </c>
      <c r="CR133" s="103">
        <v>0</v>
      </c>
      <c r="CS133" s="103">
        <f t="shared" si="9"/>
        <v>0</v>
      </c>
      <c r="CT133" s="103">
        <v>1669.8</v>
      </c>
      <c r="CU133" s="103">
        <v>607199</v>
      </c>
      <c r="CV133" s="104">
        <v>2.7500045289929661E-3</v>
      </c>
      <c r="CW133" s="103">
        <v>0</v>
      </c>
      <c r="CX133" s="103">
        <v>0</v>
      </c>
      <c r="CY133" s="103">
        <v>10017.22133</v>
      </c>
      <c r="CZ133" s="103">
        <v>1</v>
      </c>
      <c r="DA133" s="103">
        <f t="shared" si="10"/>
        <v>0</v>
      </c>
      <c r="DB133" s="103">
        <v>1252.2</v>
      </c>
      <c r="DC133" s="103">
        <v>787009.4</v>
      </c>
      <c r="DD133" s="104">
        <v>1.5910864597042933E-3</v>
      </c>
      <c r="DE133" s="103">
        <v>20929.961490000002</v>
      </c>
      <c r="DF133" s="103">
        <v>2.79</v>
      </c>
      <c r="DG133" s="103">
        <v>32612.181530000002</v>
      </c>
      <c r="DH133" s="103">
        <v>0</v>
      </c>
      <c r="DI133" s="103">
        <f t="shared" si="11"/>
        <v>0</v>
      </c>
      <c r="DJ133" s="103">
        <v>672.7</v>
      </c>
      <c r="DK133" s="103">
        <v>189781.2</v>
      </c>
      <c r="DL133" s="104">
        <v>3.5446082119830625E-3</v>
      </c>
    </row>
    <row r="134" spans="1:116" s="15" customFormat="1" ht="170.45" customHeight="1" x14ac:dyDescent="0.25">
      <c r="A134" s="100" t="s">
        <v>219</v>
      </c>
      <c r="B134" s="100" t="s">
        <v>2385</v>
      </c>
      <c r="C134" s="100" t="s">
        <v>87</v>
      </c>
      <c r="D134" s="101" t="str">
        <f>"Chemistry 351"</f>
        <v>Chemistry 351</v>
      </c>
      <c r="E134" s="102" t="s">
        <v>2386</v>
      </c>
      <c r="F134" s="100">
        <v>7</v>
      </c>
      <c r="G134" s="100">
        <v>0</v>
      </c>
      <c r="H134" s="100">
        <v>0</v>
      </c>
      <c r="I134" s="100">
        <v>10</v>
      </c>
      <c r="J134" s="100">
        <v>3</v>
      </c>
      <c r="K134" s="100">
        <v>2</v>
      </c>
      <c r="L134" s="100">
        <v>1</v>
      </c>
      <c r="M134" s="100">
        <v>2</v>
      </c>
      <c r="N134" s="100">
        <v>1</v>
      </c>
      <c r="O134" s="100">
        <v>0</v>
      </c>
      <c r="P134" s="100">
        <v>2.97</v>
      </c>
      <c r="Q134" s="100">
        <v>12.89</v>
      </c>
      <c r="R134" s="100">
        <v>0</v>
      </c>
      <c r="S134" s="100">
        <v>0</v>
      </c>
      <c r="T134" s="100">
        <v>1</v>
      </c>
      <c r="U134" s="100">
        <v>0</v>
      </c>
      <c r="V134" s="100">
        <v>0</v>
      </c>
      <c r="W134" s="100">
        <v>0</v>
      </c>
      <c r="X134" s="100">
        <v>1</v>
      </c>
      <c r="Y134" s="100">
        <v>0</v>
      </c>
      <c r="Z134" s="100">
        <v>0</v>
      </c>
      <c r="AA134" s="100">
        <v>1</v>
      </c>
      <c r="AB134" s="100">
        <v>0</v>
      </c>
      <c r="AC134" s="100">
        <v>1</v>
      </c>
      <c r="AD134" s="100">
        <v>0</v>
      </c>
      <c r="AE134" s="100">
        <v>0</v>
      </c>
      <c r="AF134" s="100">
        <v>1</v>
      </c>
      <c r="AG134" s="100">
        <v>0</v>
      </c>
      <c r="AH134" s="100">
        <v>1</v>
      </c>
      <c r="AI134" s="100">
        <v>0</v>
      </c>
      <c r="AJ134" s="100">
        <v>0</v>
      </c>
      <c r="AK134" s="100">
        <v>0</v>
      </c>
      <c r="AL134" s="100">
        <v>0</v>
      </c>
      <c r="AM134" s="100">
        <v>0</v>
      </c>
      <c r="AN134" s="100">
        <v>1</v>
      </c>
      <c r="AO134" s="100">
        <v>0</v>
      </c>
      <c r="AP134" s="100">
        <v>0</v>
      </c>
      <c r="AQ134" s="100">
        <v>0</v>
      </c>
      <c r="AR134" s="100">
        <v>0</v>
      </c>
      <c r="AS134" s="100">
        <v>0</v>
      </c>
      <c r="AT134" s="100">
        <v>0</v>
      </c>
      <c r="AU134" s="100">
        <v>0</v>
      </c>
      <c r="AV134" s="100">
        <v>0</v>
      </c>
      <c r="AW134" s="100">
        <v>0</v>
      </c>
      <c r="AX134" s="100">
        <v>0</v>
      </c>
      <c r="AY134" s="100">
        <v>0</v>
      </c>
      <c r="AZ134" s="100">
        <v>0</v>
      </c>
      <c r="BA134" s="100">
        <v>0</v>
      </c>
      <c r="BB134" s="100">
        <v>0</v>
      </c>
      <c r="BC134" s="100">
        <v>0</v>
      </c>
      <c r="BD134" s="100">
        <v>0</v>
      </c>
      <c r="BE134" s="100">
        <v>0</v>
      </c>
      <c r="BF134" s="100">
        <v>0</v>
      </c>
      <c r="BG134" s="100">
        <v>0</v>
      </c>
      <c r="BH134" s="100">
        <v>0</v>
      </c>
      <c r="BI134" s="100">
        <v>0</v>
      </c>
      <c r="BJ134" s="100">
        <v>0</v>
      </c>
      <c r="BK134" s="100">
        <v>0</v>
      </c>
      <c r="BL134" s="100">
        <v>0</v>
      </c>
      <c r="BM134" s="100">
        <v>0</v>
      </c>
      <c r="BN134" s="100">
        <v>0</v>
      </c>
      <c r="BO134" s="100">
        <v>0</v>
      </c>
      <c r="BP134" s="100">
        <v>0</v>
      </c>
      <c r="BQ134" s="100">
        <v>0</v>
      </c>
      <c r="BR134" s="100">
        <v>0</v>
      </c>
      <c r="BS134" s="100">
        <v>0</v>
      </c>
      <c r="BT134" s="100">
        <v>0</v>
      </c>
      <c r="BU134" s="100">
        <v>0</v>
      </c>
      <c r="BV134" s="100">
        <v>1</v>
      </c>
      <c r="BW134" s="100">
        <v>0</v>
      </c>
      <c r="BX134" s="100">
        <v>0</v>
      </c>
      <c r="BY134" s="100">
        <v>0</v>
      </c>
      <c r="BZ134" s="100">
        <v>0</v>
      </c>
      <c r="CA134" s="100">
        <v>0</v>
      </c>
      <c r="CB134" s="100" t="s">
        <v>2090</v>
      </c>
      <c r="CC134" s="100">
        <v>0</v>
      </c>
      <c r="CD134" s="100">
        <v>0</v>
      </c>
      <c r="CE134" s="100">
        <v>0</v>
      </c>
      <c r="CF134" s="100">
        <v>0</v>
      </c>
      <c r="CG134" s="103">
        <v>367864.98366999999</v>
      </c>
      <c r="CH134" s="103">
        <v>28.11</v>
      </c>
      <c r="CI134" s="103">
        <v>2879127.7604299998</v>
      </c>
      <c r="CJ134" s="103">
        <v>27.65</v>
      </c>
      <c r="CK134" s="103">
        <f t="shared" si="8"/>
        <v>777.24149999999997</v>
      </c>
      <c r="CL134" s="103">
        <v>147453</v>
      </c>
      <c r="CM134" s="103">
        <v>671247.6</v>
      </c>
      <c r="CN134" s="104">
        <v>0.21967005915551877</v>
      </c>
      <c r="CO134" s="103">
        <v>0</v>
      </c>
      <c r="CP134" s="103">
        <v>0</v>
      </c>
      <c r="CQ134" s="103">
        <v>36683.572139999997</v>
      </c>
      <c r="CR134" s="103">
        <v>0</v>
      </c>
      <c r="CS134" s="103">
        <f t="shared" si="9"/>
        <v>0</v>
      </c>
      <c r="CT134" s="103">
        <v>8230.2000000000007</v>
      </c>
      <c r="CU134" s="103">
        <v>582745.9</v>
      </c>
      <c r="CV134" s="104">
        <v>1.412313668787717E-2</v>
      </c>
      <c r="CW134" s="103">
        <v>714425.76613</v>
      </c>
      <c r="CX134" s="103">
        <v>47.87</v>
      </c>
      <c r="CY134" s="103">
        <v>3601319.0381999998</v>
      </c>
      <c r="CZ134" s="103">
        <v>42.10584834334</v>
      </c>
      <c r="DA134" s="103">
        <f t="shared" si="10"/>
        <v>2015.6069601956856</v>
      </c>
      <c r="DB134" s="103">
        <v>425800.5</v>
      </c>
      <c r="DC134" s="103">
        <v>894176.4</v>
      </c>
      <c r="DD134" s="104">
        <v>0.47619295253151389</v>
      </c>
      <c r="DE134" s="103">
        <v>26133.819070000001</v>
      </c>
      <c r="DF134" s="103">
        <v>1.3900000000000001</v>
      </c>
      <c r="DG134" s="103">
        <v>474090.10339</v>
      </c>
      <c r="DH134" s="103">
        <v>3.56</v>
      </c>
      <c r="DI134" s="103">
        <f t="shared" si="11"/>
        <v>4.9484000000000004</v>
      </c>
      <c r="DJ134" s="103">
        <v>7308.3</v>
      </c>
      <c r="DK134" s="103">
        <v>465089.2</v>
      </c>
      <c r="DL134" s="104">
        <v>1.5713759855098763E-2</v>
      </c>
    </row>
    <row r="135" spans="1:116" s="15" customFormat="1" ht="170.45" customHeight="1" x14ac:dyDescent="0.25">
      <c r="A135" s="100" t="s">
        <v>220</v>
      </c>
      <c r="B135" s="100" t="s">
        <v>2387</v>
      </c>
      <c r="C135" s="100" t="s">
        <v>87</v>
      </c>
      <c r="D135" s="101" t="str">
        <f>"Chemistry 325"</f>
        <v>Chemistry 325</v>
      </c>
      <c r="E135" s="102" t="s">
        <v>2388</v>
      </c>
      <c r="F135" s="100">
        <v>9</v>
      </c>
      <c r="G135" s="100">
        <v>0</v>
      </c>
      <c r="H135" s="100">
        <v>0</v>
      </c>
      <c r="I135" s="100">
        <v>12</v>
      </c>
      <c r="J135" s="100">
        <v>3</v>
      </c>
      <c r="K135" s="100">
        <v>2</v>
      </c>
      <c r="L135" s="100">
        <v>2</v>
      </c>
      <c r="M135" s="100">
        <v>2</v>
      </c>
      <c r="N135" s="100">
        <v>1</v>
      </c>
      <c r="O135" s="100">
        <v>1</v>
      </c>
      <c r="P135" s="100">
        <v>3.25</v>
      </c>
      <c r="Q135" s="100">
        <v>28.68</v>
      </c>
      <c r="R135" s="100">
        <v>1</v>
      </c>
      <c r="S135" s="100">
        <v>0</v>
      </c>
      <c r="T135" s="100">
        <v>1</v>
      </c>
      <c r="U135" s="100">
        <v>0</v>
      </c>
      <c r="V135" s="100">
        <v>0</v>
      </c>
      <c r="W135" s="100">
        <v>1</v>
      </c>
      <c r="X135" s="100">
        <v>0</v>
      </c>
      <c r="Y135" s="100">
        <v>0</v>
      </c>
      <c r="Z135" s="100">
        <v>1</v>
      </c>
      <c r="AA135" s="100">
        <v>0</v>
      </c>
      <c r="AB135" s="100">
        <v>0</v>
      </c>
      <c r="AC135" s="100">
        <v>1</v>
      </c>
      <c r="AD135" s="100">
        <v>0</v>
      </c>
      <c r="AE135" s="100">
        <v>0</v>
      </c>
      <c r="AF135" s="100">
        <v>0</v>
      </c>
      <c r="AG135" s="100">
        <v>1</v>
      </c>
      <c r="AH135" s="100">
        <v>1</v>
      </c>
      <c r="AI135" s="100">
        <v>0</v>
      </c>
      <c r="AJ135" s="100">
        <v>0</v>
      </c>
      <c r="AK135" s="100">
        <v>0</v>
      </c>
      <c r="AL135" s="100">
        <v>0</v>
      </c>
      <c r="AM135" s="100">
        <v>0</v>
      </c>
      <c r="AN135" s="100">
        <v>1</v>
      </c>
      <c r="AO135" s="100">
        <v>0</v>
      </c>
      <c r="AP135" s="100">
        <v>0</v>
      </c>
      <c r="AQ135" s="100">
        <v>0</v>
      </c>
      <c r="AR135" s="100">
        <v>0</v>
      </c>
      <c r="AS135" s="100">
        <v>0</v>
      </c>
      <c r="AT135" s="100">
        <v>0</v>
      </c>
      <c r="AU135" s="100">
        <v>0</v>
      </c>
      <c r="AV135" s="100">
        <v>0</v>
      </c>
      <c r="AW135" s="100">
        <v>0</v>
      </c>
      <c r="AX135" s="100">
        <v>0</v>
      </c>
      <c r="AY135" s="100">
        <v>0</v>
      </c>
      <c r="AZ135" s="100">
        <v>0</v>
      </c>
      <c r="BA135" s="100">
        <v>0</v>
      </c>
      <c r="BB135" s="100">
        <v>0</v>
      </c>
      <c r="BC135" s="100">
        <v>0</v>
      </c>
      <c r="BD135" s="100">
        <v>0</v>
      </c>
      <c r="BE135" s="100">
        <v>0</v>
      </c>
      <c r="BF135" s="100">
        <v>0</v>
      </c>
      <c r="BG135" s="100">
        <v>0</v>
      </c>
      <c r="BH135" s="100">
        <v>0</v>
      </c>
      <c r="BI135" s="100">
        <v>0</v>
      </c>
      <c r="BJ135" s="100">
        <v>0</v>
      </c>
      <c r="BK135" s="100">
        <v>0</v>
      </c>
      <c r="BL135" s="100">
        <v>0</v>
      </c>
      <c r="BM135" s="100">
        <v>0</v>
      </c>
      <c r="BN135" s="100">
        <v>0</v>
      </c>
      <c r="BO135" s="100">
        <v>0</v>
      </c>
      <c r="BP135" s="100">
        <v>0</v>
      </c>
      <c r="BQ135" s="100">
        <v>0</v>
      </c>
      <c r="BR135" s="100">
        <v>1</v>
      </c>
      <c r="BS135" s="100">
        <v>0</v>
      </c>
      <c r="BT135" s="100">
        <v>1</v>
      </c>
      <c r="BU135" s="100">
        <v>0</v>
      </c>
      <c r="BV135" s="100">
        <v>0</v>
      </c>
      <c r="BW135" s="100">
        <v>0</v>
      </c>
      <c r="BX135" s="100">
        <v>0</v>
      </c>
      <c r="BY135" s="100">
        <v>0</v>
      </c>
      <c r="BZ135" s="100">
        <v>0</v>
      </c>
      <c r="CA135" s="100">
        <v>0</v>
      </c>
      <c r="CB135" s="100" t="s">
        <v>2090</v>
      </c>
      <c r="CC135" s="100">
        <v>0</v>
      </c>
      <c r="CD135" s="100">
        <v>0</v>
      </c>
      <c r="CE135" s="100">
        <v>0</v>
      </c>
      <c r="CF135" s="100">
        <v>0</v>
      </c>
      <c r="CG135" s="103">
        <v>18064.171200000001</v>
      </c>
      <c r="CH135" s="103">
        <v>1.21</v>
      </c>
      <c r="CI135" s="103">
        <v>429055.31004999997</v>
      </c>
      <c r="CJ135" s="103">
        <v>5.15</v>
      </c>
      <c r="CK135" s="103">
        <f t="shared" si="8"/>
        <v>6.2315000000000005</v>
      </c>
      <c r="CL135" s="103">
        <v>41748.5</v>
      </c>
      <c r="CM135" s="103">
        <v>555266.4</v>
      </c>
      <c r="CN135" s="104">
        <v>7.5186433034665878E-2</v>
      </c>
      <c r="CO135" s="103">
        <v>0</v>
      </c>
      <c r="CP135" s="103">
        <v>0</v>
      </c>
      <c r="CQ135" s="103">
        <v>83027.167419999998</v>
      </c>
      <c r="CR135" s="103">
        <v>0</v>
      </c>
      <c r="CS135" s="103">
        <f t="shared" si="9"/>
        <v>0</v>
      </c>
      <c r="CT135" s="103">
        <v>10770.5</v>
      </c>
      <c r="CU135" s="103">
        <v>595138.6</v>
      </c>
      <c r="CV135" s="104">
        <v>1.8097465027474273E-2</v>
      </c>
      <c r="CW135" s="103">
        <v>0</v>
      </c>
      <c r="CX135" s="103">
        <v>0</v>
      </c>
      <c r="CY135" s="103">
        <v>1485.5272</v>
      </c>
      <c r="CZ135" s="103">
        <v>0</v>
      </c>
      <c r="DA135" s="103">
        <f t="shared" si="10"/>
        <v>0</v>
      </c>
      <c r="DB135" s="103">
        <v>22511.200000000001</v>
      </c>
      <c r="DC135" s="103">
        <v>657011.30000000005</v>
      </c>
      <c r="DD135" s="104">
        <v>3.4263033223325079E-2</v>
      </c>
      <c r="DE135" s="103">
        <v>0</v>
      </c>
      <c r="DF135" s="103">
        <v>0</v>
      </c>
      <c r="DG135" s="103">
        <v>3643.35412</v>
      </c>
      <c r="DH135" s="103">
        <v>1.47</v>
      </c>
      <c r="DI135" s="103">
        <f t="shared" si="11"/>
        <v>0</v>
      </c>
      <c r="DJ135" s="103">
        <v>7500.6</v>
      </c>
      <c r="DK135" s="103">
        <v>490398.7</v>
      </c>
      <c r="DL135" s="104">
        <v>1.5294901882896509E-2</v>
      </c>
    </row>
    <row r="136" spans="1:116" s="15" customFormat="1" ht="165.95" customHeight="1" x14ac:dyDescent="0.25">
      <c r="A136" s="100" t="s">
        <v>221</v>
      </c>
      <c r="B136" s="100" t="s">
        <v>2389</v>
      </c>
      <c r="C136" s="100" t="s">
        <v>87</v>
      </c>
      <c r="D136" s="101" t="str">
        <f>"Chemistry 215"</f>
        <v>Chemistry 215</v>
      </c>
      <c r="E136" s="102" t="s">
        <v>2390</v>
      </c>
      <c r="F136" s="100">
        <v>9</v>
      </c>
      <c r="G136" s="100">
        <v>0</v>
      </c>
      <c r="H136" s="100">
        <v>0</v>
      </c>
      <c r="I136" s="100">
        <v>12</v>
      </c>
      <c r="J136" s="100">
        <v>3</v>
      </c>
      <c r="K136" s="100">
        <v>2</v>
      </c>
      <c r="L136" s="100">
        <v>2</v>
      </c>
      <c r="M136" s="100">
        <v>2</v>
      </c>
      <c r="N136" s="100">
        <v>1</v>
      </c>
      <c r="O136" s="100">
        <v>0</v>
      </c>
      <c r="P136" s="100">
        <v>3.15</v>
      </c>
      <c r="Q136" s="100">
        <v>17.82</v>
      </c>
      <c r="R136" s="100">
        <v>1</v>
      </c>
      <c r="S136" s="100">
        <v>0</v>
      </c>
      <c r="T136" s="100">
        <v>1</v>
      </c>
      <c r="U136" s="100">
        <v>0</v>
      </c>
      <c r="V136" s="100">
        <v>0</v>
      </c>
      <c r="W136" s="100">
        <v>1</v>
      </c>
      <c r="X136" s="100">
        <v>0</v>
      </c>
      <c r="Y136" s="100">
        <v>0</v>
      </c>
      <c r="Z136" s="100">
        <v>0</v>
      </c>
      <c r="AA136" s="100">
        <v>1</v>
      </c>
      <c r="AB136" s="100">
        <v>0</v>
      </c>
      <c r="AC136" s="100">
        <v>1</v>
      </c>
      <c r="AD136" s="100">
        <v>0</v>
      </c>
      <c r="AE136" s="100">
        <v>0</v>
      </c>
      <c r="AF136" s="100">
        <v>0</v>
      </c>
      <c r="AG136" s="100">
        <v>1</v>
      </c>
      <c r="AH136" s="100">
        <v>1</v>
      </c>
      <c r="AI136" s="100">
        <v>0</v>
      </c>
      <c r="AJ136" s="100">
        <v>0</v>
      </c>
      <c r="AK136" s="100">
        <v>1</v>
      </c>
      <c r="AL136" s="100">
        <v>1</v>
      </c>
      <c r="AM136" s="100">
        <v>0</v>
      </c>
      <c r="AN136" s="100">
        <v>1</v>
      </c>
      <c r="AO136" s="100">
        <v>0</v>
      </c>
      <c r="AP136" s="100">
        <v>0</v>
      </c>
      <c r="AQ136" s="100">
        <v>0</v>
      </c>
      <c r="AR136" s="100">
        <v>0</v>
      </c>
      <c r="AS136" s="100">
        <v>0</v>
      </c>
      <c r="AT136" s="100">
        <v>0</v>
      </c>
      <c r="AU136" s="100">
        <v>0</v>
      </c>
      <c r="AV136" s="100">
        <v>0</v>
      </c>
      <c r="AW136" s="100">
        <v>0</v>
      </c>
      <c r="AX136" s="100">
        <v>0</v>
      </c>
      <c r="AY136" s="100">
        <v>0</v>
      </c>
      <c r="AZ136" s="100">
        <v>0</v>
      </c>
      <c r="BA136" s="100">
        <v>0</v>
      </c>
      <c r="BB136" s="100">
        <v>0</v>
      </c>
      <c r="BC136" s="100">
        <v>0</v>
      </c>
      <c r="BD136" s="100">
        <v>0</v>
      </c>
      <c r="BE136" s="100">
        <v>0</v>
      </c>
      <c r="BF136" s="100">
        <v>0</v>
      </c>
      <c r="BG136" s="100">
        <v>0</v>
      </c>
      <c r="BH136" s="100">
        <v>0</v>
      </c>
      <c r="BI136" s="100">
        <v>0</v>
      </c>
      <c r="BJ136" s="100">
        <v>0</v>
      </c>
      <c r="BK136" s="100">
        <v>0</v>
      </c>
      <c r="BL136" s="100">
        <v>0</v>
      </c>
      <c r="BM136" s="100">
        <v>0</v>
      </c>
      <c r="BN136" s="100">
        <v>0</v>
      </c>
      <c r="BO136" s="100">
        <v>0</v>
      </c>
      <c r="BP136" s="100">
        <v>0</v>
      </c>
      <c r="BQ136" s="100">
        <v>0</v>
      </c>
      <c r="BR136" s="100">
        <v>0</v>
      </c>
      <c r="BS136" s="100">
        <v>0</v>
      </c>
      <c r="BT136" s="100">
        <v>0</v>
      </c>
      <c r="BU136" s="100">
        <v>0</v>
      </c>
      <c r="BV136" s="100">
        <v>1</v>
      </c>
      <c r="BW136" s="100">
        <v>0</v>
      </c>
      <c r="BX136" s="100">
        <v>0</v>
      </c>
      <c r="BY136" s="100">
        <v>0</v>
      </c>
      <c r="BZ136" s="100">
        <v>0</v>
      </c>
      <c r="CA136" s="100">
        <v>0</v>
      </c>
      <c r="CB136" s="100" t="s">
        <v>2090</v>
      </c>
      <c r="CC136" s="100">
        <v>0</v>
      </c>
      <c r="CD136" s="100">
        <v>0</v>
      </c>
      <c r="CE136" s="100">
        <v>0</v>
      </c>
      <c r="CF136" s="100">
        <v>0</v>
      </c>
      <c r="CG136" s="103">
        <v>273269.19987999997</v>
      </c>
      <c r="CH136" s="103">
        <v>25.9</v>
      </c>
      <c r="CI136" s="103">
        <v>4407543.6137399999</v>
      </c>
      <c r="CJ136" s="103">
        <v>35.83</v>
      </c>
      <c r="CK136" s="103">
        <f t="shared" si="8"/>
        <v>927.99699999999996</v>
      </c>
      <c r="CL136" s="103">
        <v>501997.9</v>
      </c>
      <c r="CM136" s="103">
        <v>582089.80000000005</v>
      </c>
      <c r="CN136" s="104">
        <v>0.86240628164245448</v>
      </c>
      <c r="CO136" s="103">
        <v>49739.433519999999</v>
      </c>
      <c r="CP136" s="103">
        <v>3.24</v>
      </c>
      <c r="CQ136" s="103">
        <v>2420045.6800299999</v>
      </c>
      <c r="CR136" s="103">
        <v>20.38</v>
      </c>
      <c r="CS136" s="103">
        <f t="shared" si="9"/>
        <v>66.031199999999998</v>
      </c>
      <c r="CT136" s="103">
        <v>106301.5</v>
      </c>
      <c r="CU136" s="103">
        <v>598515.80000000005</v>
      </c>
      <c r="CV136" s="104">
        <v>0.17760851091984536</v>
      </c>
      <c r="CW136" s="103">
        <v>0</v>
      </c>
      <c r="CX136" s="103">
        <v>0</v>
      </c>
      <c r="CY136" s="103">
        <v>4294.8309600000002</v>
      </c>
      <c r="CZ136" s="103">
        <v>0</v>
      </c>
      <c r="DA136" s="103">
        <f t="shared" si="10"/>
        <v>0</v>
      </c>
      <c r="DB136" s="103">
        <v>48513</v>
      </c>
      <c r="DC136" s="103">
        <v>761455.5</v>
      </c>
      <c r="DD136" s="104">
        <v>6.3710880018595969E-2</v>
      </c>
      <c r="DE136" s="103">
        <v>94748.099539999996</v>
      </c>
      <c r="DF136" s="103">
        <v>5.9</v>
      </c>
      <c r="DG136" s="103">
        <v>3067866.5154499998</v>
      </c>
      <c r="DH136" s="103">
        <v>21.45</v>
      </c>
      <c r="DI136" s="103">
        <f t="shared" si="11"/>
        <v>126.55500000000001</v>
      </c>
      <c r="DJ136" s="103">
        <v>455236.1</v>
      </c>
      <c r="DK136" s="103">
        <v>787888.6</v>
      </c>
      <c r="DL136" s="104">
        <v>0.57779246964608955</v>
      </c>
    </row>
    <row r="137" spans="1:116" s="15" customFormat="1" ht="179.45" customHeight="1" x14ac:dyDescent="0.25">
      <c r="A137" s="100" t="s">
        <v>222</v>
      </c>
      <c r="B137" s="100" t="s">
        <v>2391</v>
      </c>
      <c r="C137" s="100" t="s">
        <v>87</v>
      </c>
      <c r="D137" s="101" t="str">
        <f>"Chemistry 204"</f>
        <v>Chemistry 204</v>
      </c>
      <c r="E137" s="102" t="s">
        <v>2392</v>
      </c>
      <c r="F137" s="100">
        <v>9</v>
      </c>
      <c r="G137" s="100">
        <v>0</v>
      </c>
      <c r="H137" s="100">
        <v>0</v>
      </c>
      <c r="I137" s="100">
        <v>12</v>
      </c>
      <c r="J137" s="100">
        <v>3</v>
      </c>
      <c r="K137" s="100">
        <v>2</v>
      </c>
      <c r="L137" s="100">
        <v>1</v>
      </c>
      <c r="M137" s="100">
        <v>2</v>
      </c>
      <c r="N137" s="100">
        <v>1</v>
      </c>
      <c r="O137" s="100">
        <v>0</v>
      </c>
      <c r="P137" s="100">
        <v>3.11</v>
      </c>
      <c r="Q137" s="100">
        <v>26.03</v>
      </c>
      <c r="R137" s="100">
        <v>1</v>
      </c>
      <c r="S137" s="100">
        <v>0</v>
      </c>
      <c r="T137" s="100">
        <v>1</v>
      </c>
      <c r="U137" s="100">
        <v>0</v>
      </c>
      <c r="V137" s="100">
        <v>0</v>
      </c>
      <c r="W137" s="100">
        <v>0</v>
      </c>
      <c r="X137" s="100">
        <v>1</v>
      </c>
      <c r="Y137" s="100">
        <v>0</v>
      </c>
      <c r="Z137" s="100">
        <v>0</v>
      </c>
      <c r="AA137" s="100">
        <v>1</v>
      </c>
      <c r="AB137" s="100">
        <v>0</v>
      </c>
      <c r="AC137" s="100">
        <v>1</v>
      </c>
      <c r="AD137" s="100">
        <v>0</v>
      </c>
      <c r="AE137" s="100">
        <v>0</v>
      </c>
      <c r="AF137" s="100">
        <v>0</v>
      </c>
      <c r="AG137" s="100">
        <v>1</v>
      </c>
      <c r="AH137" s="100">
        <v>1</v>
      </c>
      <c r="AI137" s="100">
        <v>0</v>
      </c>
      <c r="AJ137" s="100">
        <v>0</v>
      </c>
      <c r="AK137" s="100">
        <v>0</v>
      </c>
      <c r="AL137" s="100">
        <v>0</v>
      </c>
      <c r="AM137" s="100">
        <v>0</v>
      </c>
      <c r="AN137" s="100">
        <v>1</v>
      </c>
      <c r="AO137" s="100">
        <v>0</v>
      </c>
      <c r="AP137" s="100">
        <v>0</v>
      </c>
      <c r="AQ137" s="100">
        <v>0</v>
      </c>
      <c r="AR137" s="100">
        <v>0</v>
      </c>
      <c r="AS137" s="100">
        <v>0</v>
      </c>
      <c r="AT137" s="100">
        <v>0</v>
      </c>
      <c r="AU137" s="100">
        <v>0</v>
      </c>
      <c r="AV137" s="100">
        <v>0</v>
      </c>
      <c r="AW137" s="100">
        <v>0</v>
      </c>
      <c r="AX137" s="100">
        <v>0</v>
      </c>
      <c r="AY137" s="100">
        <v>0</v>
      </c>
      <c r="AZ137" s="100">
        <v>0</v>
      </c>
      <c r="BA137" s="100">
        <v>0</v>
      </c>
      <c r="BB137" s="100">
        <v>0</v>
      </c>
      <c r="BC137" s="100">
        <v>0</v>
      </c>
      <c r="BD137" s="100">
        <v>0</v>
      </c>
      <c r="BE137" s="100">
        <v>0</v>
      </c>
      <c r="BF137" s="100">
        <v>0</v>
      </c>
      <c r="BG137" s="100">
        <v>0</v>
      </c>
      <c r="BH137" s="100">
        <v>0</v>
      </c>
      <c r="BI137" s="100">
        <v>0</v>
      </c>
      <c r="BJ137" s="100">
        <v>0</v>
      </c>
      <c r="BK137" s="100">
        <v>0</v>
      </c>
      <c r="BL137" s="100">
        <v>0</v>
      </c>
      <c r="BM137" s="100">
        <v>0</v>
      </c>
      <c r="BN137" s="100">
        <v>0</v>
      </c>
      <c r="BO137" s="100">
        <v>0</v>
      </c>
      <c r="BP137" s="100">
        <v>0</v>
      </c>
      <c r="BQ137" s="100">
        <v>1</v>
      </c>
      <c r="BR137" s="100">
        <v>0</v>
      </c>
      <c r="BS137" s="100">
        <v>0</v>
      </c>
      <c r="BT137" s="100">
        <v>0</v>
      </c>
      <c r="BU137" s="100">
        <v>1</v>
      </c>
      <c r="BV137" s="100">
        <v>0</v>
      </c>
      <c r="BW137" s="100">
        <v>0</v>
      </c>
      <c r="BX137" s="100">
        <v>0</v>
      </c>
      <c r="BY137" s="100">
        <v>0</v>
      </c>
      <c r="BZ137" s="100">
        <v>0</v>
      </c>
      <c r="CA137" s="100">
        <v>0</v>
      </c>
      <c r="CB137" s="100" t="s">
        <v>2090</v>
      </c>
      <c r="CC137" s="100">
        <v>0</v>
      </c>
      <c r="CD137" s="100">
        <v>0</v>
      </c>
      <c r="CE137" s="100">
        <v>0</v>
      </c>
      <c r="CF137" s="100">
        <v>0</v>
      </c>
      <c r="CG137" s="103">
        <v>406025.11567999999</v>
      </c>
      <c r="CH137" s="103">
        <v>31.57</v>
      </c>
      <c r="CI137" s="103">
        <v>2942082.2002900001</v>
      </c>
      <c r="CJ137" s="103">
        <v>45.3</v>
      </c>
      <c r="CK137" s="103">
        <f t="shared" si="8"/>
        <v>1430.1209999999999</v>
      </c>
      <c r="CL137" s="103">
        <v>120991.9</v>
      </c>
      <c r="CM137" s="103">
        <v>721909.3</v>
      </c>
      <c r="CN137" s="104">
        <v>0.16759986330692786</v>
      </c>
      <c r="CO137" s="103">
        <v>11828.55595</v>
      </c>
      <c r="CP137" s="103">
        <v>0.56999999999999995</v>
      </c>
      <c r="CQ137" s="103">
        <v>91349.132970000006</v>
      </c>
      <c r="CR137" s="103">
        <v>1.71</v>
      </c>
      <c r="CS137" s="103">
        <f t="shared" si="9"/>
        <v>0.9746999999999999</v>
      </c>
      <c r="CT137" s="103">
        <v>36925.800000000003</v>
      </c>
      <c r="CU137" s="103">
        <v>815715.6</v>
      </c>
      <c r="CV137" s="104">
        <v>4.5267983105876611E-2</v>
      </c>
      <c r="CW137" s="103">
        <v>817962.02437</v>
      </c>
      <c r="CX137" s="103">
        <v>57.78</v>
      </c>
      <c r="CY137" s="103">
        <v>3237173.7612600001</v>
      </c>
      <c r="CZ137" s="103">
        <v>48.337054883064994</v>
      </c>
      <c r="DA137" s="103">
        <f t="shared" si="10"/>
        <v>2792.9150311434955</v>
      </c>
      <c r="DB137" s="103">
        <v>77671.7</v>
      </c>
      <c r="DC137" s="103">
        <v>370738.3</v>
      </c>
      <c r="DD137" s="104">
        <v>0.20950546517583968</v>
      </c>
      <c r="DE137" s="103">
        <v>0</v>
      </c>
      <c r="DF137" s="103">
        <v>0</v>
      </c>
      <c r="DG137" s="103">
        <v>49579.290549999998</v>
      </c>
      <c r="DH137" s="103">
        <v>0</v>
      </c>
      <c r="DI137" s="103">
        <f t="shared" si="11"/>
        <v>0</v>
      </c>
      <c r="DJ137" s="103">
        <v>24416.1</v>
      </c>
      <c r="DK137" s="103">
        <v>636848.69999999995</v>
      </c>
      <c r="DL137" s="104">
        <v>3.8338933564597055E-2</v>
      </c>
    </row>
    <row r="138" spans="1:116" s="15" customFormat="1" ht="179.45" customHeight="1" x14ac:dyDescent="0.25">
      <c r="A138" s="100" t="s">
        <v>223</v>
      </c>
      <c r="B138" s="100" t="s">
        <v>2393</v>
      </c>
      <c r="C138" s="100" t="s">
        <v>87</v>
      </c>
      <c r="D138" s="101" t="str">
        <f>"Chemistry 363"</f>
        <v>Chemistry 363</v>
      </c>
      <c r="E138" s="102" t="s">
        <v>2394</v>
      </c>
      <c r="F138" s="100">
        <v>9</v>
      </c>
      <c r="G138" s="100">
        <v>0</v>
      </c>
      <c r="H138" s="100">
        <v>0</v>
      </c>
      <c r="I138" s="100">
        <v>12</v>
      </c>
      <c r="J138" s="100">
        <v>3</v>
      </c>
      <c r="K138" s="100">
        <v>2</v>
      </c>
      <c r="L138" s="100">
        <v>1</v>
      </c>
      <c r="M138" s="100">
        <v>2</v>
      </c>
      <c r="N138" s="100">
        <v>1</v>
      </c>
      <c r="O138" s="100">
        <v>0</v>
      </c>
      <c r="P138" s="100">
        <v>2.8</v>
      </c>
      <c r="Q138" s="100">
        <v>26.03</v>
      </c>
      <c r="R138" s="100">
        <v>1</v>
      </c>
      <c r="S138" s="100">
        <v>0</v>
      </c>
      <c r="T138" s="100">
        <v>1</v>
      </c>
      <c r="U138" s="100">
        <v>0</v>
      </c>
      <c r="V138" s="100">
        <v>0</v>
      </c>
      <c r="W138" s="100">
        <v>0</v>
      </c>
      <c r="X138" s="100">
        <v>1</v>
      </c>
      <c r="Y138" s="100">
        <v>0</v>
      </c>
      <c r="Z138" s="100">
        <v>0</v>
      </c>
      <c r="AA138" s="100">
        <v>1</v>
      </c>
      <c r="AB138" s="100">
        <v>0</v>
      </c>
      <c r="AC138" s="100">
        <v>1</v>
      </c>
      <c r="AD138" s="100">
        <v>0</v>
      </c>
      <c r="AE138" s="100">
        <v>0</v>
      </c>
      <c r="AF138" s="100">
        <v>1</v>
      </c>
      <c r="AG138" s="100">
        <v>0</v>
      </c>
      <c r="AH138" s="100">
        <v>1</v>
      </c>
      <c r="AI138" s="100">
        <v>0</v>
      </c>
      <c r="AJ138" s="100">
        <v>0</v>
      </c>
      <c r="AK138" s="100">
        <v>0</v>
      </c>
      <c r="AL138" s="100">
        <v>0</v>
      </c>
      <c r="AM138" s="100">
        <v>0</v>
      </c>
      <c r="AN138" s="100">
        <v>1</v>
      </c>
      <c r="AO138" s="100">
        <v>0</v>
      </c>
      <c r="AP138" s="100">
        <v>0</v>
      </c>
      <c r="AQ138" s="100">
        <v>0</v>
      </c>
      <c r="AR138" s="100">
        <v>0</v>
      </c>
      <c r="AS138" s="100">
        <v>0</v>
      </c>
      <c r="AT138" s="100">
        <v>0</v>
      </c>
      <c r="AU138" s="100">
        <v>0</v>
      </c>
      <c r="AV138" s="100">
        <v>0</v>
      </c>
      <c r="AW138" s="100">
        <v>0</v>
      </c>
      <c r="AX138" s="100">
        <v>0</v>
      </c>
      <c r="AY138" s="100">
        <v>0</v>
      </c>
      <c r="AZ138" s="100">
        <v>0</v>
      </c>
      <c r="BA138" s="100">
        <v>0</v>
      </c>
      <c r="BB138" s="100">
        <v>0</v>
      </c>
      <c r="BC138" s="100">
        <v>0</v>
      </c>
      <c r="BD138" s="100">
        <v>0</v>
      </c>
      <c r="BE138" s="100">
        <v>0</v>
      </c>
      <c r="BF138" s="100">
        <v>0</v>
      </c>
      <c r="BG138" s="100">
        <v>0</v>
      </c>
      <c r="BH138" s="100">
        <v>0</v>
      </c>
      <c r="BI138" s="100">
        <v>0</v>
      </c>
      <c r="BJ138" s="100">
        <v>0</v>
      </c>
      <c r="BK138" s="100">
        <v>0</v>
      </c>
      <c r="BL138" s="100">
        <v>0</v>
      </c>
      <c r="BM138" s="100">
        <v>0</v>
      </c>
      <c r="BN138" s="100">
        <v>0</v>
      </c>
      <c r="BO138" s="100">
        <v>0</v>
      </c>
      <c r="BP138" s="100">
        <v>0</v>
      </c>
      <c r="BQ138" s="100">
        <v>0</v>
      </c>
      <c r="BR138" s="100">
        <v>0</v>
      </c>
      <c r="BS138" s="100">
        <v>0</v>
      </c>
      <c r="BT138" s="100">
        <v>0</v>
      </c>
      <c r="BU138" s="100">
        <v>0</v>
      </c>
      <c r="BV138" s="100">
        <v>1</v>
      </c>
      <c r="BW138" s="100">
        <v>0</v>
      </c>
      <c r="BX138" s="100">
        <v>0</v>
      </c>
      <c r="BY138" s="100">
        <v>0</v>
      </c>
      <c r="BZ138" s="100">
        <v>0</v>
      </c>
      <c r="CA138" s="100">
        <v>0</v>
      </c>
      <c r="CB138" s="100" t="s">
        <v>2090</v>
      </c>
      <c r="CC138" s="100">
        <v>0</v>
      </c>
      <c r="CD138" s="100">
        <v>0</v>
      </c>
      <c r="CE138" s="100">
        <v>0</v>
      </c>
      <c r="CF138" s="100">
        <v>0</v>
      </c>
      <c r="CG138" s="103">
        <v>1044903.8065900001</v>
      </c>
      <c r="CH138" s="103">
        <v>57.13</v>
      </c>
      <c r="CI138" s="103">
        <v>3979217.6615800001</v>
      </c>
      <c r="CJ138" s="103">
        <v>60.28</v>
      </c>
      <c r="CK138" s="103">
        <f t="shared" si="8"/>
        <v>3443.7964000000002</v>
      </c>
      <c r="CL138" s="103">
        <v>406423.7</v>
      </c>
      <c r="CM138" s="103">
        <v>666724.80000000005</v>
      </c>
      <c r="CN138" s="104">
        <v>0.60958239441520701</v>
      </c>
      <c r="CO138" s="103">
        <v>0</v>
      </c>
      <c r="CP138" s="103">
        <v>0</v>
      </c>
      <c r="CQ138" s="103">
        <v>116609.90403000001</v>
      </c>
      <c r="CR138" s="103">
        <v>1.29</v>
      </c>
      <c r="CS138" s="103">
        <f t="shared" si="9"/>
        <v>0</v>
      </c>
      <c r="CT138" s="103">
        <v>36263.599999999999</v>
      </c>
      <c r="CU138" s="103">
        <v>925346.1</v>
      </c>
      <c r="CV138" s="104">
        <v>3.9189228765323589E-2</v>
      </c>
      <c r="CW138" s="103">
        <v>903880.89125999995</v>
      </c>
      <c r="CX138" s="103">
        <v>51.53</v>
      </c>
      <c r="CY138" s="103">
        <v>3186459.9686500002</v>
      </c>
      <c r="CZ138" s="103">
        <v>55.594139989148118</v>
      </c>
      <c r="DA138" s="103">
        <f t="shared" si="10"/>
        <v>2864.7660336408026</v>
      </c>
      <c r="DB138" s="103">
        <v>444240.3</v>
      </c>
      <c r="DC138" s="103">
        <v>757566.9</v>
      </c>
      <c r="DD138" s="104">
        <v>0.58640405223617875</v>
      </c>
      <c r="DE138" s="103">
        <v>49596.976269999999</v>
      </c>
      <c r="DF138" s="103">
        <v>2.14</v>
      </c>
      <c r="DG138" s="103">
        <v>921722.09828999999</v>
      </c>
      <c r="DH138" s="103">
        <v>9.2200000000000006</v>
      </c>
      <c r="DI138" s="103">
        <f t="shared" si="11"/>
        <v>19.730800000000002</v>
      </c>
      <c r="DJ138" s="103">
        <v>27367.5</v>
      </c>
      <c r="DK138" s="103">
        <v>523944.1</v>
      </c>
      <c r="DL138" s="104">
        <v>5.2233625686404335E-2</v>
      </c>
    </row>
    <row r="139" spans="1:116" s="15" customFormat="1" ht="189.95" customHeight="1" x14ac:dyDescent="0.25">
      <c r="A139" s="100" t="s">
        <v>224</v>
      </c>
      <c r="B139" s="100" t="s">
        <v>2395</v>
      </c>
      <c r="C139" s="100" t="s">
        <v>87</v>
      </c>
      <c r="D139" s="101" t="str">
        <f>"Chemistry 362"</f>
        <v>Chemistry 362</v>
      </c>
      <c r="E139" s="102" t="s">
        <v>2396</v>
      </c>
      <c r="F139" s="100">
        <v>9</v>
      </c>
      <c r="G139" s="100">
        <v>2</v>
      </c>
      <c r="H139" s="100">
        <v>0.22</v>
      </c>
      <c r="I139" s="100">
        <v>12</v>
      </c>
      <c r="J139" s="100">
        <v>3</v>
      </c>
      <c r="K139" s="100">
        <v>2</v>
      </c>
      <c r="L139" s="100">
        <v>1</v>
      </c>
      <c r="M139" s="100">
        <v>1</v>
      </c>
      <c r="N139" s="100">
        <v>1</v>
      </c>
      <c r="O139" s="100">
        <v>1</v>
      </c>
      <c r="P139" s="100">
        <v>2.42</v>
      </c>
      <c r="Q139" s="100">
        <v>29.1</v>
      </c>
      <c r="R139" s="100">
        <v>0</v>
      </c>
      <c r="S139" s="100">
        <v>0</v>
      </c>
      <c r="T139" s="100">
        <v>1</v>
      </c>
      <c r="U139" s="100">
        <v>0</v>
      </c>
      <c r="V139" s="100">
        <v>0</v>
      </c>
      <c r="W139" s="100">
        <v>0</v>
      </c>
      <c r="X139" s="100">
        <v>1</v>
      </c>
      <c r="Y139" s="100">
        <v>0</v>
      </c>
      <c r="Z139" s="100">
        <v>1</v>
      </c>
      <c r="AA139" s="100">
        <v>0</v>
      </c>
      <c r="AB139" s="100">
        <v>0</v>
      </c>
      <c r="AC139" s="100">
        <v>1</v>
      </c>
      <c r="AD139" s="100">
        <v>0</v>
      </c>
      <c r="AE139" s="100">
        <v>0</v>
      </c>
      <c r="AF139" s="100">
        <v>1</v>
      </c>
      <c r="AG139" s="100">
        <v>0</v>
      </c>
      <c r="AH139" s="100">
        <v>0</v>
      </c>
      <c r="AI139" s="100">
        <v>1</v>
      </c>
      <c r="AJ139" s="100">
        <v>0</v>
      </c>
      <c r="AK139" s="100">
        <v>1</v>
      </c>
      <c r="AL139" s="100">
        <v>1</v>
      </c>
      <c r="AM139" s="100">
        <v>0</v>
      </c>
      <c r="AN139" s="100">
        <v>0</v>
      </c>
      <c r="AO139" s="100">
        <v>0</v>
      </c>
      <c r="AP139" s="100">
        <v>0</v>
      </c>
      <c r="AQ139" s="100">
        <v>0</v>
      </c>
      <c r="AR139" s="100">
        <v>0</v>
      </c>
      <c r="AS139" s="100">
        <v>0</v>
      </c>
      <c r="AT139" s="100">
        <v>1</v>
      </c>
      <c r="AU139" s="100">
        <v>0</v>
      </c>
      <c r="AV139" s="100">
        <v>0</v>
      </c>
      <c r="AW139" s="100">
        <v>0</v>
      </c>
      <c r="AX139" s="100">
        <v>0</v>
      </c>
      <c r="AY139" s="100">
        <v>0</v>
      </c>
      <c r="AZ139" s="100">
        <v>0</v>
      </c>
      <c r="BA139" s="100">
        <v>0</v>
      </c>
      <c r="BB139" s="100">
        <v>0</v>
      </c>
      <c r="BC139" s="100">
        <v>0</v>
      </c>
      <c r="BD139" s="100">
        <v>0</v>
      </c>
      <c r="BE139" s="100">
        <v>0</v>
      </c>
      <c r="BF139" s="100">
        <v>0</v>
      </c>
      <c r="BG139" s="100">
        <v>0</v>
      </c>
      <c r="BH139" s="100">
        <v>0</v>
      </c>
      <c r="BI139" s="100">
        <v>0</v>
      </c>
      <c r="BJ139" s="100">
        <v>1</v>
      </c>
      <c r="BK139" s="100">
        <v>0</v>
      </c>
      <c r="BL139" s="100">
        <v>1</v>
      </c>
      <c r="BM139" s="100">
        <v>0</v>
      </c>
      <c r="BN139" s="100">
        <v>0</v>
      </c>
      <c r="BO139" s="100">
        <v>0</v>
      </c>
      <c r="BP139" s="100">
        <v>0</v>
      </c>
      <c r="BQ139" s="100">
        <v>0</v>
      </c>
      <c r="BR139" s="100">
        <v>0</v>
      </c>
      <c r="BS139" s="100">
        <v>0</v>
      </c>
      <c r="BT139" s="100">
        <v>0</v>
      </c>
      <c r="BU139" s="100">
        <v>0</v>
      </c>
      <c r="BV139" s="100">
        <v>0</v>
      </c>
      <c r="BW139" s="100">
        <v>0</v>
      </c>
      <c r="BX139" s="100">
        <v>0</v>
      </c>
      <c r="BY139" s="100">
        <v>0</v>
      </c>
      <c r="BZ139" s="100">
        <v>0</v>
      </c>
      <c r="CA139" s="100">
        <v>0</v>
      </c>
      <c r="CB139" s="100" t="s">
        <v>2090</v>
      </c>
      <c r="CC139" s="100">
        <v>0</v>
      </c>
      <c r="CD139" s="100">
        <v>0</v>
      </c>
      <c r="CE139" s="100">
        <v>0</v>
      </c>
      <c r="CF139" s="100">
        <v>0</v>
      </c>
      <c r="CG139" s="103">
        <v>207756.96937000001</v>
      </c>
      <c r="CH139" s="103">
        <v>20.81</v>
      </c>
      <c r="CI139" s="103">
        <v>2433458.0550699998</v>
      </c>
      <c r="CJ139" s="103">
        <v>35.11</v>
      </c>
      <c r="CK139" s="103">
        <f t="shared" si="8"/>
        <v>730.63909999999998</v>
      </c>
      <c r="CL139" s="103">
        <v>159215.29999999999</v>
      </c>
      <c r="CM139" s="103">
        <v>600193.1</v>
      </c>
      <c r="CN139" s="104">
        <v>0.26527345949162029</v>
      </c>
      <c r="CO139" s="103">
        <v>43088.509899999997</v>
      </c>
      <c r="CP139" s="103">
        <v>2.7800000000000002</v>
      </c>
      <c r="CQ139" s="103">
        <v>1232378.4291600001</v>
      </c>
      <c r="CR139" s="103">
        <v>16.62</v>
      </c>
      <c r="CS139" s="103">
        <f t="shared" si="9"/>
        <v>46.203600000000009</v>
      </c>
      <c r="CT139" s="103">
        <v>70794.5</v>
      </c>
      <c r="CU139" s="103">
        <v>686694.7</v>
      </c>
      <c r="CV139" s="104">
        <v>0.1030945775466157</v>
      </c>
      <c r="CW139" s="103">
        <v>37845.160450000003</v>
      </c>
      <c r="CX139" s="103">
        <v>2.56</v>
      </c>
      <c r="CY139" s="103">
        <v>959547.41105</v>
      </c>
      <c r="CZ139" s="103">
        <v>15.766686710763679</v>
      </c>
      <c r="DA139" s="103">
        <f t="shared" si="10"/>
        <v>40.362717979555022</v>
      </c>
      <c r="DB139" s="103">
        <v>70997.3</v>
      </c>
      <c r="DC139" s="103">
        <v>462376.4</v>
      </c>
      <c r="DD139" s="104">
        <v>0.15354871053107383</v>
      </c>
      <c r="DE139" s="103">
        <v>85129.584959999993</v>
      </c>
      <c r="DF139" s="103">
        <v>5.49</v>
      </c>
      <c r="DG139" s="103">
        <v>1835726.7176300001</v>
      </c>
      <c r="DH139" s="103">
        <v>14.09</v>
      </c>
      <c r="DI139" s="103">
        <f t="shared" si="11"/>
        <v>77.354100000000003</v>
      </c>
      <c r="DJ139" s="103">
        <v>55285.7</v>
      </c>
      <c r="DK139" s="103">
        <v>586480.19999999995</v>
      </c>
      <c r="DL139" s="104">
        <v>9.4266950529617199E-2</v>
      </c>
    </row>
    <row r="140" spans="1:116" s="15" customFormat="1" ht="265.7" customHeight="1" x14ac:dyDescent="0.25">
      <c r="A140" s="100" t="s">
        <v>225</v>
      </c>
      <c r="B140" s="100" t="s">
        <v>2397</v>
      </c>
      <c r="C140" s="100" t="s">
        <v>87</v>
      </c>
      <c r="D140" s="101" t="str">
        <f>"Chemistry 307"</f>
        <v>Chemistry 307</v>
      </c>
      <c r="E140" s="102" t="s">
        <v>2398</v>
      </c>
      <c r="F140" s="100">
        <v>8</v>
      </c>
      <c r="G140" s="100">
        <v>1</v>
      </c>
      <c r="H140" s="100">
        <v>0.13</v>
      </c>
      <c r="I140" s="100">
        <v>12</v>
      </c>
      <c r="J140" s="100">
        <v>4</v>
      </c>
      <c r="K140" s="100">
        <v>3</v>
      </c>
      <c r="L140" s="100">
        <v>1</v>
      </c>
      <c r="M140" s="100">
        <v>1</v>
      </c>
      <c r="N140" s="100">
        <v>2</v>
      </c>
      <c r="O140" s="100">
        <v>1</v>
      </c>
      <c r="P140" s="100">
        <v>1.32</v>
      </c>
      <c r="Q140" s="100">
        <v>38.33</v>
      </c>
      <c r="R140" s="100">
        <v>0</v>
      </c>
      <c r="S140" s="100">
        <v>0</v>
      </c>
      <c r="T140" s="100">
        <v>1</v>
      </c>
      <c r="U140" s="100">
        <v>0</v>
      </c>
      <c r="V140" s="100">
        <v>0</v>
      </c>
      <c r="W140" s="100">
        <v>0</v>
      </c>
      <c r="X140" s="100">
        <v>1</v>
      </c>
      <c r="Y140" s="100">
        <v>0</v>
      </c>
      <c r="Z140" s="100">
        <v>1</v>
      </c>
      <c r="AA140" s="100">
        <v>0</v>
      </c>
      <c r="AB140" s="100">
        <v>0</v>
      </c>
      <c r="AC140" s="100">
        <v>1</v>
      </c>
      <c r="AD140" s="100">
        <v>0</v>
      </c>
      <c r="AE140" s="100">
        <v>1</v>
      </c>
      <c r="AF140" s="100">
        <v>0</v>
      </c>
      <c r="AG140" s="100">
        <v>0</v>
      </c>
      <c r="AH140" s="100">
        <v>0</v>
      </c>
      <c r="AI140" s="100">
        <v>1</v>
      </c>
      <c r="AJ140" s="100">
        <v>0</v>
      </c>
      <c r="AK140" s="100">
        <v>0</v>
      </c>
      <c r="AL140" s="100">
        <v>0</v>
      </c>
      <c r="AM140" s="100">
        <v>0</v>
      </c>
      <c r="AN140" s="100">
        <v>0</v>
      </c>
      <c r="AO140" s="100">
        <v>0</v>
      </c>
      <c r="AP140" s="100">
        <v>0</v>
      </c>
      <c r="AQ140" s="100">
        <v>0</v>
      </c>
      <c r="AR140" s="100">
        <v>0</v>
      </c>
      <c r="AS140" s="100">
        <v>0</v>
      </c>
      <c r="AT140" s="100">
        <v>0</v>
      </c>
      <c r="AU140" s="100">
        <v>0</v>
      </c>
      <c r="AV140" s="100">
        <v>1</v>
      </c>
      <c r="AW140" s="100">
        <v>0</v>
      </c>
      <c r="AX140" s="100">
        <v>0</v>
      </c>
      <c r="AY140" s="100">
        <v>0</v>
      </c>
      <c r="AZ140" s="100">
        <v>0</v>
      </c>
      <c r="BA140" s="100">
        <v>0</v>
      </c>
      <c r="BB140" s="100">
        <v>0</v>
      </c>
      <c r="BC140" s="100">
        <v>0</v>
      </c>
      <c r="BD140" s="100">
        <v>0</v>
      </c>
      <c r="BE140" s="100">
        <v>0</v>
      </c>
      <c r="BF140" s="100">
        <v>0</v>
      </c>
      <c r="BG140" s="100">
        <v>0</v>
      </c>
      <c r="BH140" s="100">
        <v>0</v>
      </c>
      <c r="BI140" s="100">
        <v>0</v>
      </c>
      <c r="BJ140" s="100">
        <v>1</v>
      </c>
      <c r="BK140" s="100">
        <v>0</v>
      </c>
      <c r="BL140" s="100">
        <v>0</v>
      </c>
      <c r="BM140" s="100">
        <v>0</v>
      </c>
      <c r="BN140" s="100">
        <v>0</v>
      </c>
      <c r="BO140" s="100">
        <v>0</v>
      </c>
      <c r="BP140" s="100">
        <v>0</v>
      </c>
      <c r="BQ140" s="100">
        <v>0</v>
      </c>
      <c r="BR140" s="100">
        <v>0</v>
      </c>
      <c r="BS140" s="100">
        <v>0</v>
      </c>
      <c r="BT140" s="100">
        <v>0</v>
      </c>
      <c r="BU140" s="100">
        <v>0</v>
      </c>
      <c r="BV140" s="100">
        <v>0</v>
      </c>
      <c r="BW140" s="100">
        <v>0</v>
      </c>
      <c r="BX140" s="100">
        <v>0</v>
      </c>
      <c r="BY140" s="100">
        <v>0</v>
      </c>
      <c r="BZ140" s="100">
        <v>0</v>
      </c>
      <c r="CA140" s="100">
        <v>0</v>
      </c>
      <c r="CB140" s="100" t="s">
        <v>2090</v>
      </c>
      <c r="CC140" s="100">
        <v>0</v>
      </c>
      <c r="CD140" s="100">
        <v>0</v>
      </c>
      <c r="CE140" s="100">
        <v>0</v>
      </c>
      <c r="CF140" s="100">
        <v>0</v>
      </c>
      <c r="CG140" s="103">
        <v>501969.30657000002</v>
      </c>
      <c r="CH140" s="103">
        <v>39.56</v>
      </c>
      <c r="CI140" s="103">
        <v>2657676.38962</v>
      </c>
      <c r="CJ140" s="103">
        <v>34.65</v>
      </c>
      <c r="CK140" s="103">
        <f t="shared" si="8"/>
        <v>1370.7540000000001</v>
      </c>
      <c r="CL140" s="103">
        <v>321088.09999999998</v>
      </c>
      <c r="CM140" s="103">
        <v>994682.1</v>
      </c>
      <c r="CN140" s="104">
        <v>0.32280474334463238</v>
      </c>
      <c r="CO140" s="103">
        <v>10548.99583</v>
      </c>
      <c r="CP140" s="103">
        <v>0.65</v>
      </c>
      <c r="CQ140" s="103">
        <v>82387.42525</v>
      </c>
      <c r="CR140" s="103">
        <v>1.3</v>
      </c>
      <c r="CS140" s="103">
        <f t="shared" si="9"/>
        <v>0.84500000000000008</v>
      </c>
      <c r="CT140" s="103">
        <v>17279.2</v>
      </c>
      <c r="CU140" s="103">
        <v>858501.4</v>
      </c>
      <c r="CV140" s="104">
        <v>2.0127165779811194E-2</v>
      </c>
      <c r="CW140" s="103">
        <v>5767.9562400000004</v>
      </c>
      <c r="CX140" s="103">
        <v>0.67</v>
      </c>
      <c r="CY140" s="103">
        <v>59929.012869999999</v>
      </c>
      <c r="CZ140" s="103">
        <v>0.84043560606060608</v>
      </c>
      <c r="DA140" s="103">
        <f t="shared" si="10"/>
        <v>0.56309185606060608</v>
      </c>
      <c r="DB140" s="103">
        <v>8121.5</v>
      </c>
      <c r="DC140" s="103">
        <v>781906.1</v>
      </c>
      <c r="DD140" s="104">
        <v>1.0386797084713881E-2</v>
      </c>
      <c r="DE140" s="103">
        <v>0</v>
      </c>
      <c r="DF140" s="103">
        <v>0</v>
      </c>
      <c r="DG140" s="103">
        <v>0</v>
      </c>
      <c r="DH140" s="103">
        <v>0</v>
      </c>
      <c r="DI140" s="103">
        <f t="shared" si="11"/>
        <v>0</v>
      </c>
      <c r="DJ140" s="103">
        <v>48457.2</v>
      </c>
      <c r="DK140" s="103">
        <v>983800.9</v>
      </c>
      <c r="DL140" s="104">
        <v>4.925508809760186E-2</v>
      </c>
    </row>
    <row r="141" spans="1:116" s="15" customFormat="1" ht="170.45" customHeight="1" x14ac:dyDescent="0.25">
      <c r="A141" s="100" t="s">
        <v>226</v>
      </c>
      <c r="B141" s="100" t="s">
        <v>2399</v>
      </c>
      <c r="C141" s="100" t="s">
        <v>87</v>
      </c>
      <c r="D141" s="101" t="str">
        <f>"Chemistry 354"</f>
        <v>Chemistry 354</v>
      </c>
      <c r="E141" s="102" t="s">
        <v>2400</v>
      </c>
      <c r="F141" s="100">
        <v>10</v>
      </c>
      <c r="G141" s="100">
        <v>3</v>
      </c>
      <c r="H141" s="100">
        <v>0.3</v>
      </c>
      <c r="I141" s="100">
        <v>13</v>
      </c>
      <c r="J141" s="100">
        <v>3</v>
      </c>
      <c r="K141" s="100">
        <v>2</v>
      </c>
      <c r="L141" s="100">
        <v>1</v>
      </c>
      <c r="M141" s="100">
        <v>1</v>
      </c>
      <c r="N141" s="100">
        <v>1</v>
      </c>
      <c r="O141" s="100">
        <v>1</v>
      </c>
      <c r="P141" s="100">
        <v>2.83</v>
      </c>
      <c r="Q141" s="100">
        <v>29.1</v>
      </c>
      <c r="R141" s="100">
        <v>0</v>
      </c>
      <c r="S141" s="100">
        <v>0</v>
      </c>
      <c r="T141" s="100">
        <v>1</v>
      </c>
      <c r="U141" s="100">
        <v>0</v>
      </c>
      <c r="V141" s="100">
        <v>0</v>
      </c>
      <c r="W141" s="100">
        <v>0</v>
      </c>
      <c r="X141" s="100">
        <v>1</v>
      </c>
      <c r="Y141" s="100">
        <v>0</v>
      </c>
      <c r="Z141" s="100">
        <v>1</v>
      </c>
      <c r="AA141" s="100">
        <v>0</v>
      </c>
      <c r="AB141" s="100">
        <v>0</v>
      </c>
      <c r="AC141" s="100">
        <v>1</v>
      </c>
      <c r="AD141" s="100">
        <v>0</v>
      </c>
      <c r="AE141" s="100">
        <v>0</v>
      </c>
      <c r="AF141" s="100">
        <v>1</v>
      </c>
      <c r="AG141" s="100">
        <v>0</v>
      </c>
      <c r="AH141" s="100">
        <v>0</v>
      </c>
      <c r="AI141" s="100">
        <v>1</v>
      </c>
      <c r="AJ141" s="100">
        <v>0</v>
      </c>
      <c r="AK141" s="100">
        <v>0</v>
      </c>
      <c r="AL141" s="100">
        <v>0</v>
      </c>
      <c r="AM141" s="100">
        <v>0</v>
      </c>
      <c r="AN141" s="100">
        <v>0</v>
      </c>
      <c r="AO141" s="100">
        <v>0</v>
      </c>
      <c r="AP141" s="100">
        <v>0</v>
      </c>
      <c r="AQ141" s="100">
        <v>0</v>
      </c>
      <c r="AR141" s="100">
        <v>0</v>
      </c>
      <c r="AS141" s="100">
        <v>0</v>
      </c>
      <c r="AT141" s="100">
        <v>1</v>
      </c>
      <c r="AU141" s="100">
        <v>0</v>
      </c>
      <c r="AV141" s="100">
        <v>0</v>
      </c>
      <c r="AW141" s="100">
        <v>0</v>
      </c>
      <c r="AX141" s="100">
        <v>0</v>
      </c>
      <c r="AY141" s="100">
        <v>0</v>
      </c>
      <c r="AZ141" s="100">
        <v>0</v>
      </c>
      <c r="BA141" s="100">
        <v>0</v>
      </c>
      <c r="BB141" s="100">
        <v>0</v>
      </c>
      <c r="BC141" s="100">
        <v>0</v>
      </c>
      <c r="BD141" s="100">
        <v>0</v>
      </c>
      <c r="BE141" s="100">
        <v>0</v>
      </c>
      <c r="BF141" s="100">
        <v>0</v>
      </c>
      <c r="BG141" s="100">
        <v>0</v>
      </c>
      <c r="BH141" s="100">
        <v>0</v>
      </c>
      <c r="BI141" s="100">
        <v>0</v>
      </c>
      <c r="BJ141" s="100">
        <v>1</v>
      </c>
      <c r="BK141" s="100">
        <v>0</v>
      </c>
      <c r="BL141" s="100">
        <v>1</v>
      </c>
      <c r="BM141" s="100">
        <v>0</v>
      </c>
      <c r="BN141" s="100">
        <v>0</v>
      </c>
      <c r="BO141" s="100">
        <v>0</v>
      </c>
      <c r="BP141" s="100">
        <v>0</v>
      </c>
      <c r="BQ141" s="100">
        <v>0</v>
      </c>
      <c r="BR141" s="100">
        <v>0</v>
      </c>
      <c r="BS141" s="100">
        <v>0</v>
      </c>
      <c r="BT141" s="100">
        <v>0</v>
      </c>
      <c r="BU141" s="100">
        <v>0</v>
      </c>
      <c r="BV141" s="100">
        <v>0</v>
      </c>
      <c r="BW141" s="100">
        <v>0</v>
      </c>
      <c r="BX141" s="100">
        <v>0</v>
      </c>
      <c r="BY141" s="100">
        <v>0</v>
      </c>
      <c r="BZ141" s="100">
        <v>0</v>
      </c>
      <c r="CA141" s="100">
        <v>0</v>
      </c>
      <c r="CB141" s="100" t="s">
        <v>2090</v>
      </c>
      <c r="CC141" s="100">
        <v>0</v>
      </c>
      <c r="CD141" s="100">
        <v>0</v>
      </c>
      <c r="CE141" s="100">
        <v>0</v>
      </c>
      <c r="CF141" s="100">
        <v>0</v>
      </c>
      <c r="CG141" s="103">
        <v>544558.64957999997</v>
      </c>
      <c r="CH141" s="103">
        <v>37.700000000000003</v>
      </c>
      <c r="CI141" s="103">
        <v>3017011.8970900001</v>
      </c>
      <c r="CJ141" s="103">
        <v>44.51</v>
      </c>
      <c r="CK141" s="103">
        <f t="shared" si="8"/>
        <v>1678.027</v>
      </c>
      <c r="CL141" s="103">
        <v>241919.1</v>
      </c>
      <c r="CM141" s="103">
        <v>796959.6</v>
      </c>
      <c r="CN141" s="104">
        <v>0.30355252637649388</v>
      </c>
      <c r="CO141" s="103">
        <v>0</v>
      </c>
      <c r="CP141" s="103">
        <v>0</v>
      </c>
      <c r="CQ141" s="103">
        <v>348702.70246</v>
      </c>
      <c r="CR141" s="103">
        <v>6.24</v>
      </c>
      <c r="CS141" s="103">
        <f t="shared" si="9"/>
        <v>0</v>
      </c>
      <c r="CT141" s="103">
        <v>25499.1</v>
      </c>
      <c r="CU141" s="103">
        <v>848402.8</v>
      </c>
      <c r="CV141" s="104">
        <v>3.005541707311668E-2</v>
      </c>
      <c r="CW141" s="103">
        <v>50078.707589999998</v>
      </c>
      <c r="CX141" s="103">
        <v>3.5</v>
      </c>
      <c r="CY141" s="103">
        <v>894803.32924999995</v>
      </c>
      <c r="CZ141" s="103">
        <v>13.418812866143474</v>
      </c>
      <c r="DA141" s="103">
        <f t="shared" si="10"/>
        <v>46.965845031502162</v>
      </c>
      <c r="DB141" s="103">
        <v>130659.9</v>
      </c>
      <c r="DC141" s="103">
        <v>975576.3</v>
      </c>
      <c r="DD141" s="104">
        <v>0.13393099032848582</v>
      </c>
      <c r="DE141" s="103">
        <v>0</v>
      </c>
      <c r="DF141" s="103">
        <v>0</v>
      </c>
      <c r="DG141" s="103">
        <v>0</v>
      </c>
      <c r="DH141" s="103">
        <v>0</v>
      </c>
      <c r="DI141" s="103">
        <f t="shared" si="11"/>
        <v>0</v>
      </c>
      <c r="DJ141" s="103">
        <v>15824.6</v>
      </c>
      <c r="DK141" s="103">
        <v>763536.3</v>
      </c>
      <c r="DL141" s="104">
        <v>2.0725406244601598E-2</v>
      </c>
    </row>
    <row r="142" spans="1:116" s="15" customFormat="1" ht="192.2" customHeight="1" x14ac:dyDescent="0.25">
      <c r="A142" s="100" t="s">
        <v>227</v>
      </c>
      <c r="B142" s="100" t="s">
        <v>2401</v>
      </c>
      <c r="C142" s="100" t="s">
        <v>87</v>
      </c>
      <c r="D142" s="101" t="str">
        <f>"Chemistry 304"</f>
        <v>Chemistry 304</v>
      </c>
      <c r="E142" s="102" t="s">
        <v>2402</v>
      </c>
      <c r="F142" s="100">
        <v>8</v>
      </c>
      <c r="G142" s="100">
        <v>0</v>
      </c>
      <c r="H142" s="100">
        <v>0</v>
      </c>
      <c r="I142" s="100">
        <v>13</v>
      </c>
      <c r="J142" s="100">
        <v>5</v>
      </c>
      <c r="K142" s="100">
        <v>4</v>
      </c>
      <c r="L142" s="100">
        <v>2</v>
      </c>
      <c r="M142" s="100">
        <v>2</v>
      </c>
      <c r="N142" s="100">
        <v>2</v>
      </c>
      <c r="O142" s="100">
        <v>1</v>
      </c>
      <c r="P142" s="100">
        <v>3.16</v>
      </c>
      <c r="Q142" s="100">
        <v>61.61</v>
      </c>
      <c r="R142" s="100">
        <v>1</v>
      </c>
      <c r="S142" s="100">
        <v>0</v>
      </c>
      <c r="T142" s="100">
        <v>1</v>
      </c>
      <c r="U142" s="100">
        <v>0</v>
      </c>
      <c r="V142" s="100">
        <v>0</v>
      </c>
      <c r="W142" s="100">
        <v>1</v>
      </c>
      <c r="X142" s="100">
        <v>0</v>
      </c>
      <c r="Y142" s="100">
        <v>0</v>
      </c>
      <c r="Z142" s="100">
        <v>1</v>
      </c>
      <c r="AA142" s="100">
        <v>0</v>
      </c>
      <c r="AB142" s="100">
        <v>0</v>
      </c>
      <c r="AC142" s="100">
        <v>1</v>
      </c>
      <c r="AD142" s="100">
        <v>0</v>
      </c>
      <c r="AE142" s="100">
        <v>0</v>
      </c>
      <c r="AF142" s="100">
        <v>0</v>
      </c>
      <c r="AG142" s="100">
        <v>1</v>
      </c>
      <c r="AH142" s="100">
        <v>0</v>
      </c>
      <c r="AI142" s="100">
        <v>0</v>
      </c>
      <c r="AJ142" s="100">
        <v>1</v>
      </c>
      <c r="AK142" s="100">
        <v>0</v>
      </c>
      <c r="AL142" s="100">
        <v>0</v>
      </c>
      <c r="AM142" s="100">
        <v>0</v>
      </c>
      <c r="AN142" s="100">
        <v>1</v>
      </c>
      <c r="AO142" s="100">
        <v>0</v>
      </c>
      <c r="AP142" s="100">
        <v>0</v>
      </c>
      <c r="AQ142" s="100">
        <v>0</v>
      </c>
      <c r="AR142" s="100">
        <v>0</v>
      </c>
      <c r="AS142" s="100">
        <v>0</v>
      </c>
      <c r="AT142" s="100">
        <v>0</v>
      </c>
      <c r="AU142" s="100">
        <v>0</v>
      </c>
      <c r="AV142" s="100">
        <v>0</v>
      </c>
      <c r="AW142" s="100">
        <v>0</v>
      </c>
      <c r="AX142" s="100">
        <v>0</v>
      </c>
      <c r="AY142" s="100">
        <v>0</v>
      </c>
      <c r="AZ142" s="100">
        <v>0</v>
      </c>
      <c r="BA142" s="100">
        <v>0</v>
      </c>
      <c r="BB142" s="100">
        <v>0</v>
      </c>
      <c r="BC142" s="100">
        <v>1</v>
      </c>
      <c r="BD142" s="100">
        <v>0</v>
      </c>
      <c r="BE142" s="100">
        <v>0</v>
      </c>
      <c r="BF142" s="100">
        <v>0</v>
      </c>
      <c r="BG142" s="100">
        <v>0</v>
      </c>
      <c r="BH142" s="100">
        <v>0</v>
      </c>
      <c r="BI142" s="100">
        <v>0</v>
      </c>
      <c r="BJ142" s="100">
        <v>1</v>
      </c>
      <c r="BK142" s="100">
        <v>0</v>
      </c>
      <c r="BL142" s="100">
        <v>0</v>
      </c>
      <c r="BM142" s="100">
        <v>0</v>
      </c>
      <c r="BN142" s="100">
        <v>0</v>
      </c>
      <c r="BO142" s="100">
        <v>0</v>
      </c>
      <c r="BP142" s="100">
        <v>0</v>
      </c>
      <c r="BQ142" s="100">
        <v>0</v>
      </c>
      <c r="BR142" s="100">
        <v>1</v>
      </c>
      <c r="BS142" s="100">
        <v>1</v>
      </c>
      <c r="BT142" s="100">
        <v>0</v>
      </c>
      <c r="BU142" s="100">
        <v>0</v>
      </c>
      <c r="BV142" s="100">
        <v>0</v>
      </c>
      <c r="BW142" s="100">
        <v>0</v>
      </c>
      <c r="BX142" s="100">
        <v>0</v>
      </c>
      <c r="BY142" s="100">
        <v>0</v>
      </c>
      <c r="BZ142" s="100">
        <v>0</v>
      </c>
      <c r="CA142" s="100">
        <v>0</v>
      </c>
      <c r="CB142" s="100" t="s">
        <v>2090</v>
      </c>
      <c r="CC142" s="100">
        <v>0</v>
      </c>
      <c r="CD142" s="100">
        <v>0</v>
      </c>
      <c r="CE142" s="100">
        <v>0</v>
      </c>
      <c r="CF142" s="100">
        <v>0</v>
      </c>
      <c r="CG142" s="103">
        <v>282599.64627000003</v>
      </c>
      <c r="CH142" s="103">
        <v>12.03</v>
      </c>
      <c r="CI142" s="103">
        <v>2381672.7507000002</v>
      </c>
      <c r="CJ142" s="103">
        <v>33.619999999999997</v>
      </c>
      <c r="CK142" s="103">
        <f t="shared" si="8"/>
        <v>404.44859999999994</v>
      </c>
      <c r="CL142" s="103">
        <v>111117.8</v>
      </c>
      <c r="CM142" s="103">
        <v>574282.4</v>
      </c>
      <c r="CN142" s="104">
        <v>0.19348982312534738</v>
      </c>
      <c r="CO142" s="103">
        <v>0</v>
      </c>
      <c r="CP142" s="103">
        <v>0</v>
      </c>
      <c r="CQ142" s="103">
        <v>17313.818940000001</v>
      </c>
      <c r="CR142" s="103">
        <v>3.2</v>
      </c>
      <c r="CS142" s="103">
        <f t="shared" si="9"/>
        <v>0</v>
      </c>
      <c r="CT142" s="103">
        <v>10853.7</v>
      </c>
      <c r="CU142" s="103">
        <v>672033.9</v>
      </c>
      <c r="CV142" s="104">
        <v>1.6150524549431212E-2</v>
      </c>
      <c r="CW142" s="103">
        <v>13145.160379999999</v>
      </c>
      <c r="CX142" s="103">
        <v>0.66</v>
      </c>
      <c r="CY142" s="103">
        <v>98625.240709999998</v>
      </c>
      <c r="CZ142" s="103">
        <v>3.9145907473309607</v>
      </c>
      <c r="DA142" s="103">
        <f t="shared" si="10"/>
        <v>2.5836298932384341</v>
      </c>
      <c r="DB142" s="103">
        <v>294790.8</v>
      </c>
      <c r="DC142" s="103">
        <v>961164.7</v>
      </c>
      <c r="DD142" s="104">
        <v>0.30670165061201271</v>
      </c>
      <c r="DE142" s="103">
        <v>0</v>
      </c>
      <c r="DF142" s="103">
        <v>0</v>
      </c>
      <c r="DG142" s="103">
        <v>27052.124680000001</v>
      </c>
      <c r="DH142" s="103">
        <v>1.63</v>
      </c>
      <c r="DI142" s="103">
        <f t="shared" si="11"/>
        <v>0</v>
      </c>
      <c r="DJ142" s="103">
        <v>6165.5</v>
      </c>
      <c r="DK142" s="103">
        <v>695091.1</v>
      </c>
      <c r="DL142" s="104">
        <v>8.8700603417307469E-3</v>
      </c>
    </row>
    <row r="143" spans="1:116" s="15" customFormat="1" ht="170.45" customHeight="1" x14ac:dyDescent="0.25">
      <c r="A143" s="100" t="s">
        <v>228</v>
      </c>
      <c r="B143" s="100" t="s">
        <v>2403</v>
      </c>
      <c r="C143" s="100" t="s">
        <v>87</v>
      </c>
      <c r="D143" s="101" t="str">
        <f>"Chemistry 285"</f>
        <v>Chemistry 285</v>
      </c>
      <c r="E143" s="102" t="s">
        <v>2404</v>
      </c>
      <c r="F143" s="100">
        <v>8</v>
      </c>
      <c r="G143" s="100">
        <v>0</v>
      </c>
      <c r="H143" s="100">
        <v>0</v>
      </c>
      <c r="I143" s="100">
        <v>13</v>
      </c>
      <c r="J143" s="100">
        <v>5</v>
      </c>
      <c r="K143" s="100">
        <v>4</v>
      </c>
      <c r="L143" s="100">
        <v>2</v>
      </c>
      <c r="M143" s="100">
        <v>1</v>
      </c>
      <c r="N143" s="100">
        <v>2</v>
      </c>
      <c r="O143" s="100">
        <v>2</v>
      </c>
      <c r="P143" s="100">
        <v>1.65</v>
      </c>
      <c r="Q143" s="100">
        <v>58.2</v>
      </c>
      <c r="R143" s="100">
        <v>0</v>
      </c>
      <c r="S143" s="100">
        <v>0</v>
      </c>
      <c r="T143" s="100">
        <v>1</v>
      </c>
      <c r="U143" s="100">
        <v>0</v>
      </c>
      <c r="V143" s="100">
        <v>0</v>
      </c>
      <c r="W143" s="100">
        <v>1</v>
      </c>
      <c r="X143" s="100">
        <v>0</v>
      </c>
      <c r="Y143" s="100">
        <v>1</v>
      </c>
      <c r="Z143" s="100">
        <v>0</v>
      </c>
      <c r="AA143" s="100">
        <v>0</v>
      </c>
      <c r="AB143" s="100">
        <v>0</v>
      </c>
      <c r="AC143" s="100">
        <v>1</v>
      </c>
      <c r="AD143" s="100">
        <v>0</v>
      </c>
      <c r="AE143" s="100">
        <v>1</v>
      </c>
      <c r="AF143" s="100">
        <v>0</v>
      </c>
      <c r="AG143" s="100">
        <v>0</v>
      </c>
      <c r="AH143" s="100">
        <v>0</v>
      </c>
      <c r="AI143" s="100">
        <v>0</v>
      </c>
      <c r="AJ143" s="100">
        <v>1</v>
      </c>
      <c r="AK143" s="100">
        <v>0</v>
      </c>
      <c r="AL143" s="100">
        <v>0</v>
      </c>
      <c r="AM143" s="100">
        <v>0</v>
      </c>
      <c r="AN143" s="100">
        <v>0</v>
      </c>
      <c r="AO143" s="100">
        <v>0</v>
      </c>
      <c r="AP143" s="100">
        <v>0</v>
      </c>
      <c r="AQ143" s="100">
        <v>0</v>
      </c>
      <c r="AR143" s="100">
        <v>0</v>
      </c>
      <c r="AS143" s="100">
        <v>0</v>
      </c>
      <c r="AT143" s="100">
        <v>1</v>
      </c>
      <c r="AU143" s="100">
        <v>0</v>
      </c>
      <c r="AV143" s="100">
        <v>0</v>
      </c>
      <c r="AW143" s="100">
        <v>0</v>
      </c>
      <c r="AX143" s="100">
        <v>0</v>
      </c>
      <c r="AY143" s="100">
        <v>0</v>
      </c>
      <c r="AZ143" s="100">
        <v>1</v>
      </c>
      <c r="BA143" s="100">
        <v>0</v>
      </c>
      <c r="BB143" s="100">
        <v>0</v>
      </c>
      <c r="BC143" s="100">
        <v>0</v>
      </c>
      <c r="BD143" s="100">
        <v>0</v>
      </c>
      <c r="BE143" s="100">
        <v>0</v>
      </c>
      <c r="BF143" s="100">
        <v>0</v>
      </c>
      <c r="BG143" s="100">
        <v>0</v>
      </c>
      <c r="BH143" s="100">
        <v>0</v>
      </c>
      <c r="BI143" s="100">
        <v>0</v>
      </c>
      <c r="BJ143" s="100">
        <v>3</v>
      </c>
      <c r="BK143" s="100">
        <v>0</v>
      </c>
      <c r="BL143" s="100">
        <v>1</v>
      </c>
      <c r="BM143" s="100">
        <v>0</v>
      </c>
      <c r="BN143" s="100">
        <v>0</v>
      </c>
      <c r="BO143" s="100">
        <v>0</v>
      </c>
      <c r="BP143" s="100">
        <v>0</v>
      </c>
      <c r="BQ143" s="100">
        <v>0</v>
      </c>
      <c r="BR143" s="100">
        <v>0</v>
      </c>
      <c r="BS143" s="100">
        <v>0</v>
      </c>
      <c r="BT143" s="100">
        <v>0</v>
      </c>
      <c r="BU143" s="100">
        <v>0</v>
      </c>
      <c r="BV143" s="100">
        <v>0</v>
      </c>
      <c r="BW143" s="100">
        <v>0</v>
      </c>
      <c r="BX143" s="100">
        <v>0</v>
      </c>
      <c r="BY143" s="100">
        <v>0</v>
      </c>
      <c r="BZ143" s="100">
        <v>0</v>
      </c>
      <c r="CA143" s="100">
        <v>0</v>
      </c>
      <c r="CB143" s="100" t="s">
        <v>2090</v>
      </c>
      <c r="CC143" s="100">
        <v>0</v>
      </c>
      <c r="CD143" s="100">
        <v>0</v>
      </c>
      <c r="CE143" s="100">
        <v>0</v>
      </c>
      <c r="CF143" s="100">
        <v>0</v>
      </c>
      <c r="CG143" s="103">
        <v>394423.97853999998</v>
      </c>
      <c r="CH143" s="103">
        <v>31.7</v>
      </c>
      <c r="CI143" s="103">
        <v>605913.13766000001</v>
      </c>
      <c r="CJ143" s="103">
        <v>14.99</v>
      </c>
      <c r="CK143" s="103">
        <f t="shared" si="8"/>
        <v>475.18299999999999</v>
      </c>
      <c r="CL143" s="103">
        <v>267425.3</v>
      </c>
      <c r="CM143" s="103">
        <v>714144.7</v>
      </c>
      <c r="CN143" s="104">
        <v>0.37446934773863055</v>
      </c>
      <c r="CO143" s="103">
        <v>0</v>
      </c>
      <c r="CP143" s="103">
        <v>0</v>
      </c>
      <c r="CQ143" s="103">
        <v>42172.674659999997</v>
      </c>
      <c r="CR143" s="103">
        <v>0</v>
      </c>
      <c r="CS143" s="103">
        <f t="shared" si="9"/>
        <v>0</v>
      </c>
      <c r="CT143" s="103">
        <v>20646.8</v>
      </c>
      <c r="CU143" s="103">
        <v>695756.9</v>
      </c>
      <c r="CV143" s="104">
        <v>2.967530756791632E-2</v>
      </c>
      <c r="CW143" s="103">
        <v>0</v>
      </c>
      <c r="CX143" s="103">
        <v>0</v>
      </c>
      <c r="CY143" s="103">
        <v>1612.29124</v>
      </c>
      <c r="CZ143" s="103">
        <v>0.9214844736177733</v>
      </c>
      <c r="DA143" s="103">
        <f t="shared" si="10"/>
        <v>0</v>
      </c>
      <c r="DB143" s="103">
        <v>1091.5</v>
      </c>
      <c r="DC143" s="103">
        <v>460626.6</v>
      </c>
      <c r="DD143" s="104">
        <v>2.3695982819923992E-3</v>
      </c>
      <c r="DE143" s="103">
        <v>0</v>
      </c>
      <c r="DF143" s="103">
        <v>0</v>
      </c>
      <c r="DG143" s="103">
        <v>0</v>
      </c>
      <c r="DH143" s="103">
        <v>0</v>
      </c>
      <c r="DI143" s="103">
        <f t="shared" si="11"/>
        <v>0</v>
      </c>
      <c r="DJ143" s="103">
        <v>14568.7</v>
      </c>
      <c r="DK143" s="103">
        <v>878020.6</v>
      </c>
      <c r="DL143" s="104">
        <v>1.6592663087859217E-2</v>
      </c>
    </row>
    <row r="144" spans="1:116" s="15" customFormat="1" ht="181.7" customHeight="1" x14ac:dyDescent="0.25">
      <c r="A144" s="100" t="s">
        <v>229</v>
      </c>
      <c r="B144" s="100" t="s">
        <v>2405</v>
      </c>
      <c r="C144" s="100" t="s">
        <v>87</v>
      </c>
      <c r="D144" s="101" t="str">
        <f>"Chemistry 256"</f>
        <v>Chemistry 256</v>
      </c>
      <c r="E144" s="102" t="s">
        <v>2406</v>
      </c>
      <c r="F144" s="100">
        <v>8</v>
      </c>
      <c r="G144" s="100">
        <v>0</v>
      </c>
      <c r="H144" s="100">
        <v>0</v>
      </c>
      <c r="I144" s="100">
        <v>13</v>
      </c>
      <c r="J144" s="100">
        <v>5</v>
      </c>
      <c r="K144" s="100">
        <v>4</v>
      </c>
      <c r="L144" s="100">
        <v>2</v>
      </c>
      <c r="M144" s="100">
        <v>2</v>
      </c>
      <c r="N144" s="100">
        <v>3</v>
      </c>
      <c r="O144" s="100">
        <v>1</v>
      </c>
      <c r="P144" s="100">
        <v>2.33</v>
      </c>
      <c r="Q144" s="100">
        <v>59.15</v>
      </c>
      <c r="R144" s="100">
        <v>1</v>
      </c>
      <c r="S144" s="100">
        <v>0</v>
      </c>
      <c r="T144" s="100">
        <v>1</v>
      </c>
      <c r="U144" s="100">
        <v>0</v>
      </c>
      <c r="V144" s="100">
        <v>0</v>
      </c>
      <c r="W144" s="100">
        <v>1</v>
      </c>
      <c r="X144" s="100">
        <v>0</v>
      </c>
      <c r="Y144" s="100">
        <v>0</v>
      </c>
      <c r="Z144" s="100">
        <v>1</v>
      </c>
      <c r="AA144" s="100">
        <v>0</v>
      </c>
      <c r="AB144" s="100">
        <v>0</v>
      </c>
      <c r="AC144" s="100">
        <v>1</v>
      </c>
      <c r="AD144" s="100">
        <v>0</v>
      </c>
      <c r="AE144" s="100">
        <v>0</v>
      </c>
      <c r="AF144" s="100">
        <v>1</v>
      </c>
      <c r="AG144" s="100">
        <v>0</v>
      </c>
      <c r="AH144" s="100">
        <v>0</v>
      </c>
      <c r="AI144" s="100">
        <v>0</v>
      </c>
      <c r="AJ144" s="100">
        <v>1</v>
      </c>
      <c r="AK144" s="100">
        <v>0</v>
      </c>
      <c r="AL144" s="100">
        <v>0</v>
      </c>
      <c r="AM144" s="100">
        <v>0</v>
      </c>
      <c r="AN144" s="100">
        <v>1</v>
      </c>
      <c r="AO144" s="100">
        <v>0</v>
      </c>
      <c r="AP144" s="100">
        <v>0</v>
      </c>
      <c r="AQ144" s="100">
        <v>0</v>
      </c>
      <c r="AR144" s="100">
        <v>0</v>
      </c>
      <c r="AS144" s="100">
        <v>0</v>
      </c>
      <c r="AT144" s="100">
        <v>0</v>
      </c>
      <c r="AU144" s="100">
        <v>0</v>
      </c>
      <c r="AV144" s="100">
        <v>0</v>
      </c>
      <c r="AW144" s="100">
        <v>0</v>
      </c>
      <c r="AX144" s="100">
        <v>0</v>
      </c>
      <c r="AY144" s="100">
        <v>0</v>
      </c>
      <c r="AZ144" s="100">
        <v>0</v>
      </c>
      <c r="BA144" s="100">
        <v>0</v>
      </c>
      <c r="BB144" s="100">
        <v>0</v>
      </c>
      <c r="BC144" s="100">
        <v>0</v>
      </c>
      <c r="BD144" s="100">
        <v>1</v>
      </c>
      <c r="BE144" s="100">
        <v>0</v>
      </c>
      <c r="BF144" s="100">
        <v>0</v>
      </c>
      <c r="BG144" s="100">
        <v>0</v>
      </c>
      <c r="BH144" s="100">
        <v>0</v>
      </c>
      <c r="BI144" s="100">
        <v>0</v>
      </c>
      <c r="BJ144" s="100">
        <v>1</v>
      </c>
      <c r="BK144" s="100">
        <v>0</v>
      </c>
      <c r="BL144" s="100">
        <v>0</v>
      </c>
      <c r="BM144" s="100">
        <v>0</v>
      </c>
      <c r="BN144" s="100">
        <v>0</v>
      </c>
      <c r="BO144" s="100">
        <v>0</v>
      </c>
      <c r="BP144" s="100">
        <v>0</v>
      </c>
      <c r="BQ144" s="100">
        <v>0</v>
      </c>
      <c r="BR144" s="100">
        <v>0</v>
      </c>
      <c r="BS144" s="100">
        <v>0</v>
      </c>
      <c r="BT144" s="100">
        <v>0</v>
      </c>
      <c r="BU144" s="100">
        <v>0</v>
      </c>
      <c r="BV144" s="100">
        <v>1</v>
      </c>
      <c r="BW144" s="100">
        <v>0</v>
      </c>
      <c r="BX144" s="100">
        <v>0</v>
      </c>
      <c r="BY144" s="100">
        <v>0</v>
      </c>
      <c r="BZ144" s="100">
        <v>0</v>
      </c>
      <c r="CA144" s="100">
        <v>0</v>
      </c>
      <c r="CB144" s="100" t="s">
        <v>2090</v>
      </c>
      <c r="CC144" s="100">
        <v>0</v>
      </c>
      <c r="CD144" s="100">
        <v>0</v>
      </c>
      <c r="CE144" s="100">
        <v>0</v>
      </c>
      <c r="CF144" s="100">
        <v>0</v>
      </c>
      <c r="CG144" s="103">
        <v>0</v>
      </c>
      <c r="CH144" s="103">
        <v>0</v>
      </c>
      <c r="CI144" s="103">
        <v>44382.035530000001</v>
      </c>
      <c r="CJ144" s="103">
        <v>0.97</v>
      </c>
      <c r="CK144" s="103">
        <f t="shared" si="8"/>
        <v>0</v>
      </c>
      <c r="CL144" s="103">
        <v>28954.799999999999</v>
      </c>
      <c r="CM144" s="103">
        <v>803792.1</v>
      </c>
      <c r="CN144" s="104">
        <v>3.602274767318564E-2</v>
      </c>
      <c r="CO144" s="103">
        <v>0</v>
      </c>
      <c r="CP144" s="103">
        <v>0</v>
      </c>
      <c r="CQ144" s="103">
        <v>0</v>
      </c>
      <c r="CR144" s="103">
        <v>0</v>
      </c>
      <c r="CS144" s="103">
        <f t="shared" si="9"/>
        <v>0</v>
      </c>
      <c r="CT144" s="103">
        <v>6121.9</v>
      </c>
      <c r="CU144" s="103">
        <v>519446.8</v>
      </c>
      <c r="CV144" s="104">
        <v>1.1785422491773941E-2</v>
      </c>
      <c r="CW144" s="103">
        <v>0</v>
      </c>
      <c r="CX144" s="103">
        <v>0</v>
      </c>
      <c r="CY144" s="103">
        <v>1115.19966</v>
      </c>
      <c r="CZ144" s="103">
        <v>0</v>
      </c>
      <c r="DA144" s="103">
        <f t="shared" si="10"/>
        <v>0</v>
      </c>
      <c r="DB144" s="103">
        <v>5199.3999999999996</v>
      </c>
      <c r="DC144" s="103">
        <v>840352.4</v>
      </c>
      <c r="DD144" s="104">
        <v>6.1871662412102341E-3</v>
      </c>
      <c r="DE144" s="103">
        <v>0</v>
      </c>
      <c r="DF144" s="103">
        <v>0</v>
      </c>
      <c r="DG144" s="103">
        <v>0</v>
      </c>
      <c r="DH144" s="103">
        <v>0</v>
      </c>
      <c r="DI144" s="103">
        <f t="shared" si="11"/>
        <v>0</v>
      </c>
      <c r="DJ144" s="103">
        <v>4572.8</v>
      </c>
      <c r="DK144" s="103">
        <v>375699.8</v>
      </c>
      <c r="DL144" s="104">
        <v>1.2171419841053948E-2</v>
      </c>
    </row>
    <row r="145" spans="1:116" s="15" customFormat="1" ht="133.69999999999999" customHeight="1" x14ac:dyDescent="0.25">
      <c r="A145" s="100" t="s">
        <v>230</v>
      </c>
      <c r="B145" s="100" t="s">
        <v>2407</v>
      </c>
      <c r="C145" s="100" t="s">
        <v>87</v>
      </c>
      <c r="D145" s="101" t="str">
        <f>"Chemistry 200"</f>
        <v>Chemistry 200</v>
      </c>
      <c r="E145" s="102" t="s">
        <v>2408</v>
      </c>
      <c r="F145" s="100">
        <v>8</v>
      </c>
      <c r="G145" s="100">
        <v>1</v>
      </c>
      <c r="H145" s="100">
        <v>0.13</v>
      </c>
      <c r="I145" s="100">
        <v>12</v>
      </c>
      <c r="J145" s="100">
        <v>4</v>
      </c>
      <c r="K145" s="100">
        <v>3</v>
      </c>
      <c r="L145" s="100">
        <v>1</v>
      </c>
      <c r="M145" s="100">
        <v>1</v>
      </c>
      <c r="N145" s="100">
        <v>2</v>
      </c>
      <c r="O145" s="100">
        <v>1</v>
      </c>
      <c r="P145" s="100">
        <v>2.41</v>
      </c>
      <c r="Q145" s="100">
        <v>29.1</v>
      </c>
      <c r="R145" s="100">
        <v>0</v>
      </c>
      <c r="S145" s="100">
        <v>0</v>
      </c>
      <c r="T145" s="100">
        <v>1</v>
      </c>
      <c r="U145" s="100">
        <v>0</v>
      </c>
      <c r="V145" s="100">
        <v>0</v>
      </c>
      <c r="W145" s="100">
        <v>0</v>
      </c>
      <c r="X145" s="100">
        <v>1</v>
      </c>
      <c r="Y145" s="100">
        <v>0</v>
      </c>
      <c r="Z145" s="100">
        <v>1</v>
      </c>
      <c r="AA145" s="100">
        <v>0</v>
      </c>
      <c r="AB145" s="100">
        <v>0</v>
      </c>
      <c r="AC145" s="100">
        <v>1</v>
      </c>
      <c r="AD145" s="100">
        <v>0</v>
      </c>
      <c r="AE145" s="100">
        <v>0</v>
      </c>
      <c r="AF145" s="100">
        <v>1</v>
      </c>
      <c r="AG145" s="100">
        <v>0</v>
      </c>
      <c r="AH145" s="100">
        <v>0</v>
      </c>
      <c r="AI145" s="100">
        <v>1</v>
      </c>
      <c r="AJ145" s="100">
        <v>0</v>
      </c>
      <c r="AK145" s="100">
        <v>0</v>
      </c>
      <c r="AL145" s="100">
        <v>0</v>
      </c>
      <c r="AM145" s="100">
        <v>0</v>
      </c>
      <c r="AN145" s="100">
        <v>0</v>
      </c>
      <c r="AO145" s="100">
        <v>0</v>
      </c>
      <c r="AP145" s="100">
        <v>0</v>
      </c>
      <c r="AQ145" s="100">
        <v>0</v>
      </c>
      <c r="AR145" s="100">
        <v>0</v>
      </c>
      <c r="AS145" s="100">
        <v>0</v>
      </c>
      <c r="AT145" s="100">
        <v>1</v>
      </c>
      <c r="AU145" s="100">
        <v>0</v>
      </c>
      <c r="AV145" s="100">
        <v>0</v>
      </c>
      <c r="AW145" s="100">
        <v>0</v>
      </c>
      <c r="AX145" s="100">
        <v>0</v>
      </c>
      <c r="AY145" s="100">
        <v>0</v>
      </c>
      <c r="AZ145" s="100">
        <v>0</v>
      </c>
      <c r="BA145" s="100">
        <v>0</v>
      </c>
      <c r="BB145" s="100">
        <v>0</v>
      </c>
      <c r="BC145" s="100">
        <v>0</v>
      </c>
      <c r="BD145" s="100">
        <v>0</v>
      </c>
      <c r="BE145" s="100">
        <v>1</v>
      </c>
      <c r="BF145" s="100">
        <v>0</v>
      </c>
      <c r="BG145" s="100">
        <v>0</v>
      </c>
      <c r="BH145" s="100">
        <v>0</v>
      </c>
      <c r="BI145" s="100">
        <v>0</v>
      </c>
      <c r="BJ145" s="100">
        <v>2</v>
      </c>
      <c r="BK145" s="100">
        <v>0</v>
      </c>
      <c r="BL145" s="100">
        <v>1</v>
      </c>
      <c r="BM145" s="100">
        <v>0</v>
      </c>
      <c r="BN145" s="100">
        <v>0</v>
      </c>
      <c r="BO145" s="100">
        <v>0</v>
      </c>
      <c r="BP145" s="100">
        <v>0</v>
      </c>
      <c r="BQ145" s="100">
        <v>0</v>
      </c>
      <c r="BR145" s="100">
        <v>0</v>
      </c>
      <c r="BS145" s="100">
        <v>0</v>
      </c>
      <c r="BT145" s="100">
        <v>0</v>
      </c>
      <c r="BU145" s="100">
        <v>0</v>
      </c>
      <c r="BV145" s="100">
        <v>0</v>
      </c>
      <c r="BW145" s="100">
        <v>0</v>
      </c>
      <c r="BX145" s="100">
        <v>0</v>
      </c>
      <c r="BY145" s="100">
        <v>0</v>
      </c>
      <c r="BZ145" s="100">
        <v>0</v>
      </c>
      <c r="CA145" s="100">
        <v>0</v>
      </c>
      <c r="CB145" s="100" t="s">
        <v>2090</v>
      </c>
      <c r="CC145" s="100">
        <v>0</v>
      </c>
      <c r="CD145" s="100">
        <v>0</v>
      </c>
      <c r="CE145" s="100">
        <v>0</v>
      </c>
      <c r="CF145" s="100">
        <v>0</v>
      </c>
      <c r="CG145" s="103">
        <v>502374.03698999999</v>
      </c>
      <c r="CH145" s="103">
        <v>25.86</v>
      </c>
      <c r="CI145" s="103">
        <v>2430325.2811699999</v>
      </c>
      <c r="CJ145" s="103">
        <v>31.15</v>
      </c>
      <c r="CK145" s="103">
        <f t="shared" si="8"/>
        <v>805.53899999999999</v>
      </c>
      <c r="CL145" s="103">
        <v>211871.6</v>
      </c>
      <c r="CM145" s="103">
        <v>731409.7</v>
      </c>
      <c r="CN145" s="104">
        <v>0.28967567698377533</v>
      </c>
      <c r="CO145" s="103">
        <v>0</v>
      </c>
      <c r="CP145" s="103">
        <v>0</v>
      </c>
      <c r="CQ145" s="103">
        <v>24433.64502</v>
      </c>
      <c r="CR145" s="103">
        <v>0</v>
      </c>
      <c r="CS145" s="103">
        <f t="shared" si="9"/>
        <v>0</v>
      </c>
      <c r="CT145" s="103">
        <v>22288.400000000001</v>
      </c>
      <c r="CU145" s="103">
        <v>1031839.3</v>
      </c>
      <c r="CV145" s="104">
        <v>2.1600650411357659E-2</v>
      </c>
      <c r="CW145" s="103">
        <v>4672.8929200000002</v>
      </c>
      <c r="CX145" s="103">
        <v>0.3</v>
      </c>
      <c r="CY145" s="103">
        <v>28333.378540000002</v>
      </c>
      <c r="CZ145" s="103">
        <v>1.6379433129183874</v>
      </c>
      <c r="DA145" s="103">
        <f t="shared" si="10"/>
        <v>0.49138299387551621</v>
      </c>
      <c r="DB145" s="103">
        <v>8075.2</v>
      </c>
      <c r="DC145" s="103">
        <v>870305.5</v>
      </c>
      <c r="DD145" s="104">
        <v>9.2785809121050025E-3</v>
      </c>
      <c r="DE145" s="103">
        <v>0</v>
      </c>
      <c r="DF145" s="103">
        <v>0</v>
      </c>
      <c r="DG145" s="103">
        <v>16371.41531</v>
      </c>
      <c r="DH145" s="103">
        <v>0</v>
      </c>
      <c r="DI145" s="103">
        <f t="shared" si="11"/>
        <v>0</v>
      </c>
      <c r="DJ145" s="103">
        <v>11900.8</v>
      </c>
      <c r="DK145" s="103">
        <v>941697.1</v>
      </c>
      <c r="DL145" s="104">
        <v>1.2637609269477414E-2</v>
      </c>
    </row>
    <row r="146" spans="1:116" s="15" customFormat="1" ht="190.7" customHeight="1" x14ac:dyDescent="0.25">
      <c r="A146" s="100" t="s">
        <v>231</v>
      </c>
      <c r="B146" s="100" t="s">
        <v>2409</v>
      </c>
      <c r="C146" s="100" t="s">
        <v>87</v>
      </c>
      <c r="D146" s="101" t="str">
        <f>"Chemistry 302"</f>
        <v>Chemistry 302</v>
      </c>
      <c r="E146" s="102" t="s">
        <v>2410</v>
      </c>
      <c r="F146" s="100">
        <v>12</v>
      </c>
      <c r="G146" s="100">
        <v>0</v>
      </c>
      <c r="H146" s="100">
        <v>0</v>
      </c>
      <c r="I146" s="100">
        <v>14</v>
      </c>
      <c r="J146" s="100">
        <v>2</v>
      </c>
      <c r="K146" s="100">
        <v>1</v>
      </c>
      <c r="L146" s="100">
        <v>1</v>
      </c>
      <c r="M146" s="100">
        <v>3</v>
      </c>
      <c r="N146" s="100">
        <v>0</v>
      </c>
      <c r="O146" s="100">
        <v>1</v>
      </c>
      <c r="P146" s="100">
        <v>4.55</v>
      </c>
      <c r="Q146" s="100">
        <v>15.79</v>
      </c>
      <c r="R146" s="100">
        <v>0</v>
      </c>
      <c r="S146" s="100">
        <v>0</v>
      </c>
      <c r="T146" s="100">
        <v>1</v>
      </c>
      <c r="U146" s="100">
        <v>0</v>
      </c>
      <c r="V146" s="100">
        <v>0</v>
      </c>
      <c r="W146" s="100">
        <v>0</v>
      </c>
      <c r="X146" s="100">
        <v>1</v>
      </c>
      <c r="Y146" s="100">
        <v>0</v>
      </c>
      <c r="Z146" s="100">
        <v>1</v>
      </c>
      <c r="AA146" s="100">
        <v>0</v>
      </c>
      <c r="AB146" s="100">
        <v>0</v>
      </c>
      <c r="AC146" s="100">
        <v>0</v>
      </c>
      <c r="AD146" s="100">
        <v>1</v>
      </c>
      <c r="AE146" s="100">
        <v>0</v>
      </c>
      <c r="AF146" s="100">
        <v>0</v>
      </c>
      <c r="AG146" s="100">
        <v>1</v>
      </c>
      <c r="AH146" s="100">
        <v>1</v>
      </c>
      <c r="AI146" s="100">
        <v>0</v>
      </c>
      <c r="AJ146" s="100">
        <v>0</v>
      </c>
      <c r="AK146" s="100">
        <v>0</v>
      </c>
      <c r="AL146" s="100">
        <v>0</v>
      </c>
      <c r="AM146" s="100">
        <v>0</v>
      </c>
      <c r="AN146" s="100">
        <v>1</v>
      </c>
      <c r="AO146" s="100">
        <v>0</v>
      </c>
      <c r="AP146" s="100">
        <v>0</v>
      </c>
      <c r="AQ146" s="100">
        <v>0</v>
      </c>
      <c r="AR146" s="100">
        <v>0</v>
      </c>
      <c r="AS146" s="100">
        <v>0</v>
      </c>
      <c r="AT146" s="100">
        <v>0</v>
      </c>
      <c r="AU146" s="100">
        <v>0</v>
      </c>
      <c r="AV146" s="100">
        <v>0</v>
      </c>
      <c r="AW146" s="100">
        <v>0</v>
      </c>
      <c r="AX146" s="100">
        <v>0</v>
      </c>
      <c r="AY146" s="100">
        <v>0</v>
      </c>
      <c r="AZ146" s="100">
        <v>0</v>
      </c>
      <c r="BA146" s="100">
        <v>0</v>
      </c>
      <c r="BB146" s="100">
        <v>0</v>
      </c>
      <c r="BC146" s="100">
        <v>0</v>
      </c>
      <c r="BD146" s="100">
        <v>0</v>
      </c>
      <c r="BE146" s="100">
        <v>0</v>
      </c>
      <c r="BF146" s="100">
        <v>0</v>
      </c>
      <c r="BG146" s="100">
        <v>0</v>
      </c>
      <c r="BH146" s="100">
        <v>0</v>
      </c>
      <c r="BI146" s="100">
        <v>0</v>
      </c>
      <c r="BJ146" s="100">
        <v>0</v>
      </c>
      <c r="BK146" s="100">
        <v>0</v>
      </c>
      <c r="BL146" s="100">
        <v>0</v>
      </c>
      <c r="BM146" s="100">
        <v>0</v>
      </c>
      <c r="BN146" s="100">
        <v>0</v>
      </c>
      <c r="BO146" s="100">
        <v>0</v>
      </c>
      <c r="BP146" s="100">
        <v>0</v>
      </c>
      <c r="BQ146" s="100">
        <v>0</v>
      </c>
      <c r="BR146" s="100">
        <v>1</v>
      </c>
      <c r="BS146" s="100">
        <v>1</v>
      </c>
      <c r="BT146" s="100">
        <v>0</v>
      </c>
      <c r="BU146" s="100">
        <v>0</v>
      </c>
      <c r="BV146" s="100">
        <v>0</v>
      </c>
      <c r="BW146" s="100">
        <v>0</v>
      </c>
      <c r="BX146" s="100">
        <v>0</v>
      </c>
      <c r="BY146" s="100">
        <v>0</v>
      </c>
      <c r="BZ146" s="100">
        <v>0</v>
      </c>
      <c r="CA146" s="100">
        <v>0</v>
      </c>
      <c r="CB146" s="100" t="s">
        <v>2090</v>
      </c>
      <c r="CC146" s="100">
        <v>0</v>
      </c>
      <c r="CD146" s="100">
        <v>0</v>
      </c>
      <c r="CE146" s="100">
        <v>0</v>
      </c>
      <c r="CF146" s="100">
        <v>0</v>
      </c>
      <c r="CG146" s="103">
        <v>478053.17655999999</v>
      </c>
      <c r="CH146" s="103">
        <v>17.64</v>
      </c>
      <c r="CI146" s="103">
        <v>3624558.30522</v>
      </c>
      <c r="CJ146" s="103">
        <v>38</v>
      </c>
      <c r="CK146" s="103">
        <f t="shared" si="8"/>
        <v>670.32</v>
      </c>
      <c r="CL146" s="103">
        <v>485975.5</v>
      </c>
      <c r="CM146" s="103">
        <v>678785.9</v>
      </c>
      <c r="CN146" s="104">
        <v>0.71594813622380782</v>
      </c>
      <c r="CO146" s="103">
        <v>0</v>
      </c>
      <c r="CP146" s="103">
        <v>0</v>
      </c>
      <c r="CQ146" s="103">
        <v>11526.896290000001</v>
      </c>
      <c r="CR146" s="103">
        <v>0</v>
      </c>
      <c r="CS146" s="103">
        <f t="shared" si="9"/>
        <v>0</v>
      </c>
      <c r="CT146" s="103">
        <v>3048.4</v>
      </c>
      <c r="CU146" s="103">
        <v>426508.9</v>
      </c>
      <c r="CV146" s="104">
        <v>7.1473303370691681E-3</v>
      </c>
      <c r="CW146" s="103">
        <v>0</v>
      </c>
      <c r="CX146" s="103">
        <v>0</v>
      </c>
      <c r="CY146" s="103">
        <v>6972.0897800000002</v>
      </c>
      <c r="CZ146" s="103">
        <v>0</v>
      </c>
      <c r="DA146" s="103">
        <f t="shared" si="10"/>
        <v>0</v>
      </c>
      <c r="DB146" s="103">
        <v>1176.8</v>
      </c>
      <c r="DC146" s="103">
        <v>452436.4</v>
      </c>
      <c r="DD146" s="104">
        <v>2.6010285644567943E-3</v>
      </c>
      <c r="DE146" s="103">
        <v>0</v>
      </c>
      <c r="DF146" s="103">
        <v>0</v>
      </c>
      <c r="DG146" s="103">
        <v>26070.591560000001</v>
      </c>
      <c r="DH146" s="103">
        <v>0</v>
      </c>
      <c r="DI146" s="103">
        <f t="shared" si="11"/>
        <v>0</v>
      </c>
      <c r="DJ146" s="103">
        <v>19568.8</v>
      </c>
      <c r="DK146" s="103">
        <v>774501.8</v>
      </c>
      <c r="DL146" s="104">
        <v>2.5266306676111017E-2</v>
      </c>
    </row>
    <row r="147" spans="1:116" s="15" customFormat="1" ht="190.7" customHeight="1" x14ac:dyDescent="0.25">
      <c r="A147" s="100" t="s">
        <v>232</v>
      </c>
      <c r="B147" s="100" t="s">
        <v>2411</v>
      </c>
      <c r="C147" s="100" t="s">
        <v>87</v>
      </c>
      <c r="D147" s="101" t="str">
        <f>"Chemistry 223"</f>
        <v>Chemistry 223</v>
      </c>
      <c r="E147" s="102" t="s">
        <v>2412</v>
      </c>
      <c r="F147" s="100">
        <v>12</v>
      </c>
      <c r="G147" s="100">
        <v>0</v>
      </c>
      <c r="H147" s="100">
        <v>0</v>
      </c>
      <c r="I147" s="100">
        <v>14</v>
      </c>
      <c r="J147" s="100">
        <v>2</v>
      </c>
      <c r="K147" s="100">
        <v>1</v>
      </c>
      <c r="L147" s="100">
        <v>0</v>
      </c>
      <c r="M147" s="100">
        <v>3</v>
      </c>
      <c r="N147" s="100">
        <v>0</v>
      </c>
      <c r="O147" s="100">
        <v>0</v>
      </c>
      <c r="P147" s="100">
        <v>4.95</v>
      </c>
      <c r="Q147" s="100">
        <v>13.14</v>
      </c>
      <c r="R147" s="100">
        <v>0</v>
      </c>
      <c r="S147" s="100">
        <v>0</v>
      </c>
      <c r="T147" s="100">
        <v>1</v>
      </c>
      <c r="U147" s="100">
        <v>0</v>
      </c>
      <c r="V147" s="100">
        <v>0</v>
      </c>
      <c r="W147" s="100">
        <v>0</v>
      </c>
      <c r="X147" s="100">
        <v>1</v>
      </c>
      <c r="Y147" s="100">
        <v>0</v>
      </c>
      <c r="Z147" s="100">
        <v>0</v>
      </c>
      <c r="AA147" s="100">
        <v>1</v>
      </c>
      <c r="AB147" s="100">
        <v>0</v>
      </c>
      <c r="AC147" s="100">
        <v>0</v>
      </c>
      <c r="AD147" s="100">
        <v>1</v>
      </c>
      <c r="AE147" s="100">
        <v>0</v>
      </c>
      <c r="AF147" s="100">
        <v>0</v>
      </c>
      <c r="AG147" s="100">
        <v>1</v>
      </c>
      <c r="AH147" s="100">
        <v>1</v>
      </c>
      <c r="AI147" s="100">
        <v>0</v>
      </c>
      <c r="AJ147" s="100">
        <v>0</v>
      </c>
      <c r="AK147" s="100">
        <v>0</v>
      </c>
      <c r="AL147" s="100">
        <v>0</v>
      </c>
      <c r="AM147" s="100">
        <v>0</v>
      </c>
      <c r="AN147" s="100">
        <v>1</v>
      </c>
      <c r="AO147" s="100">
        <v>0</v>
      </c>
      <c r="AP147" s="100">
        <v>0</v>
      </c>
      <c r="AQ147" s="100">
        <v>0</v>
      </c>
      <c r="AR147" s="100">
        <v>0</v>
      </c>
      <c r="AS147" s="100">
        <v>0</v>
      </c>
      <c r="AT147" s="100">
        <v>0</v>
      </c>
      <c r="AU147" s="100">
        <v>0</v>
      </c>
      <c r="AV147" s="100">
        <v>0</v>
      </c>
      <c r="AW147" s="100">
        <v>0</v>
      </c>
      <c r="AX147" s="100">
        <v>0</v>
      </c>
      <c r="AY147" s="100">
        <v>0</v>
      </c>
      <c r="AZ147" s="100">
        <v>0</v>
      </c>
      <c r="BA147" s="100">
        <v>0</v>
      </c>
      <c r="BB147" s="100">
        <v>0</v>
      </c>
      <c r="BC147" s="100">
        <v>0</v>
      </c>
      <c r="BD147" s="100">
        <v>0</v>
      </c>
      <c r="BE147" s="100">
        <v>0</v>
      </c>
      <c r="BF147" s="100">
        <v>0</v>
      </c>
      <c r="BG147" s="100">
        <v>0</v>
      </c>
      <c r="BH147" s="100">
        <v>0</v>
      </c>
      <c r="BI147" s="100">
        <v>0</v>
      </c>
      <c r="BJ147" s="100">
        <v>0</v>
      </c>
      <c r="BK147" s="100">
        <v>0</v>
      </c>
      <c r="BL147" s="100">
        <v>0</v>
      </c>
      <c r="BM147" s="100">
        <v>0</v>
      </c>
      <c r="BN147" s="100">
        <v>0</v>
      </c>
      <c r="BO147" s="100">
        <v>0</v>
      </c>
      <c r="BP147" s="100">
        <v>0</v>
      </c>
      <c r="BQ147" s="100">
        <v>0</v>
      </c>
      <c r="BR147" s="100">
        <v>0</v>
      </c>
      <c r="BS147" s="100">
        <v>0</v>
      </c>
      <c r="BT147" s="100">
        <v>0</v>
      </c>
      <c r="BU147" s="100">
        <v>0</v>
      </c>
      <c r="BV147" s="100">
        <v>1</v>
      </c>
      <c r="BW147" s="100">
        <v>0</v>
      </c>
      <c r="BX147" s="100">
        <v>0</v>
      </c>
      <c r="BY147" s="100">
        <v>0</v>
      </c>
      <c r="BZ147" s="100">
        <v>0</v>
      </c>
      <c r="CA147" s="100">
        <v>0</v>
      </c>
      <c r="CB147" s="100" t="s">
        <v>2090</v>
      </c>
      <c r="CC147" s="100">
        <v>0</v>
      </c>
      <c r="CD147" s="100">
        <v>0</v>
      </c>
      <c r="CE147" s="100">
        <v>0</v>
      </c>
      <c r="CF147" s="100">
        <v>0</v>
      </c>
      <c r="CG147" s="103">
        <v>308157.19508999999</v>
      </c>
      <c r="CH147" s="103">
        <v>24.61</v>
      </c>
      <c r="CI147" s="103">
        <v>3949174.4961000001</v>
      </c>
      <c r="CJ147" s="103">
        <v>41.45</v>
      </c>
      <c r="CK147" s="103">
        <f t="shared" si="8"/>
        <v>1020.0845</v>
      </c>
      <c r="CL147" s="103">
        <v>303899.59999999998</v>
      </c>
      <c r="CM147" s="103">
        <v>700398.9</v>
      </c>
      <c r="CN147" s="104">
        <v>0.43389502753359543</v>
      </c>
      <c r="CO147" s="103">
        <v>0</v>
      </c>
      <c r="CP147" s="103">
        <v>0</v>
      </c>
      <c r="CQ147" s="103">
        <v>2809.0678800000001</v>
      </c>
      <c r="CR147" s="103">
        <v>0</v>
      </c>
      <c r="CS147" s="103">
        <f t="shared" si="9"/>
        <v>0</v>
      </c>
      <c r="CT147" s="103">
        <v>1167.2</v>
      </c>
      <c r="CU147" s="103">
        <v>359050.6</v>
      </c>
      <c r="CV147" s="104">
        <v>3.2507952918056676E-3</v>
      </c>
      <c r="CW147" s="103">
        <v>646871.14609000005</v>
      </c>
      <c r="CX147" s="103">
        <v>45.8</v>
      </c>
      <c r="CY147" s="103">
        <v>3905533.06201</v>
      </c>
      <c r="CZ147" s="103">
        <v>102.67531414673691</v>
      </c>
      <c r="DA147" s="103">
        <f t="shared" si="10"/>
        <v>4702.5293879205501</v>
      </c>
      <c r="DB147" s="103">
        <v>515655.4</v>
      </c>
      <c r="DC147" s="103">
        <v>730260.6</v>
      </c>
      <c r="DD147" s="104">
        <v>0.70612518325649776</v>
      </c>
      <c r="DE147" s="103">
        <v>0</v>
      </c>
      <c r="DF147" s="103">
        <v>0</v>
      </c>
      <c r="DG147" s="103">
        <v>0</v>
      </c>
      <c r="DH147" s="103">
        <v>0</v>
      </c>
      <c r="DI147" s="103">
        <f t="shared" si="11"/>
        <v>0</v>
      </c>
      <c r="DJ147" s="103">
        <v>43353.2</v>
      </c>
      <c r="DK147" s="103">
        <v>808117.2</v>
      </c>
      <c r="DL147" s="104">
        <v>5.3647168999744095E-2</v>
      </c>
    </row>
    <row r="148" spans="1:116" s="15" customFormat="1" ht="183.95" customHeight="1" x14ac:dyDescent="0.25">
      <c r="A148" s="100" t="s">
        <v>233</v>
      </c>
      <c r="B148" s="100" t="s">
        <v>2413</v>
      </c>
      <c r="C148" s="100" t="s">
        <v>87</v>
      </c>
      <c r="D148" s="101" t="str">
        <f>"Chemistry 345"</f>
        <v>Chemistry 345</v>
      </c>
      <c r="E148" s="102" t="s">
        <v>2414</v>
      </c>
      <c r="F148" s="100">
        <v>8</v>
      </c>
      <c r="G148" s="100">
        <v>1</v>
      </c>
      <c r="H148" s="100">
        <v>0.13</v>
      </c>
      <c r="I148" s="100">
        <v>14</v>
      </c>
      <c r="J148" s="100">
        <v>6</v>
      </c>
      <c r="K148" s="100">
        <v>5</v>
      </c>
      <c r="L148" s="100">
        <v>4</v>
      </c>
      <c r="M148" s="100">
        <v>2</v>
      </c>
      <c r="N148" s="100">
        <v>4</v>
      </c>
      <c r="O148" s="100">
        <v>0</v>
      </c>
      <c r="P148" s="100">
        <v>1.82</v>
      </c>
      <c r="Q148" s="100">
        <v>52.83</v>
      </c>
      <c r="R148" s="100">
        <v>0</v>
      </c>
      <c r="S148" s="100">
        <v>1</v>
      </c>
      <c r="T148" s="100">
        <v>0</v>
      </c>
      <c r="U148" s="100">
        <v>0</v>
      </c>
      <c r="V148" s="100">
        <v>1</v>
      </c>
      <c r="W148" s="100">
        <v>0</v>
      </c>
      <c r="X148" s="100">
        <v>0</v>
      </c>
      <c r="Y148" s="100">
        <v>0</v>
      </c>
      <c r="Z148" s="100">
        <v>0</v>
      </c>
      <c r="AA148" s="100">
        <v>1</v>
      </c>
      <c r="AB148" s="100">
        <v>1</v>
      </c>
      <c r="AC148" s="100">
        <v>0</v>
      </c>
      <c r="AD148" s="100">
        <v>0</v>
      </c>
      <c r="AE148" s="100">
        <v>1</v>
      </c>
      <c r="AF148" s="100">
        <v>0</v>
      </c>
      <c r="AG148" s="100">
        <v>0</v>
      </c>
      <c r="AH148" s="100">
        <v>0</v>
      </c>
      <c r="AI148" s="100">
        <v>0</v>
      </c>
      <c r="AJ148" s="100">
        <v>1</v>
      </c>
      <c r="AK148" s="100">
        <v>0</v>
      </c>
      <c r="AL148" s="100">
        <v>0</v>
      </c>
      <c r="AM148" s="100">
        <v>0</v>
      </c>
      <c r="AN148" s="100">
        <v>1</v>
      </c>
      <c r="AO148" s="100">
        <v>0</v>
      </c>
      <c r="AP148" s="100">
        <v>0</v>
      </c>
      <c r="AQ148" s="100">
        <v>0</v>
      </c>
      <c r="AR148" s="100">
        <v>0</v>
      </c>
      <c r="AS148" s="100">
        <v>0</v>
      </c>
      <c r="AT148" s="100">
        <v>0</v>
      </c>
      <c r="AU148" s="100">
        <v>0</v>
      </c>
      <c r="AV148" s="100">
        <v>0</v>
      </c>
      <c r="AW148" s="100">
        <v>0</v>
      </c>
      <c r="AX148" s="100">
        <v>0</v>
      </c>
      <c r="AY148" s="100">
        <v>0</v>
      </c>
      <c r="AZ148" s="100">
        <v>0</v>
      </c>
      <c r="BA148" s="100">
        <v>0</v>
      </c>
      <c r="BB148" s="100">
        <v>0</v>
      </c>
      <c r="BC148" s="100">
        <v>0</v>
      </c>
      <c r="BD148" s="100">
        <v>0</v>
      </c>
      <c r="BE148" s="100">
        <v>0</v>
      </c>
      <c r="BF148" s="100">
        <v>0</v>
      </c>
      <c r="BG148" s="100">
        <v>0</v>
      </c>
      <c r="BH148" s="100">
        <v>0</v>
      </c>
      <c r="BI148" s="100">
        <v>0</v>
      </c>
      <c r="BJ148" s="100">
        <v>0</v>
      </c>
      <c r="BK148" s="100">
        <v>0</v>
      </c>
      <c r="BL148" s="100">
        <v>0</v>
      </c>
      <c r="BM148" s="100">
        <v>0</v>
      </c>
      <c r="BN148" s="100">
        <v>0</v>
      </c>
      <c r="BO148" s="100">
        <v>0</v>
      </c>
      <c r="BP148" s="100">
        <v>0</v>
      </c>
      <c r="BQ148" s="100">
        <v>0</v>
      </c>
      <c r="BR148" s="100">
        <v>0</v>
      </c>
      <c r="BS148" s="100">
        <v>0</v>
      </c>
      <c r="BT148" s="100">
        <v>0</v>
      </c>
      <c r="BU148" s="100">
        <v>0</v>
      </c>
      <c r="BV148" s="100">
        <v>1</v>
      </c>
      <c r="BW148" s="100">
        <v>0</v>
      </c>
      <c r="BX148" s="100">
        <v>0</v>
      </c>
      <c r="BY148" s="100">
        <v>0</v>
      </c>
      <c r="BZ148" s="100">
        <v>0</v>
      </c>
      <c r="CA148" s="100">
        <v>0</v>
      </c>
      <c r="CB148" s="100" t="s">
        <v>2090</v>
      </c>
      <c r="CC148" s="100">
        <v>0</v>
      </c>
      <c r="CD148" s="100">
        <v>0</v>
      </c>
      <c r="CE148" s="100">
        <v>0</v>
      </c>
      <c r="CF148" s="100">
        <v>0</v>
      </c>
      <c r="CG148" s="103">
        <v>96285.964649999994</v>
      </c>
      <c r="CH148" s="103">
        <v>7.17</v>
      </c>
      <c r="CI148" s="103">
        <v>224695.73303999999</v>
      </c>
      <c r="CJ148" s="103">
        <v>12.1</v>
      </c>
      <c r="CK148" s="103">
        <f t="shared" si="8"/>
        <v>86.756999999999991</v>
      </c>
      <c r="CL148" s="103">
        <v>11437.3</v>
      </c>
      <c r="CM148" s="103">
        <v>314469.3</v>
      </c>
      <c r="CN148" s="104">
        <v>3.6370163955591214E-2</v>
      </c>
      <c r="CO148" s="103">
        <v>46835.957009999998</v>
      </c>
      <c r="CP148" s="103">
        <v>5.77</v>
      </c>
      <c r="CQ148" s="103">
        <v>95224.533049999998</v>
      </c>
      <c r="CR148" s="103">
        <v>6.71</v>
      </c>
      <c r="CS148" s="103">
        <f t="shared" si="9"/>
        <v>38.716699999999996</v>
      </c>
      <c r="CT148" s="103">
        <v>5788.8</v>
      </c>
      <c r="CU148" s="103">
        <v>523427.6</v>
      </c>
      <c r="CV148" s="104">
        <v>1.1059409171392568E-2</v>
      </c>
      <c r="CW148" s="103">
        <v>274187.39785000001</v>
      </c>
      <c r="CX148" s="103">
        <v>34.83</v>
      </c>
      <c r="CY148" s="103">
        <v>500379.98493999999</v>
      </c>
      <c r="CZ148" s="103">
        <v>37.570093457943919</v>
      </c>
      <c r="DA148" s="103">
        <f t="shared" si="10"/>
        <v>1308.5663551401867</v>
      </c>
      <c r="DB148" s="103">
        <v>2593.4</v>
      </c>
      <c r="DC148" s="103">
        <v>120410.7</v>
      </c>
      <c r="DD148" s="104">
        <v>2.1537953022447341E-2</v>
      </c>
      <c r="DE148" s="103">
        <v>98108.859490000003</v>
      </c>
      <c r="DF148" s="103">
        <v>8.9700000000000006</v>
      </c>
      <c r="DG148" s="103">
        <v>236870.62065</v>
      </c>
      <c r="DH148" s="103">
        <v>12.21</v>
      </c>
      <c r="DI148" s="103">
        <f t="shared" si="11"/>
        <v>109.52370000000002</v>
      </c>
      <c r="DJ148" s="103">
        <v>16581.900000000001</v>
      </c>
      <c r="DK148" s="103">
        <v>744637.8</v>
      </c>
      <c r="DL148" s="104">
        <v>2.2268410225750022E-2</v>
      </c>
    </row>
    <row r="149" spans="1:116" s="15" customFormat="1" ht="265.7" customHeight="1" x14ac:dyDescent="0.25">
      <c r="A149" s="100" t="s">
        <v>234</v>
      </c>
      <c r="B149" s="100" t="s">
        <v>2415</v>
      </c>
      <c r="C149" s="100" t="s">
        <v>87</v>
      </c>
      <c r="D149" s="101" t="str">
        <f>"Chemistry 375"</f>
        <v>Chemistry 375</v>
      </c>
      <c r="E149" s="102" t="s">
        <v>2416</v>
      </c>
      <c r="F149" s="100">
        <v>14</v>
      </c>
      <c r="G149" s="100">
        <v>2</v>
      </c>
      <c r="H149" s="100">
        <v>0.14000000000000001</v>
      </c>
      <c r="I149" s="100">
        <v>18</v>
      </c>
      <c r="J149" s="100">
        <v>4</v>
      </c>
      <c r="K149" s="100">
        <v>3</v>
      </c>
      <c r="L149" s="100">
        <v>1</v>
      </c>
      <c r="M149" s="100">
        <v>2</v>
      </c>
      <c r="N149" s="100">
        <v>3</v>
      </c>
      <c r="O149" s="100">
        <v>0</v>
      </c>
      <c r="P149" s="100">
        <v>3.81</v>
      </c>
      <c r="Q149" s="100">
        <v>39.19</v>
      </c>
      <c r="R149" s="100">
        <v>4</v>
      </c>
      <c r="S149" s="100">
        <v>1</v>
      </c>
      <c r="T149" s="100">
        <v>0</v>
      </c>
      <c r="U149" s="100">
        <v>0</v>
      </c>
      <c r="V149" s="100">
        <v>0</v>
      </c>
      <c r="W149" s="100">
        <v>0</v>
      </c>
      <c r="X149" s="100">
        <v>1</v>
      </c>
      <c r="Y149" s="100">
        <v>0</v>
      </c>
      <c r="Z149" s="100">
        <v>0</v>
      </c>
      <c r="AA149" s="100">
        <v>1</v>
      </c>
      <c r="AB149" s="100">
        <v>0</v>
      </c>
      <c r="AC149" s="100">
        <v>1</v>
      </c>
      <c r="AD149" s="100">
        <v>0</v>
      </c>
      <c r="AE149" s="100">
        <v>0</v>
      </c>
      <c r="AF149" s="100">
        <v>0</v>
      </c>
      <c r="AG149" s="100">
        <v>1</v>
      </c>
      <c r="AH149" s="100">
        <v>0</v>
      </c>
      <c r="AI149" s="100">
        <v>1</v>
      </c>
      <c r="AJ149" s="100">
        <v>0</v>
      </c>
      <c r="AK149" s="100">
        <v>0</v>
      </c>
      <c r="AL149" s="100">
        <v>0</v>
      </c>
      <c r="AM149" s="100">
        <v>0</v>
      </c>
      <c r="AN149" s="100">
        <v>0</v>
      </c>
      <c r="AO149" s="100">
        <v>1</v>
      </c>
      <c r="AP149" s="100">
        <v>0</v>
      </c>
      <c r="AQ149" s="100">
        <v>0</v>
      </c>
      <c r="AR149" s="100">
        <v>1</v>
      </c>
      <c r="AS149" s="100">
        <v>0</v>
      </c>
      <c r="AT149" s="100">
        <v>0</v>
      </c>
      <c r="AU149" s="100">
        <v>0</v>
      </c>
      <c r="AV149" s="100">
        <v>0</v>
      </c>
      <c r="AW149" s="100">
        <v>0</v>
      </c>
      <c r="AX149" s="100">
        <v>1</v>
      </c>
      <c r="AY149" s="100">
        <v>0</v>
      </c>
      <c r="AZ149" s="100">
        <v>0</v>
      </c>
      <c r="BA149" s="100">
        <v>0</v>
      </c>
      <c r="BB149" s="100">
        <v>0</v>
      </c>
      <c r="BC149" s="100">
        <v>0</v>
      </c>
      <c r="BD149" s="100">
        <v>0</v>
      </c>
      <c r="BE149" s="100">
        <v>0</v>
      </c>
      <c r="BF149" s="100">
        <v>0</v>
      </c>
      <c r="BG149" s="100">
        <v>0</v>
      </c>
      <c r="BH149" s="100">
        <v>0</v>
      </c>
      <c r="BI149" s="100">
        <v>0</v>
      </c>
      <c r="BJ149" s="100">
        <v>2</v>
      </c>
      <c r="BK149" s="100">
        <v>0</v>
      </c>
      <c r="BL149" s="100">
        <v>0</v>
      </c>
      <c r="BM149" s="100">
        <v>0</v>
      </c>
      <c r="BN149" s="100">
        <v>1</v>
      </c>
      <c r="BO149" s="100">
        <v>0</v>
      </c>
      <c r="BP149" s="100">
        <v>0</v>
      </c>
      <c r="BQ149" s="100">
        <v>0</v>
      </c>
      <c r="BR149" s="100">
        <v>0</v>
      </c>
      <c r="BS149" s="100">
        <v>0</v>
      </c>
      <c r="BT149" s="100">
        <v>0</v>
      </c>
      <c r="BU149" s="100">
        <v>0</v>
      </c>
      <c r="BV149" s="100">
        <v>0</v>
      </c>
      <c r="BW149" s="100">
        <v>0</v>
      </c>
      <c r="BX149" s="100">
        <v>0</v>
      </c>
      <c r="BY149" s="100">
        <v>0</v>
      </c>
      <c r="BZ149" s="100">
        <v>0</v>
      </c>
      <c r="CA149" s="100">
        <v>0</v>
      </c>
      <c r="CB149" s="100" t="s">
        <v>2090</v>
      </c>
      <c r="CC149" s="100">
        <v>0</v>
      </c>
      <c r="CD149" s="100">
        <v>0</v>
      </c>
      <c r="CE149" s="100">
        <v>0</v>
      </c>
      <c r="CF149" s="100">
        <v>0</v>
      </c>
      <c r="CG149" s="103">
        <v>241110.89515999999</v>
      </c>
      <c r="CH149" s="103">
        <v>24.39</v>
      </c>
      <c r="CI149" s="103">
        <v>2155834.0224199998</v>
      </c>
      <c r="CJ149" s="103">
        <v>22.11</v>
      </c>
      <c r="CK149" s="103">
        <f t="shared" si="8"/>
        <v>539.26289999999995</v>
      </c>
      <c r="CL149" s="103">
        <v>89087.7</v>
      </c>
      <c r="CM149" s="103">
        <v>82799.7</v>
      </c>
      <c r="CN149" s="104">
        <v>1.0759423041387832</v>
      </c>
      <c r="CO149" s="103">
        <v>71737.982879999996</v>
      </c>
      <c r="CP149" s="103">
        <v>2.09</v>
      </c>
      <c r="CQ149" s="103">
        <v>231196.05168</v>
      </c>
      <c r="CR149" s="103">
        <v>15.38</v>
      </c>
      <c r="CS149" s="103">
        <f t="shared" si="9"/>
        <v>32.144199999999998</v>
      </c>
      <c r="CT149" s="103">
        <v>22900.3</v>
      </c>
      <c r="CU149" s="103">
        <v>802633.8</v>
      </c>
      <c r="CV149" s="104">
        <v>2.8531442358893929E-2</v>
      </c>
      <c r="CW149" s="103">
        <v>160418.56612</v>
      </c>
      <c r="CX149" s="103">
        <v>20.51</v>
      </c>
      <c r="CY149" s="103">
        <v>1826835.3522000001</v>
      </c>
      <c r="CZ149" s="103">
        <v>17.745510973176682</v>
      </c>
      <c r="DA149" s="103">
        <f t="shared" si="10"/>
        <v>363.96043005985376</v>
      </c>
      <c r="DB149" s="103">
        <v>72473.7</v>
      </c>
      <c r="DC149" s="103">
        <v>56199.7</v>
      </c>
      <c r="DD149" s="104">
        <v>1.2895744995080045</v>
      </c>
      <c r="DE149" s="103">
        <v>19453.990419999998</v>
      </c>
      <c r="DF149" s="103">
        <v>1.1400000000000001</v>
      </c>
      <c r="DG149" s="103">
        <v>335858.97084999998</v>
      </c>
      <c r="DH149" s="103">
        <v>3.65</v>
      </c>
      <c r="DI149" s="103">
        <f t="shared" si="11"/>
        <v>4.1610000000000005</v>
      </c>
      <c r="DJ149" s="103">
        <v>32002.799999999999</v>
      </c>
      <c r="DK149" s="103">
        <v>711636.8</v>
      </c>
      <c r="DL149" s="104">
        <v>4.4970692915262386E-2</v>
      </c>
    </row>
    <row r="150" spans="1:116" s="15" customFormat="1" ht="265.7" customHeight="1" x14ac:dyDescent="0.25">
      <c r="A150" s="100" t="s">
        <v>235</v>
      </c>
      <c r="B150" s="100" t="s">
        <v>2417</v>
      </c>
      <c r="C150" s="100" t="s">
        <v>87</v>
      </c>
      <c r="D150" s="101" t="str">
        <f>"Chemistry 358"</f>
        <v>Chemistry 358</v>
      </c>
      <c r="E150" s="102" t="s">
        <v>2418</v>
      </c>
      <c r="F150" s="100">
        <v>13</v>
      </c>
      <c r="G150" s="100">
        <v>1</v>
      </c>
      <c r="H150" s="100">
        <v>0.08</v>
      </c>
      <c r="I150" s="100">
        <v>18</v>
      </c>
      <c r="J150" s="100">
        <v>5</v>
      </c>
      <c r="K150" s="100">
        <v>4</v>
      </c>
      <c r="L150" s="100">
        <v>2</v>
      </c>
      <c r="M150" s="100">
        <v>2</v>
      </c>
      <c r="N150" s="100">
        <v>3</v>
      </c>
      <c r="O150" s="100">
        <v>1</v>
      </c>
      <c r="P150" s="100">
        <v>4.5999999999999996</v>
      </c>
      <c r="Q150" s="100">
        <v>57.85</v>
      </c>
      <c r="R150" s="100">
        <v>4</v>
      </c>
      <c r="S150" s="100">
        <v>1</v>
      </c>
      <c r="T150" s="100">
        <v>0</v>
      </c>
      <c r="U150" s="100">
        <v>0</v>
      </c>
      <c r="V150" s="100">
        <v>0</v>
      </c>
      <c r="W150" s="100">
        <v>1</v>
      </c>
      <c r="X150" s="100">
        <v>0</v>
      </c>
      <c r="Y150" s="100">
        <v>0</v>
      </c>
      <c r="Z150" s="100">
        <v>1</v>
      </c>
      <c r="AA150" s="100">
        <v>0</v>
      </c>
      <c r="AB150" s="100">
        <v>0</v>
      </c>
      <c r="AC150" s="100">
        <v>1</v>
      </c>
      <c r="AD150" s="100">
        <v>0</v>
      </c>
      <c r="AE150" s="100">
        <v>0</v>
      </c>
      <c r="AF150" s="100">
        <v>0</v>
      </c>
      <c r="AG150" s="100">
        <v>1</v>
      </c>
      <c r="AH150" s="100">
        <v>0</v>
      </c>
      <c r="AI150" s="100">
        <v>0</v>
      </c>
      <c r="AJ150" s="100">
        <v>1</v>
      </c>
      <c r="AK150" s="100">
        <v>0</v>
      </c>
      <c r="AL150" s="100">
        <v>0</v>
      </c>
      <c r="AM150" s="100">
        <v>0</v>
      </c>
      <c r="AN150" s="100">
        <v>0</v>
      </c>
      <c r="AO150" s="100">
        <v>0</v>
      </c>
      <c r="AP150" s="100">
        <v>0</v>
      </c>
      <c r="AQ150" s="100">
        <v>0</v>
      </c>
      <c r="AR150" s="100">
        <v>0</v>
      </c>
      <c r="AS150" s="100">
        <v>0</v>
      </c>
      <c r="AT150" s="100">
        <v>0</v>
      </c>
      <c r="AU150" s="100">
        <v>1</v>
      </c>
      <c r="AV150" s="100">
        <v>0</v>
      </c>
      <c r="AW150" s="100">
        <v>0</v>
      </c>
      <c r="AX150" s="100">
        <v>0</v>
      </c>
      <c r="AY150" s="100">
        <v>0</v>
      </c>
      <c r="AZ150" s="100">
        <v>0</v>
      </c>
      <c r="BA150" s="100">
        <v>0</v>
      </c>
      <c r="BB150" s="100">
        <v>0</v>
      </c>
      <c r="BC150" s="100">
        <v>1</v>
      </c>
      <c r="BD150" s="100">
        <v>0</v>
      </c>
      <c r="BE150" s="100">
        <v>0</v>
      </c>
      <c r="BF150" s="100">
        <v>0</v>
      </c>
      <c r="BG150" s="100">
        <v>0</v>
      </c>
      <c r="BH150" s="100">
        <v>0</v>
      </c>
      <c r="BI150" s="100">
        <v>0</v>
      </c>
      <c r="BJ150" s="100">
        <v>2</v>
      </c>
      <c r="BK150" s="100">
        <v>0</v>
      </c>
      <c r="BL150" s="100">
        <v>0</v>
      </c>
      <c r="BM150" s="100">
        <v>1</v>
      </c>
      <c r="BN150" s="100">
        <v>0</v>
      </c>
      <c r="BO150" s="100">
        <v>0</v>
      </c>
      <c r="BP150" s="100">
        <v>0</v>
      </c>
      <c r="BQ150" s="100">
        <v>0</v>
      </c>
      <c r="BR150" s="100">
        <v>0</v>
      </c>
      <c r="BS150" s="100">
        <v>0</v>
      </c>
      <c r="BT150" s="100">
        <v>0</v>
      </c>
      <c r="BU150" s="100">
        <v>0</v>
      </c>
      <c r="BV150" s="100">
        <v>0</v>
      </c>
      <c r="BW150" s="100">
        <v>0</v>
      </c>
      <c r="BX150" s="100">
        <v>0</v>
      </c>
      <c r="BY150" s="100">
        <v>0</v>
      </c>
      <c r="BZ150" s="100">
        <v>0</v>
      </c>
      <c r="CA150" s="100">
        <v>0</v>
      </c>
      <c r="CB150" s="100" t="s">
        <v>2090</v>
      </c>
      <c r="CC150" s="100">
        <v>0</v>
      </c>
      <c r="CD150" s="100">
        <v>0</v>
      </c>
      <c r="CE150" s="100">
        <v>0</v>
      </c>
      <c r="CF150" s="100">
        <v>0</v>
      </c>
      <c r="CG150" s="103">
        <v>200139.97008999999</v>
      </c>
      <c r="CH150" s="103">
        <v>17.64</v>
      </c>
      <c r="CI150" s="103">
        <v>1256245.7563700001</v>
      </c>
      <c r="CJ150" s="103">
        <v>27.01</v>
      </c>
      <c r="CK150" s="103">
        <f t="shared" si="8"/>
        <v>476.45640000000003</v>
      </c>
      <c r="CL150" s="103">
        <v>2893.1</v>
      </c>
      <c r="CM150" s="103">
        <v>287935.7</v>
      </c>
      <c r="CN150" s="104">
        <v>1.0047729406252854E-2</v>
      </c>
      <c r="CO150" s="103">
        <v>199176.85295</v>
      </c>
      <c r="CP150" s="103">
        <v>5.37</v>
      </c>
      <c r="CQ150" s="103">
        <v>1399347.29302</v>
      </c>
      <c r="CR150" s="103">
        <v>6.98</v>
      </c>
      <c r="CS150" s="103">
        <f t="shared" si="9"/>
        <v>37.482600000000005</v>
      </c>
      <c r="CT150" s="103">
        <v>1596.6</v>
      </c>
      <c r="CU150" s="103">
        <v>11389.1</v>
      </c>
      <c r="CV150" s="104">
        <v>0.14018666971051266</v>
      </c>
      <c r="CW150" s="103">
        <v>793654.31834999996</v>
      </c>
      <c r="CX150" s="103">
        <v>69.89</v>
      </c>
      <c r="CY150" s="103">
        <v>1996531.79489</v>
      </c>
      <c r="CZ150" s="103">
        <v>53.674081479630104</v>
      </c>
      <c r="DA150" s="103">
        <f t="shared" si="10"/>
        <v>3751.2815546113479</v>
      </c>
      <c r="DB150" s="103">
        <v>6773.2</v>
      </c>
      <c r="DC150" s="103">
        <v>354121</v>
      </c>
      <c r="DD150" s="104">
        <v>1.9126795643297063E-2</v>
      </c>
      <c r="DE150" s="103">
        <v>152418.85732000001</v>
      </c>
      <c r="DF150" s="103">
        <v>4.8499999999999996</v>
      </c>
      <c r="DG150" s="103">
        <v>1253017.21407</v>
      </c>
      <c r="DH150" s="103">
        <v>6.85</v>
      </c>
      <c r="DI150" s="103">
        <f t="shared" si="11"/>
        <v>33.222499999999997</v>
      </c>
      <c r="DJ150" s="103">
        <v>4246.5</v>
      </c>
      <c r="DK150" s="103">
        <v>34853.599999999999</v>
      </c>
      <c r="DL150" s="104">
        <v>0.12183820322721327</v>
      </c>
    </row>
    <row r="151" spans="1:116" s="15" customFormat="1" ht="185.45" customHeight="1" x14ac:dyDescent="0.25">
      <c r="A151" s="100" t="s">
        <v>236</v>
      </c>
      <c r="B151" s="100" t="s">
        <v>2419</v>
      </c>
      <c r="C151" s="100" t="s">
        <v>87</v>
      </c>
      <c r="D151" s="101" t="str">
        <f>"Chemistry 277"</f>
        <v>Chemistry 277</v>
      </c>
      <c r="E151" s="102" t="s">
        <v>2420</v>
      </c>
      <c r="F151" s="100">
        <v>13</v>
      </c>
      <c r="G151" s="100">
        <v>5</v>
      </c>
      <c r="H151" s="100">
        <v>0.38</v>
      </c>
      <c r="I151" s="100">
        <v>18</v>
      </c>
      <c r="J151" s="100">
        <v>5</v>
      </c>
      <c r="K151" s="100">
        <v>4</v>
      </c>
      <c r="L151" s="100">
        <v>3</v>
      </c>
      <c r="M151" s="100">
        <v>2</v>
      </c>
      <c r="N151" s="100">
        <v>2</v>
      </c>
      <c r="O151" s="100">
        <v>1</v>
      </c>
      <c r="P151" s="100">
        <v>1.34</v>
      </c>
      <c r="Q151" s="100">
        <v>48.99</v>
      </c>
      <c r="R151" s="100">
        <v>1</v>
      </c>
      <c r="S151" s="100">
        <v>1</v>
      </c>
      <c r="T151" s="100">
        <v>0</v>
      </c>
      <c r="U151" s="100">
        <v>0</v>
      </c>
      <c r="V151" s="100">
        <v>0</v>
      </c>
      <c r="W151" s="100">
        <v>1</v>
      </c>
      <c r="X151" s="100">
        <v>0</v>
      </c>
      <c r="Y151" s="100">
        <v>0</v>
      </c>
      <c r="Z151" s="100">
        <v>1</v>
      </c>
      <c r="AA151" s="100">
        <v>0</v>
      </c>
      <c r="AB151" s="100">
        <v>0</v>
      </c>
      <c r="AC151" s="100">
        <v>1</v>
      </c>
      <c r="AD151" s="100">
        <v>0</v>
      </c>
      <c r="AE151" s="100">
        <v>1</v>
      </c>
      <c r="AF151" s="100">
        <v>0</v>
      </c>
      <c r="AG151" s="100">
        <v>0</v>
      </c>
      <c r="AH151" s="100">
        <v>0</v>
      </c>
      <c r="AI151" s="100">
        <v>0</v>
      </c>
      <c r="AJ151" s="100">
        <v>1</v>
      </c>
      <c r="AK151" s="100">
        <v>0</v>
      </c>
      <c r="AL151" s="100">
        <v>0</v>
      </c>
      <c r="AM151" s="100">
        <v>0</v>
      </c>
      <c r="AN151" s="100">
        <v>1</v>
      </c>
      <c r="AO151" s="100">
        <v>0</v>
      </c>
      <c r="AP151" s="100">
        <v>0</v>
      </c>
      <c r="AQ151" s="100">
        <v>0</v>
      </c>
      <c r="AR151" s="100">
        <v>0</v>
      </c>
      <c r="AS151" s="100">
        <v>0</v>
      </c>
      <c r="AT151" s="100">
        <v>1</v>
      </c>
      <c r="AU151" s="100">
        <v>0</v>
      </c>
      <c r="AV151" s="100">
        <v>0</v>
      </c>
      <c r="AW151" s="100">
        <v>0</v>
      </c>
      <c r="AX151" s="100">
        <v>0</v>
      </c>
      <c r="AY151" s="100">
        <v>0</v>
      </c>
      <c r="AZ151" s="100">
        <v>0</v>
      </c>
      <c r="BA151" s="100">
        <v>0</v>
      </c>
      <c r="BB151" s="100">
        <v>0</v>
      </c>
      <c r="BC151" s="100">
        <v>0</v>
      </c>
      <c r="BD151" s="100">
        <v>0</v>
      </c>
      <c r="BE151" s="100">
        <v>0</v>
      </c>
      <c r="BF151" s="100">
        <v>0</v>
      </c>
      <c r="BG151" s="100">
        <v>0</v>
      </c>
      <c r="BH151" s="100">
        <v>0</v>
      </c>
      <c r="BI151" s="100">
        <v>0</v>
      </c>
      <c r="BJ151" s="100">
        <v>1</v>
      </c>
      <c r="BK151" s="100">
        <v>0</v>
      </c>
      <c r="BL151" s="100">
        <v>0</v>
      </c>
      <c r="BM151" s="100">
        <v>0</v>
      </c>
      <c r="BN151" s="100">
        <v>0</v>
      </c>
      <c r="BO151" s="100">
        <v>0</v>
      </c>
      <c r="BP151" s="100">
        <v>0</v>
      </c>
      <c r="BQ151" s="100">
        <v>0</v>
      </c>
      <c r="BR151" s="100">
        <v>1</v>
      </c>
      <c r="BS151" s="100">
        <v>0</v>
      </c>
      <c r="BT151" s="100">
        <v>1</v>
      </c>
      <c r="BU151" s="100">
        <v>0</v>
      </c>
      <c r="BV151" s="100">
        <v>0</v>
      </c>
      <c r="BW151" s="100">
        <v>0</v>
      </c>
      <c r="BX151" s="100">
        <v>0</v>
      </c>
      <c r="BY151" s="100">
        <v>0</v>
      </c>
      <c r="BZ151" s="100">
        <v>0</v>
      </c>
      <c r="CA151" s="100">
        <v>0</v>
      </c>
      <c r="CB151" s="100" t="s">
        <v>2090</v>
      </c>
      <c r="CC151" s="100">
        <v>0</v>
      </c>
      <c r="CD151" s="100">
        <v>0</v>
      </c>
      <c r="CE151" s="100">
        <v>0</v>
      </c>
      <c r="CF151" s="100">
        <v>0</v>
      </c>
      <c r="CG151" s="103">
        <v>0</v>
      </c>
      <c r="CH151" s="103">
        <v>0</v>
      </c>
      <c r="CI151" s="103">
        <v>132079.08812</v>
      </c>
      <c r="CJ151" s="103">
        <v>1.9100000000000001</v>
      </c>
      <c r="CK151" s="103">
        <f t="shared" si="8"/>
        <v>0</v>
      </c>
      <c r="CL151" s="103">
        <v>8965.2999999999993</v>
      </c>
      <c r="CM151" s="103">
        <v>839878.7</v>
      </c>
      <c r="CN151" s="104">
        <v>1.0674517641654682E-2</v>
      </c>
      <c r="CO151" s="103">
        <v>0</v>
      </c>
      <c r="CP151" s="103">
        <v>0</v>
      </c>
      <c r="CQ151" s="103">
        <v>765.04169000000002</v>
      </c>
      <c r="CR151" s="103">
        <v>0</v>
      </c>
      <c r="CS151" s="103">
        <f t="shared" si="9"/>
        <v>0</v>
      </c>
      <c r="CT151" s="103">
        <v>1983.6</v>
      </c>
      <c r="CU151" s="103">
        <v>471414.1</v>
      </c>
      <c r="CV151" s="104">
        <v>4.207765529287308E-3</v>
      </c>
      <c r="CW151" s="103">
        <v>0</v>
      </c>
      <c r="CX151" s="103">
        <v>0</v>
      </c>
      <c r="CY151" s="103">
        <v>7690.7743899999996</v>
      </c>
      <c r="CZ151" s="103">
        <v>0</v>
      </c>
      <c r="DA151" s="103">
        <f t="shared" si="10"/>
        <v>0</v>
      </c>
      <c r="DB151" s="103">
        <v>2593.8000000000002</v>
      </c>
      <c r="DC151" s="103">
        <v>762285.9</v>
      </c>
      <c r="DD151" s="104">
        <v>3.4026603404313264E-3</v>
      </c>
      <c r="DE151" s="103">
        <v>0</v>
      </c>
      <c r="DF151" s="103">
        <v>0</v>
      </c>
      <c r="DG151" s="103">
        <v>4939.1466399999999</v>
      </c>
      <c r="DH151" s="103">
        <v>0</v>
      </c>
      <c r="DI151" s="103">
        <f t="shared" si="11"/>
        <v>0</v>
      </c>
      <c r="DJ151" s="103">
        <v>3461.8</v>
      </c>
      <c r="DK151" s="103">
        <v>353004.4</v>
      </c>
      <c r="DL151" s="104">
        <v>9.8066766306595613E-3</v>
      </c>
    </row>
    <row r="152" spans="1:116" s="15" customFormat="1" ht="204.2" customHeight="1" x14ac:dyDescent="0.25">
      <c r="A152" s="100" t="s">
        <v>237</v>
      </c>
      <c r="B152" s="100" t="s">
        <v>2421</v>
      </c>
      <c r="C152" s="100" t="s">
        <v>87</v>
      </c>
      <c r="D152" s="101" t="str">
        <f>"Chemistry 246"</f>
        <v>Chemistry 246</v>
      </c>
      <c r="E152" s="102" t="s">
        <v>2422</v>
      </c>
      <c r="F152" s="100">
        <v>15</v>
      </c>
      <c r="G152" s="100">
        <v>6</v>
      </c>
      <c r="H152" s="100">
        <v>0.4</v>
      </c>
      <c r="I152" s="100">
        <v>19</v>
      </c>
      <c r="J152" s="100">
        <v>4</v>
      </c>
      <c r="K152" s="100">
        <v>3</v>
      </c>
      <c r="L152" s="100">
        <v>2</v>
      </c>
      <c r="M152" s="100">
        <v>2</v>
      </c>
      <c r="N152" s="100">
        <v>1</v>
      </c>
      <c r="O152" s="100">
        <v>0</v>
      </c>
      <c r="P152" s="100">
        <v>2.41</v>
      </c>
      <c r="Q152" s="100">
        <v>25.24</v>
      </c>
      <c r="R152" s="100">
        <v>0</v>
      </c>
      <c r="S152" s="100">
        <v>1</v>
      </c>
      <c r="T152" s="100">
        <v>0</v>
      </c>
      <c r="U152" s="100">
        <v>0</v>
      </c>
      <c r="V152" s="100">
        <v>0</v>
      </c>
      <c r="W152" s="100">
        <v>1</v>
      </c>
      <c r="X152" s="100">
        <v>0</v>
      </c>
      <c r="Y152" s="100">
        <v>0</v>
      </c>
      <c r="Z152" s="100">
        <v>0</v>
      </c>
      <c r="AA152" s="100">
        <v>1</v>
      </c>
      <c r="AB152" s="100">
        <v>0</v>
      </c>
      <c r="AC152" s="100">
        <v>1</v>
      </c>
      <c r="AD152" s="100">
        <v>0</v>
      </c>
      <c r="AE152" s="100">
        <v>0</v>
      </c>
      <c r="AF152" s="100">
        <v>1</v>
      </c>
      <c r="AG152" s="100">
        <v>0</v>
      </c>
      <c r="AH152" s="100">
        <v>1</v>
      </c>
      <c r="AI152" s="100">
        <v>0</v>
      </c>
      <c r="AJ152" s="100">
        <v>0</v>
      </c>
      <c r="AK152" s="100">
        <v>0</v>
      </c>
      <c r="AL152" s="100">
        <v>0</v>
      </c>
      <c r="AM152" s="100">
        <v>0</v>
      </c>
      <c r="AN152" s="100">
        <v>1</v>
      </c>
      <c r="AO152" s="100">
        <v>0</v>
      </c>
      <c r="AP152" s="100">
        <v>0</v>
      </c>
      <c r="AQ152" s="100">
        <v>0</v>
      </c>
      <c r="AR152" s="100">
        <v>0</v>
      </c>
      <c r="AS152" s="100">
        <v>0</v>
      </c>
      <c r="AT152" s="100">
        <v>1</v>
      </c>
      <c r="AU152" s="100">
        <v>0</v>
      </c>
      <c r="AV152" s="100">
        <v>0</v>
      </c>
      <c r="AW152" s="100">
        <v>0</v>
      </c>
      <c r="AX152" s="100">
        <v>0</v>
      </c>
      <c r="AY152" s="100">
        <v>0</v>
      </c>
      <c r="AZ152" s="100">
        <v>0</v>
      </c>
      <c r="BA152" s="100">
        <v>0</v>
      </c>
      <c r="BB152" s="100">
        <v>0</v>
      </c>
      <c r="BC152" s="100">
        <v>0</v>
      </c>
      <c r="BD152" s="100">
        <v>0</v>
      </c>
      <c r="BE152" s="100">
        <v>0</v>
      </c>
      <c r="BF152" s="100">
        <v>0</v>
      </c>
      <c r="BG152" s="100">
        <v>0</v>
      </c>
      <c r="BH152" s="100">
        <v>0</v>
      </c>
      <c r="BI152" s="100">
        <v>0</v>
      </c>
      <c r="BJ152" s="100">
        <v>1</v>
      </c>
      <c r="BK152" s="100">
        <v>0</v>
      </c>
      <c r="BL152" s="100">
        <v>0</v>
      </c>
      <c r="BM152" s="100">
        <v>0</v>
      </c>
      <c r="BN152" s="100">
        <v>0</v>
      </c>
      <c r="BO152" s="100">
        <v>0</v>
      </c>
      <c r="BP152" s="100">
        <v>0</v>
      </c>
      <c r="BQ152" s="100">
        <v>0</v>
      </c>
      <c r="BR152" s="100">
        <v>0</v>
      </c>
      <c r="BS152" s="100">
        <v>0</v>
      </c>
      <c r="BT152" s="100">
        <v>0</v>
      </c>
      <c r="BU152" s="100">
        <v>0</v>
      </c>
      <c r="BV152" s="100">
        <v>1</v>
      </c>
      <c r="BW152" s="100">
        <v>0</v>
      </c>
      <c r="BX152" s="100">
        <v>0</v>
      </c>
      <c r="BY152" s="100">
        <v>0</v>
      </c>
      <c r="BZ152" s="100">
        <v>0</v>
      </c>
      <c r="CA152" s="100">
        <v>0</v>
      </c>
      <c r="CB152" s="100" t="s">
        <v>2090</v>
      </c>
      <c r="CC152" s="100">
        <v>0</v>
      </c>
      <c r="CD152" s="100">
        <v>0</v>
      </c>
      <c r="CE152" s="100">
        <v>0</v>
      </c>
      <c r="CF152" s="100">
        <v>0</v>
      </c>
      <c r="CG152" s="103">
        <v>418304.73598</v>
      </c>
      <c r="CH152" s="103">
        <v>20</v>
      </c>
      <c r="CI152" s="103">
        <v>3843119.5666700001</v>
      </c>
      <c r="CJ152" s="103">
        <v>24.03</v>
      </c>
      <c r="CK152" s="103">
        <f t="shared" si="8"/>
        <v>480.6</v>
      </c>
      <c r="CL152" s="103">
        <v>405252.1</v>
      </c>
      <c r="CM152" s="103">
        <v>564629.19999999995</v>
      </c>
      <c r="CN152" s="104">
        <v>0.71773138902486799</v>
      </c>
      <c r="CO152" s="103">
        <v>0</v>
      </c>
      <c r="CP152" s="103">
        <v>0</v>
      </c>
      <c r="CQ152" s="103">
        <v>0</v>
      </c>
      <c r="CR152" s="103">
        <v>0</v>
      </c>
      <c r="CS152" s="103">
        <f t="shared" si="9"/>
        <v>0</v>
      </c>
      <c r="CT152" s="103">
        <v>2507.3000000000002</v>
      </c>
      <c r="CU152" s="103">
        <v>462579.1</v>
      </c>
      <c r="CV152" s="104">
        <v>5.4202621778632028E-3</v>
      </c>
      <c r="CW152" s="103">
        <v>131273.60509</v>
      </c>
      <c r="CX152" s="103">
        <v>6.8</v>
      </c>
      <c r="CY152" s="103">
        <v>2390221.4233400002</v>
      </c>
      <c r="CZ152" s="103">
        <v>20.153657721857254</v>
      </c>
      <c r="DA152" s="103">
        <f t="shared" si="10"/>
        <v>137.04487250862931</v>
      </c>
      <c r="DB152" s="103">
        <v>270585.40000000002</v>
      </c>
      <c r="DC152" s="103">
        <v>712754.6</v>
      </c>
      <c r="DD152" s="104">
        <v>0.37963332681402551</v>
      </c>
      <c r="DE152" s="103">
        <v>0</v>
      </c>
      <c r="DF152" s="103">
        <v>0</v>
      </c>
      <c r="DG152" s="103">
        <v>11292.75894</v>
      </c>
      <c r="DH152" s="103">
        <v>0.62</v>
      </c>
      <c r="DI152" s="103">
        <f t="shared" si="11"/>
        <v>0</v>
      </c>
      <c r="DJ152" s="103">
        <v>2727.6</v>
      </c>
      <c r="DK152" s="103">
        <v>332821.3</v>
      </c>
      <c r="DL152" s="104">
        <v>8.195388936946043E-3</v>
      </c>
    </row>
    <row r="153" spans="1:116" s="15" customFormat="1" ht="222.2" customHeight="1" x14ac:dyDescent="0.25">
      <c r="A153" s="100" t="s">
        <v>238</v>
      </c>
      <c r="B153" s="100" t="s">
        <v>2423</v>
      </c>
      <c r="C153" s="100" t="s">
        <v>87</v>
      </c>
      <c r="D153" s="101" t="str">
        <f>"Chemistry 274"</f>
        <v>Chemistry 274</v>
      </c>
      <c r="E153" s="102" t="s">
        <v>2424</v>
      </c>
      <c r="F153" s="100">
        <v>14</v>
      </c>
      <c r="G153" s="100">
        <v>4</v>
      </c>
      <c r="H153" s="100">
        <v>0.28999999999999998</v>
      </c>
      <c r="I153" s="100">
        <v>19</v>
      </c>
      <c r="J153" s="100">
        <v>5</v>
      </c>
      <c r="K153" s="100">
        <v>4</v>
      </c>
      <c r="L153" s="100">
        <v>3</v>
      </c>
      <c r="M153" s="100">
        <v>2</v>
      </c>
      <c r="N153" s="100">
        <v>4</v>
      </c>
      <c r="O153" s="100">
        <v>1</v>
      </c>
      <c r="P153" s="100">
        <v>5.66</v>
      </c>
      <c r="Q153" s="100">
        <v>47.04</v>
      </c>
      <c r="R153" s="100">
        <v>4</v>
      </c>
      <c r="S153" s="100">
        <v>1</v>
      </c>
      <c r="T153" s="100">
        <v>0</v>
      </c>
      <c r="U153" s="100">
        <v>0</v>
      </c>
      <c r="V153" s="100">
        <v>0</v>
      </c>
      <c r="W153" s="100">
        <v>0</v>
      </c>
      <c r="X153" s="100">
        <v>0</v>
      </c>
      <c r="Y153" s="100">
        <v>0</v>
      </c>
      <c r="Z153" s="100">
        <v>1</v>
      </c>
      <c r="AA153" s="100">
        <v>0</v>
      </c>
      <c r="AB153" s="100">
        <v>1</v>
      </c>
      <c r="AC153" s="100">
        <v>0</v>
      </c>
      <c r="AD153" s="100">
        <v>0</v>
      </c>
      <c r="AE153" s="100">
        <v>0</v>
      </c>
      <c r="AF153" s="100">
        <v>0</v>
      </c>
      <c r="AG153" s="100">
        <v>1</v>
      </c>
      <c r="AH153" s="100">
        <v>0</v>
      </c>
      <c r="AI153" s="100">
        <v>1</v>
      </c>
      <c r="AJ153" s="100">
        <v>0</v>
      </c>
      <c r="AK153" s="100">
        <v>0</v>
      </c>
      <c r="AL153" s="100">
        <v>0</v>
      </c>
      <c r="AM153" s="100">
        <v>0</v>
      </c>
      <c r="AN153" s="100">
        <v>0</v>
      </c>
      <c r="AO153" s="100">
        <v>1</v>
      </c>
      <c r="AP153" s="100">
        <v>0</v>
      </c>
      <c r="AQ153" s="100">
        <v>0</v>
      </c>
      <c r="AR153" s="100">
        <v>0</v>
      </c>
      <c r="AS153" s="100">
        <v>0</v>
      </c>
      <c r="AT153" s="100">
        <v>0</v>
      </c>
      <c r="AU153" s="100">
        <v>1</v>
      </c>
      <c r="AV153" s="100">
        <v>0</v>
      </c>
      <c r="AW153" s="100">
        <v>0</v>
      </c>
      <c r="AX153" s="100">
        <v>0</v>
      </c>
      <c r="AY153" s="100">
        <v>0</v>
      </c>
      <c r="AZ153" s="100">
        <v>0</v>
      </c>
      <c r="BA153" s="100">
        <v>0</v>
      </c>
      <c r="BB153" s="100">
        <v>0</v>
      </c>
      <c r="BC153" s="100">
        <v>0</v>
      </c>
      <c r="BD153" s="100">
        <v>0</v>
      </c>
      <c r="BE153" s="100">
        <v>0</v>
      </c>
      <c r="BF153" s="100">
        <v>0</v>
      </c>
      <c r="BG153" s="100">
        <v>0</v>
      </c>
      <c r="BH153" s="100">
        <v>0</v>
      </c>
      <c r="BI153" s="100">
        <v>0</v>
      </c>
      <c r="BJ153" s="100">
        <v>1</v>
      </c>
      <c r="BK153" s="100">
        <v>0</v>
      </c>
      <c r="BL153" s="100">
        <v>0</v>
      </c>
      <c r="BM153" s="100">
        <v>1</v>
      </c>
      <c r="BN153" s="100">
        <v>1</v>
      </c>
      <c r="BO153" s="100">
        <v>0</v>
      </c>
      <c r="BP153" s="100">
        <v>0</v>
      </c>
      <c r="BQ153" s="100">
        <v>0</v>
      </c>
      <c r="BR153" s="100">
        <v>0</v>
      </c>
      <c r="BS153" s="100">
        <v>0</v>
      </c>
      <c r="BT153" s="100">
        <v>0</v>
      </c>
      <c r="BU153" s="100">
        <v>0</v>
      </c>
      <c r="BV153" s="100">
        <v>0</v>
      </c>
      <c r="BW153" s="100">
        <v>0</v>
      </c>
      <c r="BX153" s="100">
        <v>0</v>
      </c>
      <c r="BY153" s="100">
        <v>0</v>
      </c>
      <c r="BZ153" s="100">
        <v>0</v>
      </c>
      <c r="CA153" s="100">
        <v>0</v>
      </c>
      <c r="CB153" s="100" t="s">
        <v>2090</v>
      </c>
      <c r="CC153" s="100">
        <v>0</v>
      </c>
      <c r="CD153" s="100">
        <v>0</v>
      </c>
      <c r="CE153" s="100">
        <v>0</v>
      </c>
      <c r="CF153" s="100">
        <v>0</v>
      </c>
      <c r="CG153" s="103">
        <v>34647.335959999997</v>
      </c>
      <c r="CH153" s="103">
        <v>9.16</v>
      </c>
      <c r="CI153" s="103">
        <v>1354178.96419</v>
      </c>
      <c r="CJ153" s="103">
        <v>22.05</v>
      </c>
      <c r="CK153" s="103">
        <f t="shared" si="8"/>
        <v>201.97800000000001</v>
      </c>
      <c r="CL153" s="103">
        <v>217813.4</v>
      </c>
      <c r="CM153" s="103">
        <v>864835.7</v>
      </c>
      <c r="CN153" s="104">
        <v>0.25185523678081284</v>
      </c>
      <c r="CO153" s="103">
        <v>0</v>
      </c>
      <c r="CP153" s="103">
        <v>0</v>
      </c>
      <c r="CQ153" s="103">
        <v>446488.245</v>
      </c>
      <c r="CR153" s="103">
        <v>2.16</v>
      </c>
      <c r="CS153" s="103">
        <f t="shared" si="9"/>
        <v>0</v>
      </c>
      <c r="CT153" s="103">
        <v>8578.4</v>
      </c>
      <c r="CU153" s="103">
        <v>253176</v>
      </c>
      <c r="CV153" s="104">
        <v>3.3883148481688628E-2</v>
      </c>
      <c r="CW153" s="103">
        <v>0</v>
      </c>
      <c r="CX153" s="103">
        <v>0</v>
      </c>
      <c r="CY153" s="103">
        <v>10540.902470000001</v>
      </c>
      <c r="CZ153" s="103">
        <v>0</v>
      </c>
      <c r="DA153" s="103">
        <f t="shared" si="10"/>
        <v>0</v>
      </c>
      <c r="DB153" s="103">
        <v>0</v>
      </c>
      <c r="DC153" s="103">
        <v>741898.1</v>
      </c>
      <c r="DD153" s="104">
        <v>0</v>
      </c>
      <c r="DE153" s="103">
        <v>0</v>
      </c>
      <c r="DF153" s="103">
        <v>0</v>
      </c>
      <c r="DG153" s="103">
        <v>122269.24507999999</v>
      </c>
      <c r="DH153" s="103">
        <v>1.37</v>
      </c>
      <c r="DI153" s="103">
        <f t="shared" si="11"/>
        <v>0</v>
      </c>
      <c r="DJ153" s="103">
        <v>3978.6</v>
      </c>
      <c r="DK153" s="103">
        <v>352511.8</v>
      </c>
      <c r="DL153" s="104">
        <v>1.128643069536963E-2</v>
      </c>
    </row>
    <row r="154" spans="1:116" s="15" customFormat="1" ht="265.7" customHeight="1" x14ac:dyDescent="0.25">
      <c r="A154" s="100" t="s">
        <v>239</v>
      </c>
      <c r="B154" s="100" t="s">
        <v>2425</v>
      </c>
      <c r="C154" s="100" t="s">
        <v>87</v>
      </c>
      <c r="D154" s="101" t="str">
        <f>"Chemistry 209"</f>
        <v>Chemistry 209</v>
      </c>
      <c r="E154" s="102" t="s">
        <v>2426</v>
      </c>
      <c r="F154" s="100">
        <v>13</v>
      </c>
      <c r="G154" s="100">
        <v>3</v>
      </c>
      <c r="H154" s="100">
        <v>0.23</v>
      </c>
      <c r="I154" s="100">
        <v>19</v>
      </c>
      <c r="J154" s="100">
        <v>6</v>
      </c>
      <c r="K154" s="100">
        <v>5</v>
      </c>
      <c r="L154" s="100">
        <v>2</v>
      </c>
      <c r="M154" s="100">
        <v>2</v>
      </c>
      <c r="N154" s="100">
        <v>4</v>
      </c>
      <c r="O154" s="100">
        <v>1</v>
      </c>
      <c r="P154" s="100">
        <v>3.98</v>
      </c>
      <c r="Q154" s="100">
        <v>64.209999999999994</v>
      </c>
      <c r="R154" s="100">
        <v>3</v>
      </c>
      <c r="S154" s="100">
        <v>1</v>
      </c>
      <c r="T154" s="100">
        <v>0</v>
      </c>
      <c r="U154" s="100">
        <v>0</v>
      </c>
      <c r="V154" s="100">
        <v>0</v>
      </c>
      <c r="W154" s="100">
        <v>0</v>
      </c>
      <c r="X154" s="100">
        <v>0</v>
      </c>
      <c r="Y154" s="100">
        <v>0</v>
      </c>
      <c r="Z154" s="100">
        <v>1</v>
      </c>
      <c r="AA154" s="100">
        <v>0</v>
      </c>
      <c r="AB154" s="100">
        <v>1</v>
      </c>
      <c r="AC154" s="100">
        <v>0</v>
      </c>
      <c r="AD154" s="100">
        <v>0</v>
      </c>
      <c r="AE154" s="100">
        <v>0</v>
      </c>
      <c r="AF154" s="100">
        <v>0</v>
      </c>
      <c r="AG154" s="100">
        <v>1</v>
      </c>
      <c r="AH154" s="100">
        <v>0</v>
      </c>
      <c r="AI154" s="100">
        <v>0</v>
      </c>
      <c r="AJ154" s="100">
        <v>1</v>
      </c>
      <c r="AK154" s="100">
        <v>1</v>
      </c>
      <c r="AL154" s="100">
        <v>1</v>
      </c>
      <c r="AM154" s="100">
        <v>0</v>
      </c>
      <c r="AN154" s="100">
        <v>1</v>
      </c>
      <c r="AO154" s="100">
        <v>0</v>
      </c>
      <c r="AP154" s="100">
        <v>0</v>
      </c>
      <c r="AQ154" s="100">
        <v>0</v>
      </c>
      <c r="AR154" s="100">
        <v>0</v>
      </c>
      <c r="AS154" s="100">
        <v>0</v>
      </c>
      <c r="AT154" s="100">
        <v>0</v>
      </c>
      <c r="AU154" s="100">
        <v>0</v>
      </c>
      <c r="AV154" s="100">
        <v>0</v>
      </c>
      <c r="AW154" s="100">
        <v>0</v>
      </c>
      <c r="AX154" s="100">
        <v>1</v>
      </c>
      <c r="AY154" s="100">
        <v>0</v>
      </c>
      <c r="AZ154" s="100">
        <v>0</v>
      </c>
      <c r="BA154" s="100">
        <v>0</v>
      </c>
      <c r="BB154" s="100">
        <v>0</v>
      </c>
      <c r="BC154" s="100">
        <v>0</v>
      </c>
      <c r="BD154" s="100">
        <v>0</v>
      </c>
      <c r="BE154" s="100">
        <v>0</v>
      </c>
      <c r="BF154" s="100">
        <v>0</v>
      </c>
      <c r="BG154" s="100">
        <v>0</v>
      </c>
      <c r="BH154" s="100">
        <v>0</v>
      </c>
      <c r="BI154" s="100">
        <v>0</v>
      </c>
      <c r="BJ154" s="100">
        <v>1</v>
      </c>
      <c r="BK154" s="100">
        <v>0</v>
      </c>
      <c r="BL154" s="100">
        <v>0</v>
      </c>
      <c r="BM154" s="100">
        <v>0</v>
      </c>
      <c r="BN154" s="100">
        <v>0</v>
      </c>
      <c r="BO154" s="100">
        <v>0</v>
      </c>
      <c r="BP154" s="100">
        <v>0</v>
      </c>
      <c r="BQ154" s="100">
        <v>0</v>
      </c>
      <c r="BR154" s="100">
        <v>1</v>
      </c>
      <c r="BS154" s="100">
        <v>0</v>
      </c>
      <c r="BT154" s="100">
        <v>1</v>
      </c>
      <c r="BU154" s="100">
        <v>0</v>
      </c>
      <c r="BV154" s="100">
        <v>0</v>
      </c>
      <c r="BW154" s="100">
        <v>0</v>
      </c>
      <c r="BX154" s="100">
        <v>0</v>
      </c>
      <c r="BY154" s="100">
        <v>0</v>
      </c>
      <c r="BZ154" s="100">
        <v>0</v>
      </c>
      <c r="CA154" s="100">
        <v>0</v>
      </c>
      <c r="CB154" s="100" t="s">
        <v>2090</v>
      </c>
      <c r="CC154" s="100">
        <v>0</v>
      </c>
      <c r="CD154" s="100">
        <v>0</v>
      </c>
      <c r="CE154" s="100">
        <v>0</v>
      </c>
      <c r="CF154" s="100">
        <v>0</v>
      </c>
      <c r="CG154" s="103">
        <v>0</v>
      </c>
      <c r="CH154" s="103">
        <v>0</v>
      </c>
      <c r="CI154" s="103">
        <v>222021.58950999999</v>
      </c>
      <c r="CJ154" s="103">
        <v>5.03</v>
      </c>
      <c r="CK154" s="103">
        <f t="shared" si="8"/>
        <v>0</v>
      </c>
      <c r="CL154" s="103">
        <v>36156.699999999997</v>
      </c>
      <c r="CM154" s="103">
        <v>800208.9</v>
      </c>
      <c r="CN154" s="104">
        <v>4.5184076308074049E-2</v>
      </c>
      <c r="CO154" s="103">
        <v>0</v>
      </c>
      <c r="CP154" s="103">
        <v>0</v>
      </c>
      <c r="CQ154" s="103">
        <v>30232.28167</v>
      </c>
      <c r="CR154" s="103">
        <v>0</v>
      </c>
      <c r="CS154" s="103">
        <f t="shared" si="9"/>
        <v>0</v>
      </c>
      <c r="CT154" s="103">
        <v>421748.7</v>
      </c>
      <c r="CU154" s="103">
        <v>720568.8</v>
      </c>
      <c r="CV154" s="104">
        <v>0.5852996965730406</v>
      </c>
      <c r="CW154" s="103">
        <v>0</v>
      </c>
      <c r="CX154" s="103">
        <v>0</v>
      </c>
      <c r="CY154" s="103">
        <v>12243.71795</v>
      </c>
      <c r="CZ154" s="103">
        <v>0</v>
      </c>
      <c r="DA154" s="103">
        <f t="shared" si="10"/>
        <v>0</v>
      </c>
      <c r="DB154" s="103">
        <v>7658.8</v>
      </c>
      <c r="DC154" s="103">
        <v>530381.80000000005</v>
      </c>
      <c r="DD154" s="104">
        <v>1.4440163670774523E-2</v>
      </c>
      <c r="DE154" s="103">
        <v>0</v>
      </c>
      <c r="DF154" s="103">
        <v>0</v>
      </c>
      <c r="DG154" s="103">
        <v>0</v>
      </c>
      <c r="DH154" s="103">
        <v>0</v>
      </c>
      <c r="DI154" s="103">
        <f t="shared" si="11"/>
        <v>0</v>
      </c>
      <c r="DJ154" s="103">
        <v>315542.8</v>
      </c>
      <c r="DK154" s="103">
        <v>633099.80000000005</v>
      </c>
      <c r="DL154" s="104">
        <v>0.49840925553917403</v>
      </c>
    </row>
    <row r="155" spans="1:116" s="15" customFormat="1" ht="265.7" customHeight="1" x14ac:dyDescent="0.25">
      <c r="A155" s="100" t="s">
        <v>240</v>
      </c>
      <c r="B155" s="100" t="s">
        <v>2427</v>
      </c>
      <c r="C155" s="100" t="s">
        <v>87</v>
      </c>
      <c r="D155" s="101" t="str">
        <f>"Chemistry 333"</f>
        <v>Chemistry 333</v>
      </c>
      <c r="E155" s="102" t="s">
        <v>2428</v>
      </c>
      <c r="F155" s="100">
        <v>16</v>
      </c>
      <c r="G155" s="100">
        <v>2</v>
      </c>
      <c r="H155" s="100">
        <v>0.13</v>
      </c>
      <c r="I155" s="100">
        <v>21</v>
      </c>
      <c r="J155" s="100">
        <v>5</v>
      </c>
      <c r="K155" s="100">
        <v>4</v>
      </c>
      <c r="L155" s="100">
        <v>2</v>
      </c>
      <c r="M155" s="100">
        <v>3</v>
      </c>
      <c r="N155" s="100">
        <v>3</v>
      </c>
      <c r="O155" s="100">
        <v>0</v>
      </c>
      <c r="P155" s="100">
        <v>4.6100000000000003</v>
      </c>
      <c r="Q155" s="100">
        <v>44.12</v>
      </c>
      <c r="R155" s="100">
        <v>4</v>
      </c>
      <c r="S155" s="100">
        <v>1</v>
      </c>
      <c r="T155" s="100">
        <v>0</v>
      </c>
      <c r="U155" s="100">
        <v>0</v>
      </c>
      <c r="V155" s="100">
        <v>0</v>
      </c>
      <c r="W155" s="100">
        <v>1</v>
      </c>
      <c r="X155" s="100">
        <v>0</v>
      </c>
      <c r="Y155" s="100">
        <v>0</v>
      </c>
      <c r="Z155" s="100">
        <v>0</v>
      </c>
      <c r="AA155" s="100">
        <v>1</v>
      </c>
      <c r="AB155" s="100">
        <v>0</v>
      </c>
      <c r="AC155" s="100">
        <v>1</v>
      </c>
      <c r="AD155" s="100">
        <v>0</v>
      </c>
      <c r="AE155" s="100">
        <v>0</v>
      </c>
      <c r="AF155" s="100">
        <v>0</v>
      </c>
      <c r="AG155" s="100">
        <v>1</v>
      </c>
      <c r="AH155" s="100">
        <v>0</v>
      </c>
      <c r="AI155" s="100">
        <v>1</v>
      </c>
      <c r="AJ155" s="100">
        <v>0</v>
      </c>
      <c r="AK155" s="100">
        <v>0</v>
      </c>
      <c r="AL155" s="100">
        <v>0</v>
      </c>
      <c r="AM155" s="100">
        <v>0</v>
      </c>
      <c r="AN155" s="100">
        <v>1</v>
      </c>
      <c r="AO155" s="100">
        <v>0</v>
      </c>
      <c r="AP155" s="100">
        <v>0</v>
      </c>
      <c r="AQ155" s="100">
        <v>0</v>
      </c>
      <c r="AR155" s="100">
        <v>0</v>
      </c>
      <c r="AS155" s="100">
        <v>0</v>
      </c>
      <c r="AT155" s="100">
        <v>0</v>
      </c>
      <c r="AU155" s="100">
        <v>0</v>
      </c>
      <c r="AV155" s="100">
        <v>0</v>
      </c>
      <c r="AW155" s="100">
        <v>0</v>
      </c>
      <c r="AX155" s="100">
        <v>1</v>
      </c>
      <c r="AY155" s="100">
        <v>0</v>
      </c>
      <c r="AZ155" s="100">
        <v>0</v>
      </c>
      <c r="BA155" s="100">
        <v>0</v>
      </c>
      <c r="BB155" s="100">
        <v>0</v>
      </c>
      <c r="BC155" s="100">
        <v>0</v>
      </c>
      <c r="BD155" s="100">
        <v>0</v>
      </c>
      <c r="BE155" s="100">
        <v>0</v>
      </c>
      <c r="BF155" s="100">
        <v>0</v>
      </c>
      <c r="BG155" s="100">
        <v>0</v>
      </c>
      <c r="BH155" s="100">
        <v>0</v>
      </c>
      <c r="BI155" s="100">
        <v>0</v>
      </c>
      <c r="BJ155" s="100">
        <v>1</v>
      </c>
      <c r="BK155" s="100">
        <v>0</v>
      </c>
      <c r="BL155" s="100">
        <v>0</v>
      </c>
      <c r="BM155" s="100">
        <v>0</v>
      </c>
      <c r="BN155" s="100">
        <v>0</v>
      </c>
      <c r="BO155" s="100">
        <v>0</v>
      </c>
      <c r="BP155" s="100">
        <v>0</v>
      </c>
      <c r="BQ155" s="100">
        <v>0</v>
      </c>
      <c r="BR155" s="100">
        <v>0</v>
      </c>
      <c r="BS155" s="100">
        <v>0</v>
      </c>
      <c r="BT155" s="100">
        <v>0</v>
      </c>
      <c r="BU155" s="100">
        <v>0</v>
      </c>
      <c r="BV155" s="100">
        <v>1</v>
      </c>
      <c r="BW155" s="100">
        <v>0</v>
      </c>
      <c r="BX155" s="100">
        <v>0</v>
      </c>
      <c r="BY155" s="100">
        <v>0</v>
      </c>
      <c r="BZ155" s="100">
        <v>0</v>
      </c>
      <c r="CA155" s="100">
        <v>0</v>
      </c>
      <c r="CB155" s="100" t="s">
        <v>2090</v>
      </c>
      <c r="CC155" s="100">
        <v>0</v>
      </c>
      <c r="CD155" s="100">
        <v>0</v>
      </c>
      <c r="CE155" s="100">
        <v>0</v>
      </c>
      <c r="CF155" s="100">
        <v>0</v>
      </c>
      <c r="CG155" s="103">
        <v>226812.73967000001</v>
      </c>
      <c r="CH155" s="103">
        <v>7.47</v>
      </c>
      <c r="CI155" s="103">
        <v>2493479.8765699998</v>
      </c>
      <c r="CJ155" s="103">
        <v>21.1</v>
      </c>
      <c r="CK155" s="103">
        <f t="shared" si="8"/>
        <v>157.61700000000002</v>
      </c>
      <c r="CL155" s="103">
        <v>407144.8</v>
      </c>
      <c r="CM155" s="103">
        <v>956099.9</v>
      </c>
      <c r="CN155" s="104">
        <v>0.42583918270465249</v>
      </c>
      <c r="CO155" s="103">
        <v>48445.70304</v>
      </c>
      <c r="CP155" s="103">
        <v>0.96</v>
      </c>
      <c r="CQ155" s="103">
        <v>990019.56721999997</v>
      </c>
      <c r="CR155" s="103">
        <v>8.06</v>
      </c>
      <c r="CS155" s="103">
        <f t="shared" si="9"/>
        <v>7.7376000000000005</v>
      </c>
      <c r="CT155" s="103">
        <v>23148.7</v>
      </c>
      <c r="CU155" s="103">
        <v>500688.8</v>
      </c>
      <c r="CV155" s="104">
        <v>4.6233708443248582E-2</v>
      </c>
      <c r="CW155" s="103">
        <v>471272.84474999999</v>
      </c>
      <c r="CX155" s="103">
        <v>42.1</v>
      </c>
      <c r="CY155" s="103">
        <v>2860393.01284</v>
      </c>
      <c r="CZ155" s="103">
        <v>34.152158359170045</v>
      </c>
      <c r="DA155" s="103">
        <f t="shared" si="10"/>
        <v>1437.8058669210589</v>
      </c>
      <c r="DB155" s="103">
        <v>543999.19999999995</v>
      </c>
      <c r="DC155" s="103">
        <v>621679.30000000005</v>
      </c>
      <c r="DD155" s="104">
        <v>0.87504795478955133</v>
      </c>
      <c r="DE155" s="103">
        <v>38710.65509</v>
      </c>
      <c r="DF155" s="103">
        <v>0.93</v>
      </c>
      <c r="DG155" s="103">
        <v>571786.19984999998</v>
      </c>
      <c r="DH155" s="103">
        <v>5.25</v>
      </c>
      <c r="DI155" s="103">
        <f t="shared" si="11"/>
        <v>4.8825000000000003</v>
      </c>
      <c r="DJ155" s="103">
        <v>24832.1</v>
      </c>
      <c r="DK155" s="103">
        <v>471003</v>
      </c>
      <c r="DL155" s="104">
        <v>5.2721744872113341E-2</v>
      </c>
    </row>
    <row r="156" spans="1:116" s="15" customFormat="1" ht="265.7" customHeight="1" x14ac:dyDescent="0.25">
      <c r="A156" s="100" t="s">
        <v>241</v>
      </c>
      <c r="B156" s="100" t="s">
        <v>2429</v>
      </c>
      <c r="C156" s="100" t="s">
        <v>87</v>
      </c>
      <c r="D156" s="101" t="str">
        <f>"Chemistry 352"</f>
        <v>Chemistry 352</v>
      </c>
      <c r="E156" s="102" t="s">
        <v>2430</v>
      </c>
      <c r="F156" s="100">
        <v>17</v>
      </c>
      <c r="G156" s="100">
        <v>9</v>
      </c>
      <c r="H156" s="100">
        <v>0.53</v>
      </c>
      <c r="I156" s="100">
        <v>20</v>
      </c>
      <c r="J156" s="100">
        <v>3</v>
      </c>
      <c r="K156" s="100">
        <v>1</v>
      </c>
      <c r="L156" s="100">
        <v>1</v>
      </c>
      <c r="M156" s="100">
        <v>2</v>
      </c>
      <c r="N156" s="100">
        <v>0</v>
      </c>
      <c r="O156" s="100">
        <v>0</v>
      </c>
      <c r="P156" s="100">
        <v>6.8</v>
      </c>
      <c r="Q156" s="100">
        <v>4.93</v>
      </c>
      <c r="R156" s="100">
        <v>4</v>
      </c>
      <c r="S156" s="100">
        <v>1</v>
      </c>
      <c r="T156" s="100">
        <v>0</v>
      </c>
      <c r="U156" s="100">
        <v>0</v>
      </c>
      <c r="V156" s="100">
        <v>0</v>
      </c>
      <c r="W156" s="100">
        <v>0</v>
      </c>
      <c r="X156" s="100">
        <v>1</v>
      </c>
      <c r="Y156" s="100">
        <v>0</v>
      </c>
      <c r="Z156" s="100">
        <v>0</v>
      </c>
      <c r="AA156" s="100">
        <v>1</v>
      </c>
      <c r="AB156" s="100">
        <v>0</v>
      </c>
      <c r="AC156" s="100">
        <v>0</v>
      </c>
      <c r="AD156" s="100">
        <v>1</v>
      </c>
      <c r="AE156" s="100">
        <v>0</v>
      </c>
      <c r="AF156" s="100">
        <v>0</v>
      </c>
      <c r="AG156" s="100">
        <v>1</v>
      </c>
      <c r="AH156" s="100">
        <v>1</v>
      </c>
      <c r="AI156" s="100">
        <v>0</v>
      </c>
      <c r="AJ156" s="100">
        <v>0</v>
      </c>
      <c r="AK156" s="100">
        <v>1</v>
      </c>
      <c r="AL156" s="100">
        <v>0</v>
      </c>
      <c r="AM156" s="100">
        <v>1</v>
      </c>
      <c r="AN156" s="100">
        <v>1</v>
      </c>
      <c r="AO156" s="100">
        <v>0</v>
      </c>
      <c r="AP156" s="100">
        <v>0</v>
      </c>
      <c r="AQ156" s="100">
        <v>0</v>
      </c>
      <c r="AR156" s="100">
        <v>0</v>
      </c>
      <c r="AS156" s="100">
        <v>0</v>
      </c>
      <c r="AT156" s="100">
        <v>0</v>
      </c>
      <c r="AU156" s="100">
        <v>0</v>
      </c>
      <c r="AV156" s="100">
        <v>0</v>
      </c>
      <c r="AW156" s="100">
        <v>0</v>
      </c>
      <c r="AX156" s="100">
        <v>0</v>
      </c>
      <c r="AY156" s="100">
        <v>0</v>
      </c>
      <c r="AZ156" s="100">
        <v>0</v>
      </c>
      <c r="BA156" s="100">
        <v>0</v>
      </c>
      <c r="BB156" s="100">
        <v>0</v>
      </c>
      <c r="BC156" s="100">
        <v>0</v>
      </c>
      <c r="BD156" s="100">
        <v>0</v>
      </c>
      <c r="BE156" s="100">
        <v>0</v>
      </c>
      <c r="BF156" s="100">
        <v>0</v>
      </c>
      <c r="BG156" s="100">
        <v>0</v>
      </c>
      <c r="BH156" s="100">
        <v>0</v>
      </c>
      <c r="BI156" s="100">
        <v>0</v>
      </c>
      <c r="BJ156" s="100">
        <v>0</v>
      </c>
      <c r="BK156" s="100">
        <v>0</v>
      </c>
      <c r="BL156" s="100">
        <v>0</v>
      </c>
      <c r="BM156" s="100">
        <v>0</v>
      </c>
      <c r="BN156" s="100">
        <v>0</v>
      </c>
      <c r="BO156" s="100">
        <v>0</v>
      </c>
      <c r="BP156" s="100">
        <v>0</v>
      </c>
      <c r="BQ156" s="100">
        <v>0</v>
      </c>
      <c r="BR156" s="100">
        <v>0</v>
      </c>
      <c r="BS156" s="100">
        <v>0</v>
      </c>
      <c r="BT156" s="100">
        <v>0</v>
      </c>
      <c r="BU156" s="100">
        <v>0</v>
      </c>
      <c r="BV156" s="100">
        <v>1</v>
      </c>
      <c r="BW156" s="100">
        <v>0</v>
      </c>
      <c r="BX156" s="100">
        <v>0</v>
      </c>
      <c r="BY156" s="100">
        <v>0</v>
      </c>
      <c r="BZ156" s="100">
        <v>0</v>
      </c>
      <c r="CA156" s="100">
        <v>0</v>
      </c>
      <c r="CB156" s="100" t="s">
        <v>2090</v>
      </c>
      <c r="CC156" s="100">
        <v>0</v>
      </c>
      <c r="CD156" s="100">
        <v>0</v>
      </c>
      <c r="CE156" s="100">
        <v>0</v>
      </c>
      <c r="CF156" s="100">
        <v>0</v>
      </c>
      <c r="CG156" s="103">
        <v>0</v>
      </c>
      <c r="CH156" s="103">
        <v>0</v>
      </c>
      <c r="CI156" s="103">
        <v>5400.8054300000003</v>
      </c>
      <c r="CJ156" s="103">
        <v>0</v>
      </c>
      <c r="CK156" s="103">
        <f t="shared" si="8"/>
        <v>0</v>
      </c>
      <c r="CL156" s="103">
        <v>4698.6000000000004</v>
      </c>
      <c r="CM156" s="103">
        <v>768320.6</v>
      </c>
      <c r="CN156" s="104">
        <v>6.115415882380351E-3</v>
      </c>
      <c r="CO156" s="103">
        <v>0</v>
      </c>
      <c r="CP156" s="103">
        <v>0</v>
      </c>
      <c r="CQ156" s="103">
        <v>761.94975999999997</v>
      </c>
      <c r="CR156" s="103">
        <v>0</v>
      </c>
      <c r="CS156" s="103">
        <f t="shared" si="9"/>
        <v>0</v>
      </c>
      <c r="CT156" s="103">
        <v>15375.2</v>
      </c>
      <c r="CU156" s="103">
        <v>988847.3</v>
      </c>
      <c r="CV156" s="104">
        <v>1.5548608971273926E-2</v>
      </c>
      <c r="CW156" s="103">
        <v>0</v>
      </c>
      <c r="CX156" s="103">
        <v>0</v>
      </c>
      <c r="CY156" s="103">
        <v>0</v>
      </c>
      <c r="CZ156" s="103">
        <v>0</v>
      </c>
      <c r="DA156" s="103">
        <f t="shared" si="10"/>
        <v>0</v>
      </c>
      <c r="DB156" s="103">
        <v>4641.8999999999996</v>
      </c>
      <c r="DC156" s="103">
        <v>862317.1</v>
      </c>
      <c r="DD156" s="104">
        <v>5.383054563106773E-3</v>
      </c>
      <c r="DE156" s="103">
        <v>0</v>
      </c>
      <c r="DF156" s="103">
        <v>0</v>
      </c>
      <c r="DG156" s="103">
        <v>7582.3983200000002</v>
      </c>
      <c r="DH156" s="103">
        <v>0</v>
      </c>
      <c r="DI156" s="103">
        <f t="shared" si="11"/>
        <v>0</v>
      </c>
      <c r="DJ156" s="103">
        <v>9426.7000000000007</v>
      </c>
      <c r="DK156" s="103">
        <v>784664.5</v>
      </c>
      <c r="DL156" s="104">
        <v>1.2013669536470683E-2</v>
      </c>
    </row>
    <row r="157" spans="1:116" s="15" customFormat="1" ht="265.7" customHeight="1" x14ac:dyDescent="0.25">
      <c r="A157" s="100" t="s">
        <v>242</v>
      </c>
      <c r="B157" s="100" t="s">
        <v>2431</v>
      </c>
      <c r="C157" s="100" t="s">
        <v>87</v>
      </c>
      <c r="D157" s="101" t="str">
        <f>"Chemistry 328"</f>
        <v>Chemistry 328</v>
      </c>
      <c r="E157" s="102" t="s">
        <v>2432</v>
      </c>
      <c r="F157" s="100">
        <v>15</v>
      </c>
      <c r="G157" s="100">
        <v>2</v>
      </c>
      <c r="H157" s="100">
        <v>0.13</v>
      </c>
      <c r="I157" s="100">
        <v>24</v>
      </c>
      <c r="J157" s="100">
        <v>9</v>
      </c>
      <c r="K157" s="100">
        <v>5</v>
      </c>
      <c r="L157" s="100">
        <v>2</v>
      </c>
      <c r="M157" s="100">
        <v>2</v>
      </c>
      <c r="N157" s="100">
        <v>4</v>
      </c>
      <c r="O157" s="100">
        <v>1</v>
      </c>
      <c r="P157" s="100">
        <v>3.51</v>
      </c>
      <c r="Q157" s="100">
        <v>68.28</v>
      </c>
      <c r="R157" s="100">
        <v>5</v>
      </c>
      <c r="S157" s="100">
        <v>1</v>
      </c>
      <c r="T157" s="100">
        <v>0</v>
      </c>
      <c r="U157" s="100">
        <v>0</v>
      </c>
      <c r="V157" s="100">
        <v>0</v>
      </c>
      <c r="W157" s="100">
        <v>0</v>
      </c>
      <c r="X157" s="100">
        <v>0</v>
      </c>
      <c r="Y157" s="100">
        <v>0</v>
      </c>
      <c r="Z157" s="100">
        <v>1</v>
      </c>
      <c r="AA157" s="100">
        <v>0</v>
      </c>
      <c r="AB157" s="100">
        <v>1</v>
      </c>
      <c r="AC157" s="100">
        <v>0</v>
      </c>
      <c r="AD157" s="100">
        <v>0</v>
      </c>
      <c r="AE157" s="100">
        <v>0</v>
      </c>
      <c r="AF157" s="100">
        <v>0</v>
      </c>
      <c r="AG157" s="100">
        <v>1</v>
      </c>
      <c r="AH157" s="100">
        <v>0</v>
      </c>
      <c r="AI157" s="100">
        <v>0</v>
      </c>
      <c r="AJ157" s="100">
        <v>1</v>
      </c>
      <c r="AK157" s="100">
        <v>1</v>
      </c>
      <c r="AL157" s="100">
        <v>1</v>
      </c>
      <c r="AM157" s="100">
        <v>0</v>
      </c>
      <c r="AN157" s="100">
        <v>0</v>
      </c>
      <c r="AO157" s="100">
        <v>1</v>
      </c>
      <c r="AP157" s="100">
        <v>0</v>
      </c>
      <c r="AQ157" s="100">
        <v>0</v>
      </c>
      <c r="AR157" s="100">
        <v>0</v>
      </c>
      <c r="AS157" s="100">
        <v>0</v>
      </c>
      <c r="AT157" s="100">
        <v>1</v>
      </c>
      <c r="AU157" s="100">
        <v>0</v>
      </c>
      <c r="AV157" s="100">
        <v>0</v>
      </c>
      <c r="AW157" s="100">
        <v>0</v>
      </c>
      <c r="AX157" s="100">
        <v>1</v>
      </c>
      <c r="AY157" s="100">
        <v>0</v>
      </c>
      <c r="AZ157" s="100">
        <v>0</v>
      </c>
      <c r="BA157" s="100">
        <v>0</v>
      </c>
      <c r="BB157" s="100">
        <v>0</v>
      </c>
      <c r="BC157" s="100">
        <v>0</v>
      </c>
      <c r="BD157" s="100">
        <v>0</v>
      </c>
      <c r="BE157" s="100">
        <v>0</v>
      </c>
      <c r="BF157" s="100">
        <v>0</v>
      </c>
      <c r="BG157" s="100">
        <v>0</v>
      </c>
      <c r="BH157" s="100">
        <v>0</v>
      </c>
      <c r="BI157" s="100">
        <v>0</v>
      </c>
      <c r="BJ157" s="100">
        <v>2</v>
      </c>
      <c r="BK157" s="100">
        <v>0</v>
      </c>
      <c r="BL157" s="100">
        <v>1</v>
      </c>
      <c r="BM157" s="100">
        <v>0</v>
      </c>
      <c r="BN157" s="100">
        <v>1</v>
      </c>
      <c r="BO157" s="100">
        <v>0</v>
      </c>
      <c r="BP157" s="100">
        <v>0</v>
      </c>
      <c r="BQ157" s="100">
        <v>0</v>
      </c>
      <c r="BR157" s="100">
        <v>0</v>
      </c>
      <c r="BS157" s="100">
        <v>0</v>
      </c>
      <c r="BT157" s="100">
        <v>0</v>
      </c>
      <c r="BU157" s="100">
        <v>0</v>
      </c>
      <c r="BV157" s="100">
        <v>0</v>
      </c>
      <c r="BW157" s="100">
        <v>0</v>
      </c>
      <c r="BX157" s="100">
        <v>0</v>
      </c>
      <c r="BY157" s="100">
        <v>0</v>
      </c>
      <c r="BZ157" s="100">
        <v>0</v>
      </c>
      <c r="CA157" s="100">
        <v>0</v>
      </c>
      <c r="CB157" s="100" t="s">
        <v>2090</v>
      </c>
      <c r="CC157" s="100">
        <v>0</v>
      </c>
      <c r="CD157" s="100">
        <v>0</v>
      </c>
      <c r="CE157" s="100">
        <v>0</v>
      </c>
      <c r="CF157" s="100">
        <v>0</v>
      </c>
      <c r="CG157" s="103">
        <v>508426.56024000002</v>
      </c>
      <c r="CH157" s="103">
        <v>29.06</v>
      </c>
      <c r="CI157" s="103">
        <v>2488440.6928599998</v>
      </c>
      <c r="CJ157" s="103">
        <v>26.62</v>
      </c>
      <c r="CK157" s="103">
        <f t="shared" si="8"/>
        <v>773.57719999999995</v>
      </c>
      <c r="CL157" s="103">
        <v>413619.7</v>
      </c>
      <c r="CM157" s="103">
        <v>969559.5</v>
      </c>
      <c r="CN157" s="104">
        <v>0.4266057936619671</v>
      </c>
      <c r="CO157" s="103">
        <v>202008.33264000001</v>
      </c>
      <c r="CP157" s="103">
        <v>6.53</v>
      </c>
      <c r="CQ157" s="103">
        <v>1874629.9332900001</v>
      </c>
      <c r="CR157" s="103">
        <v>10.1</v>
      </c>
      <c r="CS157" s="103">
        <f t="shared" si="9"/>
        <v>65.953000000000003</v>
      </c>
      <c r="CT157" s="103">
        <v>45242.2</v>
      </c>
      <c r="CU157" s="103">
        <v>193630.4</v>
      </c>
      <c r="CV157" s="104">
        <v>0.23365236037316453</v>
      </c>
      <c r="CW157" s="103">
        <v>157432.42546999999</v>
      </c>
      <c r="CX157" s="103">
        <v>14.09</v>
      </c>
      <c r="CY157" s="103">
        <v>1434319.6214399999</v>
      </c>
      <c r="CZ157" s="103">
        <v>19.510753958874972</v>
      </c>
      <c r="DA157" s="103">
        <f t="shared" si="10"/>
        <v>274.90652328054836</v>
      </c>
      <c r="DB157" s="103">
        <v>223494.1</v>
      </c>
      <c r="DC157" s="103">
        <v>519285.2</v>
      </c>
      <c r="DD157" s="104">
        <v>0.43038796407061092</v>
      </c>
      <c r="DE157" s="103">
        <v>86717.541469999996</v>
      </c>
      <c r="DF157" s="103">
        <v>2.69</v>
      </c>
      <c r="DG157" s="103">
        <v>1001166.54704</v>
      </c>
      <c r="DH157" s="103">
        <v>5.67</v>
      </c>
      <c r="DI157" s="103">
        <f t="shared" si="11"/>
        <v>15.2523</v>
      </c>
      <c r="DJ157" s="103">
        <v>1845.7</v>
      </c>
      <c r="DK157" s="103">
        <v>65000.5</v>
      </c>
      <c r="DL157" s="104">
        <v>2.8395166191029299E-2</v>
      </c>
    </row>
    <row r="158" spans="1:116" s="15" customFormat="1" ht="265.7" customHeight="1" x14ac:dyDescent="0.25">
      <c r="A158" s="100" t="s">
        <v>243</v>
      </c>
      <c r="B158" s="100" t="s">
        <v>2433</v>
      </c>
      <c r="C158" s="100" t="s">
        <v>87</v>
      </c>
      <c r="D158" s="101" t="str">
        <f>"Chemistry 296"</f>
        <v>Chemistry 296</v>
      </c>
      <c r="E158" s="102" t="s">
        <v>2434</v>
      </c>
      <c r="F158" s="100">
        <v>18</v>
      </c>
      <c r="G158" s="100">
        <v>7</v>
      </c>
      <c r="H158" s="100">
        <v>0.39</v>
      </c>
      <c r="I158" s="100">
        <v>31</v>
      </c>
      <c r="J158" s="100">
        <v>13</v>
      </c>
      <c r="K158" s="100">
        <v>7</v>
      </c>
      <c r="L158" s="100">
        <v>3</v>
      </c>
      <c r="M158" s="100">
        <v>2</v>
      </c>
      <c r="N158" s="100">
        <v>5</v>
      </c>
      <c r="O158" s="100">
        <v>0</v>
      </c>
      <c r="P158" s="100">
        <v>5.32</v>
      </c>
      <c r="Q158" s="100">
        <v>55.32</v>
      </c>
      <c r="R158" s="100">
        <v>6</v>
      </c>
      <c r="S158" s="100">
        <v>1</v>
      </c>
      <c r="T158" s="100">
        <v>0</v>
      </c>
      <c r="U158" s="100">
        <v>0</v>
      </c>
      <c r="V158" s="100">
        <v>0</v>
      </c>
      <c r="W158" s="100">
        <v>0</v>
      </c>
      <c r="X158" s="100">
        <v>0</v>
      </c>
      <c r="Y158" s="100">
        <v>0</v>
      </c>
      <c r="Z158" s="100">
        <v>0</v>
      </c>
      <c r="AA158" s="100">
        <v>1</v>
      </c>
      <c r="AB158" s="100">
        <v>1</v>
      </c>
      <c r="AC158" s="100">
        <v>0</v>
      </c>
      <c r="AD158" s="100">
        <v>0</v>
      </c>
      <c r="AE158" s="100">
        <v>0</v>
      </c>
      <c r="AF158" s="100">
        <v>0</v>
      </c>
      <c r="AG158" s="100">
        <v>1</v>
      </c>
      <c r="AH158" s="100">
        <v>0</v>
      </c>
      <c r="AI158" s="100">
        <v>0</v>
      </c>
      <c r="AJ158" s="100">
        <v>1</v>
      </c>
      <c r="AK158" s="100">
        <v>1</v>
      </c>
      <c r="AL158" s="100">
        <v>0</v>
      </c>
      <c r="AM158" s="100">
        <v>1</v>
      </c>
      <c r="AN158" s="100">
        <v>0</v>
      </c>
      <c r="AO158" s="100">
        <v>1</v>
      </c>
      <c r="AP158" s="100">
        <v>0</v>
      </c>
      <c r="AQ158" s="100">
        <v>0</v>
      </c>
      <c r="AR158" s="100">
        <v>0</v>
      </c>
      <c r="AS158" s="100">
        <v>0</v>
      </c>
      <c r="AT158" s="100">
        <v>0</v>
      </c>
      <c r="AU158" s="100">
        <v>0</v>
      </c>
      <c r="AV158" s="100">
        <v>1</v>
      </c>
      <c r="AW158" s="100">
        <v>0</v>
      </c>
      <c r="AX158" s="100">
        <v>0</v>
      </c>
      <c r="AY158" s="100">
        <v>0</v>
      </c>
      <c r="AZ158" s="100">
        <v>0</v>
      </c>
      <c r="BA158" s="100">
        <v>0</v>
      </c>
      <c r="BB158" s="100">
        <v>0</v>
      </c>
      <c r="BC158" s="100">
        <v>0</v>
      </c>
      <c r="BD158" s="100">
        <v>0</v>
      </c>
      <c r="BE158" s="100">
        <v>1</v>
      </c>
      <c r="BF158" s="100">
        <v>0</v>
      </c>
      <c r="BG158" s="100">
        <v>0</v>
      </c>
      <c r="BH158" s="100">
        <v>0</v>
      </c>
      <c r="BI158" s="100">
        <v>0</v>
      </c>
      <c r="BJ158" s="100">
        <v>2</v>
      </c>
      <c r="BK158" s="100">
        <v>0</v>
      </c>
      <c r="BL158" s="100">
        <v>0</v>
      </c>
      <c r="BM158" s="100">
        <v>0</v>
      </c>
      <c r="BN158" s="100">
        <v>0</v>
      </c>
      <c r="BO158" s="100">
        <v>0</v>
      </c>
      <c r="BP158" s="100">
        <v>1</v>
      </c>
      <c r="BQ158" s="100">
        <v>0</v>
      </c>
      <c r="BR158" s="100">
        <v>0</v>
      </c>
      <c r="BS158" s="100">
        <v>0</v>
      </c>
      <c r="BT158" s="100">
        <v>0</v>
      </c>
      <c r="BU158" s="100">
        <v>0</v>
      </c>
      <c r="BV158" s="100">
        <v>0</v>
      </c>
      <c r="BW158" s="100">
        <v>0</v>
      </c>
      <c r="BX158" s="100">
        <v>0</v>
      </c>
      <c r="BY158" s="100">
        <v>0</v>
      </c>
      <c r="BZ158" s="100">
        <v>0</v>
      </c>
      <c r="CA158" s="100">
        <v>0</v>
      </c>
      <c r="CB158" s="100" t="s">
        <v>2090</v>
      </c>
      <c r="CC158" s="100">
        <v>0</v>
      </c>
      <c r="CD158" s="100">
        <v>0</v>
      </c>
      <c r="CE158" s="100">
        <v>0</v>
      </c>
      <c r="CF158" s="100">
        <v>0</v>
      </c>
      <c r="CG158" s="103">
        <v>45375.551220000001</v>
      </c>
      <c r="CH158" s="103">
        <v>4.33</v>
      </c>
      <c r="CI158" s="103">
        <v>479764.17761000001</v>
      </c>
      <c r="CJ158" s="103">
        <v>4.45</v>
      </c>
      <c r="CK158" s="103">
        <f t="shared" si="8"/>
        <v>19.2685</v>
      </c>
      <c r="CL158" s="103">
        <v>16114.3</v>
      </c>
      <c r="CM158" s="103">
        <v>862300.8</v>
      </c>
      <c r="CN158" s="104">
        <v>1.8687562391221251E-2</v>
      </c>
      <c r="CO158" s="103">
        <v>149697.34383999999</v>
      </c>
      <c r="CP158" s="103">
        <v>10.8</v>
      </c>
      <c r="CQ158" s="103">
        <v>2151552.4169100001</v>
      </c>
      <c r="CR158" s="103">
        <v>18.91</v>
      </c>
      <c r="CS158" s="103">
        <f t="shared" si="9"/>
        <v>204.22800000000001</v>
      </c>
      <c r="CT158" s="103">
        <v>13951.2</v>
      </c>
      <c r="CU158" s="103">
        <v>520501.4</v>
      </c>
      <c r="CV158" s="104">
        <v>2.6803386119614664E-2</v>
      </c>
      <c r="CW158" s="103">
        <v>7153.0198200000004</v>
      </c>
      <c r="CX158" s="103">
        <v>0.86</v>
      </c>
      <c r="CY158" s="103">
        <v>135255.68872000001</v>
      </c>
      <c r="CZ158" s="103">
        <v>0</v>
      </c>
      <c r="DA158" s="103">
        <f t="shared" si="10"/>
        <v>0</v>
      </c>
      <c r="DB158" s="103">
        <v>0</v>
      </c>
      <c r="DC158" s="103">
        <v>1037795.5</v>
      </c>
      <c r="DD158" s="104">
        <v>0</v>
      </c>
      <c r="DE158" s="103">
        <v>114457.20209000001</v>
      </c>
      <c r="DF158" s="103">
        <v>6.97</v>
      </c>
      <c r="DG158" s="103">
        <v>1799893.3097300001</v>
      </c>
      <c r="DH158" s="103">
        <v>14.4</v>
      </c>
      <c r="DI158" s="103">
        <f t="shared" si="11"/>
        <v>100.36799999999999</v>
      </c>
      <c r="DJ158" s="103">
        <v>0</v>
      </c>
      <c r="DK158" s="103">
        <v>973331.4</v>
      </c>
      <c r="DL158" s="104">
        <v>0</v>
      </c>
    </row>
    <row r="159" spans="1:116" s="15" customFormat="1" ht="265.7" customHeight="1" x14ac:dyDescent="0.25">
      <c r="A159" s="100" t="s">
        <v>244</v>
      </c>
      <c r="B159" s="100" t="s">
        <v>2435</v>
      </c>
      <c r="C159" s="100" t="s">
        <v>87</v>
      </c>
      <c r="D159" s="101" t="str">
        <f>"Chemistry 201"</f>
        <v>Chemistry 201</v>
      </c>
      <c r="E159" s="102" t="s">
        <v>2436</v>
      </c>
      <c r="F159" s="100">
        <v>23</v>
      </c>
      <c r="G159" s="100">
        <v>8</v>
      </c>
      <c r="H159" s="100">
        <v>0.35</v>
      </c>
      <c r="I159" s="100">
        <v>30</v>
      </c>
      <c r="J159" s="100">
        <v>7</v>
      </c>
      <c r="K159" s="100">
        <v>6</v>
      </c>
      <c r="L159" s="100">
        <v>4</v>
      </c>
      <c r="M159" s="100">
        <v>3</v>
      </c>
      <c r="N159" s="100">
        <v>4</v>
      </c>
      <c r="O159" s="100">
        <v>1</v>
      </c>
      <c r="P159" s="100">
        <v>4.96</v>
      </c>
      <c r="Q159" s="100">
        <v>58.12</v>
      </c>
      <c r="R159" s="100">
        <v>2</v>
      </c>
      <c r="S159" s="100">
        <v>1</v>
      </c>
      <c r="T159" s="100">
        <v>0</v>
      </c>
      <c r="U159" s="100">
        <v>0</v>
      </c>
      <c r="V159" s="100">
        <v>1</v>
      </c>
      <c r="W159" s="100">
        <v>0</v>
      </c>
      <c r="X159" s="100">
        <v>0</v>
      </c>
      <c r="Y159" s="100">
        <v>0</v>
      </c>
      <c r="Z159" s="100">
        <v>1</v>
      </c>
      <c r="AA159" s="100">
        <v>0</v>
      </c>
      <c r="AB159" s="100">
        <v>1</v>
      </c>
      <c r="AC159" s="100">
        <v>0</v>
      </c>
      <c r="AD159" s="100">
        <v>0</v>
      </c>
      <c r="AE159" s="100">
        <v>0</v>
      </c>
      <c r="AF159" s="100">
        <v>0</v>
      </c>
      <c r="AG159" s="100">
        <v>1</v>
      </c>
      <c r="AH159" s="100">
        <v>0</v>
      </c>
      <c r="AI159" s="100">
        <v>0</v>
      </c>
      <c r="AJ159" s="100">
        <v>1</v>
      </c>
      <c r="AK159" s="100">
        <v>0</v>
      </c>
      <c r="AL159" s="100">
        <v>0</v>
      </c>
      <c r="AM159" s="100">
        <v>0</v>
      </c>
      <c r="AN159" s="100">
        <v>1</v>
      </c>
      <c r="AO159" s="100">
        <v>0</v>
      </c>
      <c r="AP159" s="100">
        <v>0</v>
      </c>
      <c r="AQ159" s="100">
        <v>0</v>
      </c>
      <c r="AR159" s="100">
        <v>0</v>
      </c>
      <c r="AS159" s="100">
        <v>0</v>
      </c>
      <c r="AT159" s="100">
        <v>1</v>
      </c>
      <c r="AU159" s="100">
        <v>1</v>
      </c>
      <c r="AV159" s="100">
        <v>0</v>
      </c>
      <c r="AW159" s="100">
        <v>0</v>
      </c>
      <c r="AX159" s="100">
        <v>0</v>
      </c>
      <c r="AY159" s="100">
        <v>0</v>
      </c>
      <c r="AZ159" s="100">
        <v>0</v>
      </c>
      <c r="BA159" s="100">
        <v>0</v>
      </c>
      <c r="BB159" s="100">
        <v>0</v>
      </c>
      <c r="BC159" s="100">
        <v>0</v>
      </c>
      <c r="BD159" s="100">
        <v>0</v>
      </c>
      <c r="BE159" s="100">
        <v>0</v>
      </c>
      <c r="BF159" s="100">
        <v>0</v>
      </c>
      <c r="BG159" s="100">
        <v>0</v>
      </c>
      <c r="BH159" s="100">
        <v>0</v>
      </c>
      <c r="BI159" s="100">
        <v>0</v>
      </c>
      <c r="BJ159" s="100">
        <v>2</v>
      </c>
      <c r="BK159" s="100">
        <v>0</v>
      </c>
      <c r="BL159" s="100">
        <v>1</v>
      </c>
      <c r="BM159" s="100">
        <v>0</v>
      </c>
      <c r="BN159" s="100">
        <v>0</v>
      </c>
      <c r="BO159" s="100">
        <v>0</v>
      </c>
      <c r="BP159" s="100">
        <v>0</v>
      </c>
      <c r="BQ159" s="100">
        <v>1</v>
      </c>
      <c r="BR159" s="100">
        <v>0</v>
      </c>
      <c r="BS159" s="100">
        <v>0</v>
      </c>
      <c r="BT159" s="100">
        <v>0</v>
      </c>
      <c r="BU159" s="100">
        <v>1</v>
      </c>
      <c r="BV159" s="100">
        <v>0</v>
      </c>
      <c r="BW159" s="100">
        <v>0</v>
      </c>
      <c r="BX159" s="100">
        <v>0</v>
      </c>
      <c r="BY159" s="100">
        <v>0</v>
      </c>
      <c r="BZ159" s="100">
        <v>0</v>
      </c>
      <c r="CA159" s="100">
        <v>0</v>
      </c>
      <c r="CB159" s="100" t="s">
        <v>2090</v>
      </c>
      <c r="CC159" s="100">
        <v>0</v>
      </c>
      <c r="CD159" s="100">
        <v>0</v>
      </c>
      <c r="CE159" s="100">
        <v>0</v>
      </c>
      <c r="CF159" s="100">
        <v>0</v>
      </c>
      <c r="CG159" s="103">
        <v>156402.15324000001</v>
      </c>
      <c r="CH159" s="103">
        <v>12.79</v>
      </c>
      <c r="CI159" s="103">
        <v>2343182.1943999999</v>
      </c>
      <c r="CJ159" s="103">
        <v>22.16</v>
      </c>
      <c r="CK159" s="103">
        <f t="shared" si="8"/>
        <v>283.4264</v>
      </c>
      <c r="CL159" s="103">
        <v>44346.6</v>
      </c>
      <c r="CM159" s="103">
        <v>791972.1</v>
      </c>
      <c r="CN159" s="104">
        <v>5.5995154374756384E-2</v>
      </c>
      <c r="CO159" s="103">
        <v>0</v>
      </c>
      <c r="CP159" s="103">
        <v>0</v>
      </c>
      <c r="CQ159" s="103">
        <v>12311.11428</v>
      </c>
      <c r="CR159" s="103">
        <v>0</v>
      </c>
      <c r="CS159" s="103">
        <f t="shared" si="9"/>
        <v>0</v>
      </c>
      <c r="CT159" s="103">
        <v>0</v>
      </c>
      <c r="CU159" s="103">
        <v>476643.2</v>
      </c>
      <c r="CV159" s="104">
        <v>0</v>
      </c>
      <c r="CW159" s="103">
        <v>43994.850720000002</v>
      </c>
      <c r="CX159" s="103">
        <v>4.79</v>
      </c>
      <c r="CY159" s="103">
        <v>1129408.35516</v>
      </c>
      <c r="CZ159" s="103">
        <v>18.911174785100286</v>
      </c>
      <c r="DA159" s="103">
        <f t="shared" si="10"/>
        <v>90.584527220630378</v>
      </c>
      <c r="DB159" s="103">
        <v>4487.8999999999996</v>
      </c>
      <c r="DC159" s="103">
        <v>506206.9</v>
      </c>
      <c r="DD159" s="104">
        <v>8.8657424464186462E-3</v>
      </c>
      <c r="DE159" s="103">
        <v>0</v>
      </c>
      <c r="DF159" s="103">
        <v>0</v>
      </c>
      <c r="DG159" s="103">
        <v>19756.009699999999</v>
      </c>
      <c r="DH159" s="103">
        <v>0</v>
      </c>
      <c r="DI159" s="103">
        <f t="shared" si="11"/>
        <v>0</v>
      </c>
      <c r="DJ159" s="103">
        <v>13484.9</v>
      </c>
      <c r="DK159" s="103">
        <v>697150.3</v>
      </c>
      <c r="DL159" s="104">
        <v>1.9342887753186076E-2</v>
      </c>
    </row>
    <row r="160" spans="1:116" s="15" customFormat="1" ht="265.7" customHeight="1" x14ac:dyDescent="0.25">
      <c r="A160" s="100" t="s">
        <v>245</v>
      </c>
      <c r="B160" s="100" t="s">
        <v>2437</v>
      </c>
      <c r="C160" s="100" t="s">
        <v>87</v>
      </c>
      <c r="D160" s="101" t="str">
        <f>"Chemistry 347"</f>
        <v>Chemistry 347</v>
      </c>
      <c r="E160" s="102" t="s">
        <v>2438</v>
      </c>
      <c r="F160" s="100">
        <v>18</v>
      </c>
      <c r="G160" s="100">
        <v>10</v>
      </c>
      <c r="H160" s="100">
        <v>0.56000000000000005</v>
      </c>
      <c r="I160" s="100">
        <v>23</v>
      </c>
      <c r="J160" s="100">
        <v>5</v>
      </c>
      <c r="K160" s="100">
        <v>4</v>
      </c>
      <c r="L160" s="100">
        <v>2</v>
      </c>
      <c r="M160" s="100">
        <v>1</v>
      </c>
      <c r="N160" s="100">
        <v>4</v>
      </c>
      <c r="O160" s="100">
        <v>1</v>
      </c>
      <c r="P160" s="100">
        <v>3.07</v>
      </c>
      <c r="Q160" s="100">
        <v>65.2</v>
      </c>
      <c r="R160" s="100">
        <v>2</v>
      </c>
      <c r="S160" s="100">
        <v>1</v>
      </c>
      <c r="T160" s="100">
        <v>0</v>
      </c>
      <c r="U160" s="100">
        <v>0</v>
      </c>
      <c r="V160" s="100">
        <v>0</v>
      </c>
      <c r="W160" s="100">
        <v>0</v>
      </c>
      <c r="X160" s="100">
        <v>0</v>
      </c>
      <c r="Y160" s="100">
        <v>0</v>
      </c>
      <c r="Z160" s="100">
        <v>1</v>
      </c>
      <c r="AA160" s="100">
        <v>0</v>
      </c>
      <c r="AB160" s="100">
        <v>1</v>
      </c>
      <c r="AC160" s="100">
        <v>0</v>
      </c>
      <c r="AD160" s="100">
        <v>0</v>
      </c>
      <c r="AE160" s="100">
        <v>0</v>
      </c>
      <c r="AF160" s="100">
        <v>1</v>
      </c>
      <c r="AG160" s="100">
        <v>0</v>
      </c>
      <c r="AH160" s="100">
        <v>0</v>
      </c>
      <c r="AI160" s="100">
        <v>0</v>
      </c>
      <c r="AJ160" s="100">
        <v>1</v>
      </c>
      <c r="AK160" s="100">
        <v>0</v>
      </c>
      <c r="AL160" s="100">
        <v>0</v>
      </c>
      <c r="AM160" s="100">
        <v>0</v>
      </c>
      <c r="AN160" s="100">
        <v>0</v>
      </c>
      <c r="AO160" s="100">
        <v>1</v>
      </c>
      <c r="AP160" s="100">
        <v>0</v>
      </c>
      <c r="AQ160" s="100">
        <v>0</v>
      </c>
      <c r="AR160" s="100">
        <v>1</v>
      </c>
      <c r="AS160" s="100">
        <v>0</v>
      </c>
      <c r="AT160" s="100">
        <v>0</v>
      </c>
      <c r="AU160" s="100">
        <v>0</v>
      </c>
      <c r="AV160" s="100">
        <v>0</v>
      </c>
      <c r="AW160" s="100">
        <v>0</v>
      </c>
      <c r="AX160" s="100">
        <v>1</v>
      </c>
      <c r="AY160" s="100">
        <v>0</v>
      </c>
      <c r="AZ160" s="100">
        <v>0</v>
      </c>
      <c r="BA160" s="100">
        <v>0</v>
      </c>
      <c r="BB160" s="100">
        <v>0</v>
      </c>
      <c r="BC160" s="100">
        <v>0</v>
      </c>
      <c r="BD160" s="100">
        <v>0</v>
      </c>
      <c r="BE160" s="100">
        <v>0</v>
      </c>
      <c r="BF160" s="100">
        <v>0</v>
      </c>
      <c r="BG160" s="100">
        <v>0</v>
      </c>
      <c r="BH160" s="100">
        <v>0</v>
      </c>
      <c r="BI160" s="100">
        <v>0</v>
      </c>
      <c r="BJ160" s="100">
        <v>2</v>
      </c>
      <c r="BK160" s="100">
        <v>0</v>
      </c>
      <c r="BL160" s="100">
        <v>0</v>
      </c>
      <c r="BM160" s="100">
        <v>0</v>
      </c>
      <c r="BN160" s="100">
        <v>0</v>
      </c>
      <c r="BO160" s="100">
        <v>0</v>
      </c>
      <c r="BP160" s="100">
        <v>1</v>
      </c>
      <c r="BQ160" s="100">
        <v>0</v>
      </c>
      <c r="BR160" s="100">
        <v>0</v>
      </c>
      <c r="BS160" s="100">
        <v>0</v>
      </c>
      <c r="BT160" s="100">
        <v>0</v>
      </c>
      <c r="BU160" s="100">
        <v>0</v>
      </c>
      <c r="BV160" s="100">
        <v>0</v>
      </c>
      <c r="BW160" s="100">
        <v>0</v>
      </c>
      <c r="BX160" s="100">
        <v>0</v>
      </c>
      <c r="BY160" s="100">
        <v>0</v>
      </c>
      <c r="BZ160" s="100">
        <v>0</v>
      </c>
      <c r="CA160" s="100">
        <v>0</v>
      </c>
      <c r="CB160" s="100" t="s">
        <v>2090</v>
      </c>
      <c r="CC160" s="100">
        <v>0</v>
      </c>
      <c r="CD160" s="100">
        <v>0</v>
      </c>
      <c r="CE160" s="100">
        <v>0</v>
      </c>
      <c r="CF160" s="100">
        <v>0</v>
      </c>
      <c r="CG160" s="103">
        <v>0</v>
      </c>
      <c r="CH160" s="103">
        <v>0</v>
      </c>
      <c r="CI160" s="103">
        <v>58865.001450000003</v>
      </c>
      <c r="CJ160" s="103">
        <v>0</v>
      </c>
      <c r="CK160" s="103">
        <f t="shared" si="8"/>
        <v>0</v>
      </c>
      <c r="CL160" s="103">
        <v>11890.7</v>
      </c>
      <c r="CM160" s="103">
        <v>727901.5</v>
      </c>
      <c r="CN160" s="104">
        <v>1.6335589362022198E-2</v>
      </c>
      <c r="CO160" s="103">
        <v>373017.49648999999</v>
      </c>
      <c r="CP160" s="103">
        <v>12.49</v>
      </c>
      <c r="CQ160" s="103">
        <v>2694995.5982900001</v>
      </c>
      <c r="CR160" s="103">
        <v>10.42</v>
      </c>
      <c r="CS160" s="103">
        <f t="shared" si="9"/>
        <v>130.14580000000001</v>
      </c>
      <c r="CT160" s="103">
        <v>132244.5</v>
      </c>
      <c r="CU160" s="103">
        <v>402229.8</v>
      </c>
      <c r="CV160" s="104">
        <v>0.32877847439448793</v>
      </c>
      <c r="CW160" s="103">
        <v>672123.12289</v>
      </c>
      <c r="CX160" s="103">
        <v>38.369999999999997</v>
      </c>
      <c r="CY160" s="103">
        <v>2844415.2607200001</v>
      </c>
      <c r="CZ160" s="103">
        <v>25.869565217391305</v>
      </c>
      <c r="DA160" s="103">
        <f t="shared" si="10"/>
        <v>992.61521739130433</v>
      </c>
      <c r="DB160" s="103">
        <v>52942.7</v>
      </c>
      <c r="DC160" s="103">
        <v>122959.8</v>
      </c>
      <c r="DD160" s="104">
        <v>0.43056917789391325</v>
      </c>
      <c r="DE160" s="103">
        <v>157508.83743000001</v>
      </c>
      <c r="DF160" s="103">
        <v>2.81</v>
      </c>
      <c r="DG160" s="103">
        <v>1065426.4284600001</v>
      </c>
      <c r="DH160" s="103">
        <v>6.91</v>
      </c>
      <c r="DI160" s="103">
        <f t="shared" si="11"/>
        <v>19.417100000000001</v>
      </c>
      <c r="DJ160" s="103">
        <v>74901.3</v>
      </c>
      <c r="DK160" s="103">
        <v>640084.80000000005</v>
      </c>
      <c r="DL160" s="104">
        <v>0.11701777639462771</v>
      </c>
    </row>
    <row r="161" spans="1:116" s="15" customFormat="1" ht="265.7" customHeight="1" x14ac:dyDescent="0.25">
      <c r="A161" s="100" t="s">
        <v>246</v>
      </c>
      <c r="B161" s="100" t="s">
        <v>2439</v>
      </c>
      <c r="C161" s="100" t="s">
        <v>87</v>
      </c>
      <c r="D161" s="101" t="str">
        <f>"Chemistry 334"</f>
        <v>Chemistry 334</v>
      </c>
      <c r="E161" s="102" t="s">
        <v>2440</v>
      </c>
      <c r="F161" s="100">
        <v>20</v>
      </c>
      <c r="G161" s="100">
        <v>6</v>
      </c>
      <c r="H161" s="100">
        <v>0.3</v>
      </c>
      <c r="I161" s="100">
        <v>25</v>
      </c>
      <c r="J161" s="100">
        <v>5</v>
      </c>
      <c r="K161" s="100">
        <v>4</v>
      </c>
      <c r="L161" s="100">
        <v>3</v>
      </c>
      <c r="M161" s="100">
        <v>3</v>
      </c>
      <c r="N161" s="100">
        <v>2</v>
      </c>
      <c r="O161" s="100">
        <v>0</v>
      </c>
      <c r="P161" s="100">
        <v>2.83</v>
      </c>
      <c r="Q161" s="100">
        <v>38.130000000000003</v>
      </c>
      <c r="R161" s="100">
        <v>3</v>
      </c>
      <c r="S161" s="100">
        <v>1</v>
      </c>
      <c r="T161" s="100">
        <v>0</v>
      </c>
      <c r="U161" s="100">
        <v>0</v>
      </c>
      <c r="V161" s="100">
        <v>0</v>
      </c>
      <c r="W161" s="100">
        <v>1</v>
      </c>
      <c r="X161" s="100">
        <v>0</v>
      </c>
      <c r="Y161" s="100">
        <v>0</v>
      </c>
      <c r="Z161" s="100">
        <v>0</v>
      </c>
      <c r="AA161" s="100">
        <v>1</v>
      </c>
      <c r="AB161" s="100">
        <v>0</v>
      </c>
      <c r="AC161" s="100">
        <v>1</v>
      </c>
      <c r="AD161" s="100">
        <v>0</v>
      </c>
      <c r="AE161" s="100">
        <v>0</v>
      </c>
      <c r="AF161" s="100">
        <v>1</v>
      </c>
      <c r="AG161" s="100">
        <v>0</v>
      </c>
      <c r="AH161" s="100">
        <v>0</v>
      </c>
      <c r="AI161" s="100">
        <v>1</v>
      </c>
      <c r="AJ161" s="100">
        <v>0</v>
      </c>
      <c r="AK161" s="100">
        <v>0</v>
      </c>
      <c r="AL161" s="100">
        <v>0</v>
      </c>
      <c r="AM161" s="100">
        <v>0</v>
      </c>
      <c r="AN161" s="100">
        <v>1</v>
      </c>
      <c r="AO161" s="100">
        <v>0</v>
      </c>
      <c r="AP161" s="100">
        <v>0</v>
      </c>
      <c r="AQ161" s="100">
        <v>0</v>
      </c>
      <c r="AR161" s="100">
        <v>0</v>
      </c>
      <c r="AS161" s="100">
        <v>0</v>
      </c>
      <c r="AT161" s="100">
        <v>1</v>
      </c>
      <c r="AU161" s="100">
        <v>0</v>
      </c>
      <c r="AV161" s="100">
        <v>0</v>
      </c>
      <c r="AW161" s="100">
        <v>0</v>
      </c>
      <c r="AX161" s="100">
        <v>0</v>
      </c>
      <c r="AY161" s="100">
        <v>0</v>
      </c>
      <c r="AZ161" s="100">
        <v>0</v>
      </c>
      <c r="BA161" s="100">
        <v>0</v>
      </c>
      <c r="BB161" s="100">
        <v>0</v>
      </c>
      <c r="BC161" s="100">
        <v>0</v>
      </c>
      <c r="BD161" s="100">
        <v>0</v>
      </c>
      <c r="BE161" s="100">
        <v>0</v>
      </c>
      <c r="BF161" s="100">
        <v>0</v>
      </c>
      <c r="BG161" s="100">
        <v>0</v>
      </c>
      <c r="BH161" s="100">
        <v>0</v>
      </c>
      <c r="BI161" s="100">
        <v>0</v>
      </c>
      <c r="BJ161" s="100">
        <v>1</v>
      </c>
      <c r="BK161" s="100">
        <v>0</v>
      </c>
      <c r="BL161" s="100">
        <v>0</v>
      </c>
      <c r="BM161" s="100">
        <v>0</v>
      </c>
      <c r="BN161" s="100">
        <v>0</v>
      </c>
      <c r="BO161" s="100">
        <v>0</v>
      </c>
      <c r="BP161" s="100">
        <v>0</v>
      </c>
      <c r="BQ161" s="100">
        <v>0</v>
      </c>
      <c r="BR161" s="100">
        <v>0</v>
      </c>
      <c r="BS161" s="100">
        <v>0</v>
      </c>
      <c r="BT161" s="100">
        <v>0</v>
      </c>
      <c r="BU161" s="100">
        <v>0</v>
      </c>
      <c r="BV161" s="100">
        <v>1</v>
      </c>
      <c r="BW161" s="100">
        <v>0</v>
      </c>
      <c r="BX161" s="100">
        <v>0</v>
      </c>
      <c r="BY161" s="100">
        <v>0</v>
      </c>
      <c r="BZ161" s="100">
        <v>0</v>
      </c>
      <c r="CA161" s="100">
        <v>0</v>
      </c>
      <c r="CB161" s="100" t="s">
        <v>2090</v>
      </c>
      <c r="CC161" s="100">
        <v>0</v>
      </c>
      <c r="CD161" s="100">
        <v>0</v>
      </c>
      <c r="CE161" s="100">
        <v>0</v>
      </c>
      <c r="CF161" s="100">
        <v>0</v>
      </c>
      <c r="CG161" s="103">
        <v>253285.95746999999</v>
      </c>
      <c r="CH161" s="103">
        <v>15.74</v>
      </c>
      <c r="CI161" s="103">
        <v>3264594.7348699998</v>
      </c>
      <c r="CJ161" s="103">
        <v>17.260000000000002</v>
      </c>
      <c r="CK161" s="103">
        <f t="shared" si="8"/>
        <v>271.67240000000004</v>
      </c>
      <c r="CL161" s="103">
        <v>926632.3</v>
      </c>
      <c r="CM161" s="103">
        <v>900821.9</v>
      </c>
      <c r="CN161" s="104">
        <v>1.028652056527489</v>
      </c>
      <c r="CO161" s="103">
        <v>0</v>
      </c>
      <c r="CP161" s="103">
        <v>0</v>
      </c>
      <c r="CQ161" s="103">
        <v>70641.487890000004</v>
      </c>
      <c r="CR161" s="103">
        <v>1.75</v>
      </c>
      <c r="CS161" s="103">
        <f t="shared" si="9"/>
        <v>0</v>
      </c>
      <c r="CT161" s="103">
        <v>27751.1</v>
      </c>
      <c r="CU161" s="103">
        <v>859408.9</v>
      </c>
      <c r="CV161" s="104">
        <v>3.2290915302366545E-2</v>
      </c>
      <c r="CW161" s="103">
        <v>244477.79912000001</v>
      </c>
      <c r="CX161" s="103">
        <v>19.440000000000001</v>
      </c>
      <c r="CY161" s="103">
        <v>3467523.0339500001</v>
      </c>
      <c r="CZ161" s="103">
        <v>18.435754189944134</v>
      </c>
      <c r="DA161" s="103">
        <f t="shared" si="10"/>
        <v>358.39106145251401</v>
      </c>
      <c r="DB161" s="103">
        <v>968437.4</v>
      </c>
      <c r="DC161" s="103">
        <v>984187.3</v>
      </c>
      <c r="DD161" s="104">
        <v>0.98399705015498573</v>
      </c>
      <c r="DE161" s="103">
        <v>0</v>
      </c>
      <c r="DF161" s="103">
        <v>0</v>
      </c>
      <c r="DG161" s="103">
        <v>14316.76671</v>
      </c>
      <c r="DH161" s="103">
        <v>0</v>
      </c>
      <c r="DI161" s="103">
        <f t="shared" si="11"/>
        <v>0</v>
      </c>
      <c r="DJ161" s="103">
        <v>22502.1</v>
      </c>
      <c r="DK161" s="103">
        <v>819919.5</v>
      </c>
      <c r="DL161" s="104">
        <v>2.7444279590862271E-2</v>
      </c>
    </row>
    <row r="162" spans="1:116" s="15" customFormat="1" ht="265.7" customHeight="1" x14ac:dyDescent="0.25">
      <c r="A162" s="100" t="s">
        <v>247</v>
      </c>
      <c r="B162" s="100" t="s">
        <v>2441</v>
      </c>
      <c r="C162" s="100" t="s">
        <v>87</v>
      </c>
      <c r="D162" s="101" t="str">
        <f>"Chemistry 222"</f>
        <v>Chemistry 222</v>
      </c>
      <c r="E162" s="102" t="s">
        <v>2442</v>
      </c>
      <c r="F162" s="100">
        <v>22</v>
      </c>
      <c r="G162" s="100">
        <v>9</v>
      </c>
      <c r="H162" s="100">
        <v>0.41</v>
      </c>
      <c r="I162" s="100">
        <v>31</v>
      </c>
      <c r="J162" s="100">
        <v>9</v>
      </c>
      <c r="K162" s="100">
        <v>8</v>
      </c>
      <c r="L162" s="100">
        <v>2</v>
      </c>
      <c r="M162" s="100">
        <v>1</v>
      </c>
      <c r="N162" s="100">
        <v>6</v>
      </c>
      <c r="O162" s="100">
        <v>2</v>
      </c>
      <c r="P162" s="100">
        <v>3.52</v>
      </c>
      <c r="Q162" s="100">
        <v>105.17</v>
      </c>
      <c r="R162" s="100">
        <v>7</v>
      </c>
      <c r="S162" s="100">
        <v>1</v>
      </c>
      <c r="T162" s="100">
        <v>0</v>
      </c>
      <c r="U162" s="100">
        <v>0</v>
      </c>
      <c r="V162" s="100">
        <v>0</v>
      </c>
      <c r="W162" s="100">
        <v>0</v>
      </c>
      <c r="X162" s="100">
        <v>0</v>
      </c>
      <c r="Y162" s="100">
        <v>1</v>
      </c>
      <c r="Z162" s="100">
        <v>0</v>
      </c>
      <c r="AA162" s="100">
        <v>0</v>
      </c>
      <c r="AB162" s="100">
        <v>1</v>
      </c>
      <c r="AC162" s="100">
        <v>0</v>
      </c>
      <c r="AD162" s="100">
        <v>0</v>
      </c>
      <c r="AE162" s="100">
        <v>0</v>
      </c>
      <c r="AF162" s="100">
        <v>0</v>
      </c>
      <c r="AG162" s="100">
        <v>1</v>
      </c>
      <c r="AH162" s="100">
        <v>0</v>
      </c>
      <c r="AI162" s="100">
        <v>0</v>
      </c>
      <c r="AJ162" s="100">
        <v>1</v>
      </c>
      <c r="AK162" s="100">
        <v>0</v>
      </c>
      <c r="AL162" s="100">
        <v>0</v>
      </c>
      <c r="AM162" s="100">
        <v>0</v>
      </c>
      <c r="AN162" s="100">
        <v>0</v>
      </c>
      <c r="AO162" s="100">
        <v>0</v>
      </c>
      <c r="AP162" s="100">
        <v>0</v>
      </c>
      <c r="AQ162" s="100">
        <v>0</v>
      </c>
      <c r="AR162" s="100">
        <v>0</v>
      </c>
      <c r="AS162" s="100">
        <v>0</v>
      </c>
      <c r="AT162" s="100">
        <v>1</v>
      </c>
      <c r="AU162" s="100">
        <v>0</v>
      </c>
      <c r="AV162" s="100">
        <v>0</v>
      </c>
      <c r="AW162" s="100">
        <v>0</v>
      </c>
      <c r="AX162" s="100">
        <v>1</v>
      </c>
      <c r="AY162" s="100">
        <v>0</v>
      </c>
      <c r="AZ162" s="100">
        <v>0</v>
      </c>
      <c r="BA162" s="100">
        <v>0</v>
      </c>
      <c r="BB162" s="100">
        <v>0</v>
      </c>
      <c r="BC162" s="100">
        <v>0</v>
      </c>
      <c r="BD162" s="100">
        <v>1</v>
      </c>
      <c r="BE162" s="100">
        <v>0</v>
      </c>
      <c r="BF162" s="100">
        <v>0</v>
      </c>
      <c r="BG162" s="100">
        <v>0</v>
      </c>
      <c r="BH162" s="100">
        <v>0</v>
      </c>
      <c r="BI162" s="100">
        <v>0</v>
      </c>
      <c r="BJ162" s="100">
        <v>4</v>
      </c>
      <c r="BK162" s="100">
        <v>0</v>
      </c>
      <c r="BL162" s="100">
        <v>1</v>
      </c>
      <c r="BM162" s="100">
        <v>0</v>
      </c>
      <c r="BN162" s="100">
        <v>0</v>
      </c>
      <c r="BO162" s="100">
        <v>0</v>
      </c>
      <c r="BP162" s="100">
        <v>0</v>
      </c>
      <c r="BQ162" s="100">
        <v>0</v>
      </c>
      <c r="BR162" s="100">
        <v>0</v>
      </c>
      <c r="BS162" s="100">
        <v>0</v>
      </c>
      <c r="BT162" s="100">
        <v>0</v>
      </c>
      <c r="BU162" s="100">
        <v>0</v>
      </c>
      <c r="BV162" s="100">
        <v>0</v>
      </c>
      <c r="BW162" s="100">
        <v>0</v>
      </c>
      <c r="BX162" s="100">
        <v>0</v>
      </c>
      <c r="BY162" s="100">
        <v>0</v>
      </c>
      <c r="BZ162" s="100">
        <v>0</v>
      </c>
      <c r="CA162" s="100">
        <v>0</v>
      </c>
      <c r="CB162" s="100" t="s">
        <v>2090</v>
      </c>
      <c r="CC162" s="100">
        <v>0</v>
      </c>
      <c r="CD162" s="100">
        <v>0</v>
      </c>
      <c r="CE162" s="100">
        <v>0</v>
      </c>
      <c r="CF162" s="100">
        <v>0</v>
      </c>
      <c r="CG162" s="103">
        <v>149167.64069999999</v>
      </c>
      <c r="CH162" s="103">
        <v>12.1</v>
      </c>
      <c r="CI162" s="103">
        <v>1267608.8330600001</v>
      </c>
      <c r="CJ162" s="103">
        <v>9.9</v>
      </c>
      <c r="CK162" s="103">
        <f t="shared" si="8"/>
        <v>119.79</v>
      </c>
      <c r="CL162" s="103">
        <v>6274.4</v>
      </c>
      <c r="CM162" s="103">
        <v>411390</v>
      </c>
      <c r="CN162" s="104">
        <v>1.5251707625367655E-2</v>
      </c>
      <c r="CO162" s="103">
        <v>0</v>
      </c>
      <c r="CP162" s="103">
        <v>0</v>
      </c>
      <c r="CQ162" s="103">
        <v>3632.6228099999998</v>
      </c>
      <c r="CR162" s="103">
        <v>0</v>
      </c>
      <c r="CS162" s="103">
        <f t="shared" si="9"/>
        <v>0</v>
      </c>
      <c r="CT162" s="103">
        <v>0</v>
      </c>
      <c r="CU162" s="103">
        <v>475805.3</v>
      </c>
      <c r="CV162" s="104">
        <v>0</v>
      </c>
      <c r="CW162" s="103">
        <v>39806.698349999999</v>
      </c>
      <c r="CX162" s="103">
        <v>7.66</v>
      </c>
      <c r="CY162" s="103">
        <v>558892.25748000003</v>
      </c>
      <c r="CZ162" s="103">
        <v>8.7885409079873753</v>
      </c>
      <c r="DA162" s="103">
        <f t="shared" si="10"/>
        <v>67.320223355183302</v>
      </c>
      <c r="DB162" s="103">
        <v>9800.4</v>
      </c>
      <c r="DC162" s="103">
        <v>736205.7</v>
      </c>
      <c r="DD162" s="104">
        <v>1.3312040371325568E-2</v>
      </c>
      <c r="DE162" s="103">
        <v>13272.132670000001</v>
      </c>
      <c r="DF162" s="103">
        <v>1.04</v>
      </c>
      <c r="DG162" s="103">
        <v>5127.9163399999998</v>
      </c>
      <c r="DH162" s="103">
        <v>0</v>
      </c>
      <c r="DI162" s="103">
        <f t="shared" si="11"/>
        <v>0</v>
      </c>
      <c r="DJ162" s="103">
        <v>0</v>
      </c>
      <c r="DK162" s="103">
        <v>736611.7</v>
      </c>
      <c r="DL162" s="104">
        <v>0</v>
      </c>
    </row>
    <row r="163" spans="1:116" s="15" customFormat="1" ht="242.45" customHeight="1" x14ac:dyDescent="0.25">
      <c r="A163" s="100" t="s">
        <v>248</v>
      </c>
      <c r="B163" s="100" t="s">
        <v>2443</v>
      </c>
      <c r="C163" s="100" t="s">
        <v>87</v>
      </c>
      <c r="D163" s="105" t="str">
        <f>"Chemistry 289"</f>
        <v>Chemistry 289</v>
      </c>
      <c r="E163" s="102" t="s">
        <v>2444</v>
      </c>
      <c r="F163" s="100">
        <v>18</v>
      </c>
      <c r="G163" s="100">
        <v>3</v>
      </c>
      <c r="H163" s="100">
        <v>0.17</v>
      </c>
      <c r="I163" s="100">
        <v>29</v>
      </c>
      <c r="J163" s="100">
        <v>11</v>
      </c>
      <c r="K163" s="100">
        <v>8</v>
      </c>
      <c r="L163" s="100">
        <v>2</v>
      </c>
      <c r="M163" s="100">
        <v>3</v>
      </c>
      <c r="N163" s="100">
        <v>5</v>
      </c>
      <c r="O163" s="100">
        <v>0</v>
      </c>
      <c r="P163" s="100">
        <v>5.44</v>
      </c>
      <c r="Q163" s="100">
        <v>68.73</v>
      </c>
      <c r="R163" s="100">
        <v>7</v>
      </c>
      <c r="S163" s="100">
        <v>1</v>
      </c>
      <c r="T163" s="100">
        <v>0</v>
      </c>
      <c r="U163" s="100">
        <v>0</v>
      </c>
      <c r="V163" s="100">
        <v>0</v>
      </c>
      <c r="W163" s="100">
        <v>0</v>
      </c>
      <c r="X163" s="100">
        <v>0</v>
      </c>
      <c r="Y163" s="100">
        <v>0</v>
      </c>
      <c r="Z163" s="100">
        <v>0</v>
      </c>
      <c r="AA163" s="100">
        <v>1</v>
      </c>
      <c r="AB163" s="100">
        <v>1</v>
      </c>
      <c r="AC163" s="100">
        <v>0</v>
      </c>
      <c r="AD163" s="100">
        <v>0</v>
      </c>
      <c r="AE163" s="100">
        <v>0</v>
      </c>
      <c r="AF163" s="100">
        <v>0</v>
      </c>
      <c r="AG163" s="100">
        <v>1</v>
      </c>
      <c r="AH163" s="100">
        <v>0</v>
      </c>
      <c r="AI163" s="100">
        <v>0</v>
      </c>
      <c r="AJ163" s="100">
        <v>1</v>
      </c>
      <c r="AK163" s="100">
        <v>1</v>
      </c>
      <c r="AL163" s="100">
        <v>0</v>
      </c>
      <c r="AM163" s="100">
        <v>1</v>
      </c>
      <c r="AN163" s="100">
        <v>1</v>
      </c>
      <c r="AO163" s="100">
        <v>0</v>
      </c>
      <c r="AP163" s="100">
        <v>0</v>
      </c>
      <c r="AQ163" s="100">
        <v>0</v>
      </c>
      <c r="AR163" s="100">
        <v>0</v>
      </c>
      <c r="AS163" s="100">
        <v>0</v>
      </c>
      <c r="AT163" s="100">
        <v>0</v>
      </c>
      <c r="AU163" s="100">
        <v>0</v>
      </c>
      <c r="AV163" s="100">
        <v>0</v>
      </c>
      <c r="AW163" s="100">
        <v>0</v>
      </c>
      <c r="AX163" s="100">
        <v>0</v>
      </c>
      <c r="AY163" s="100">
        <v>0</v>
      </c>
      <c r="AZ163" s="100">
        <v>0</v>
      </c>
      <c r="BA163" s="100">
        <v>0</v>
      </c>
      <c r="BB163" s="100">
        <v>0</v>
      </c>
      <c r="BC163" s="100">
        <v>0</v>
      </c>
      <c r="BD163" s="100">
        <v>0</v>
      </c>
      <c r="BE163" s="100">
        <v>0</v>
      </c>
      <c r="BF163" s="100">
        <v>1</v>
      </c>
      <c r="BG163" s="100">
        <v>0</v>
      </c>
      <c r="BH163" s="100">
        <v>0</v>
      </c>
      <c r="BI163" s="100">
        <v>0</v>
      </c>
      <c r="BJ163" s="100">
        <v>1</v>
      </c>
      <c r="BK163" s="100">
        <v>0</v>
      </c>
      <c r="BL163" s="100">
        <v>0</v>
      </c>
      <c r="BM163" s="100">
        <v>0</v>
      </c>
      <c r="BN163" s="100">
        <v>0</v>
      </c>
      <c r="BO163" s="100">
        <v>0</v>
      </c>
      <c r="BP163" s="100">
        <v>0</v>
      </c>
      <c r="BQ163" s="100">
        <v>0</v>
      </c>
      <c r="BR163" s="100">
        <v>0</v>
      </c>
      <c r="BS163" s="100">
        <v>0</v>
      </c>
      <c r="BT163" s="100">
        <v>0</v>
      </c>
      <c r="BU163" s="100">
        <v>0</v>
      </c>
      <c r="BV163" s="100">
        <v>1</v>
      </c>
      <c r="BW163" s="100">
        <v>0</v>
      </c>
      <c r="BX163" s="100">
        <v>0</v>
      </c>
      <c r="BY163" s="100">
        <v>0</v>
      </c>
      <c r="BZ163" s="100">
        <v>0</v>
      </c>
      <c r="CA163" s="100">
        <v>0</v>
      </c>
      <c r="CB163" s="100" t="s">
        <v>2090</v>
      </c>
      <c r="CC163" s="100">
        <v>0</v>
      </c>
      <c r="CD163" s="100">
        <v>0</v>
      </c>
      <c r="CE163" s="100">
        <v>0</v>
      </c>
      <c r="CF163" s="100">
        <v>0</v>
      </c>
      <c r="CG163" s="103">
        <v>79932.307629999996</v>
      </c>
      <c r="CH163" s="103">
        <v>4.08</v>
      </c>
      <c r="CI163" s="103">
        <v>263774.78925999999</v>
      </c>
      <c r="CJ163" s="103">
        <v>2.73</v>
      </c>
      <c r="CK163" s="103">
        <f t="shared" si="8"/>
        <v>11.138400000000001</v>
      </c>
      <c r="CL163" s="103">
        <v>0</v>
      </c>
      <c r="CM163" s="103">
        <v>810254.3</v>
      </c>
      <c r="CN163" s="104">
        <v>0</v>
      </c>
      <c r="CO163" s="103">
        <v>369068.47135000001</v>
      </c>
      <c r="CP163" s="103">
        <v>12.91</v>
      </c>
      <c r="CQ163" s="103">
        <v>490625.02347999997</v>
      </c>
      <c r="CR163" s="103">
        <v>4.76</v>
      </c>
      <c r="CS163" s="103">
        <f t="shared" si="9"/>
        <v>61.451599999999999</v>
      </c>
      <c r="CT163" s="103">
        <v>0</v>
      </c>
      <c r="CU163" s="103">
        <v>528523.5</v>
      </c>
      <c r="CV163" s="104">
        <v>0</v>
      </c>
      <c r="CW163" s="103">
        <v>367771.27775000001</v>
      </c>
      <c r="CX163" s="103">
        <v>31.07</v>
      </c>
      <c r="CY163" s="103">
        <v>312316.25348999997</v>
      </c>
      <c r="CZ163" s="103">
        <v>9.2060718575952816</v>
      </c>
      <c r="DA163" s="103">
        <f t="shared" si="10"/>
        <v>286.0326526154854</v>
      </c>
      <c r="DB163" s="103">
        <v>0</v>
      </c>
      <c r="DC163" s="103">
        <v>340970</v>
      </c>
      <c r="DD163" s="104">
        <v>0</v>
      </c>
      <c r="DE163" s="103">
        <v>202874.36462000001</v>
      </c>
      <c r="DF163" s="103">
        <v>8.4499999999999993</v>
      </c>
      <c r="DG163" s="103">
        <v>376951.34626999998</v>
      </c>
      <c r="DH163" s="103">
        <v>4.97</v>
      </c>
      <c r="DI163" s="103">
        <f t="shared" si="11"/>
        <v>41.996499999999997</v>
      </c>
      <c r="DJ163" s="103">
        <v>0</v>
      </c>
      <c r="DK163" s="103">
        <v>39335.9</v>
      </c>
      <c r="DL163" s="104">
        <v>0</v>
      </c>
    </row>
    <row r="164" spans="1:116" s="15" customFormat="1" ht="265.7" customHeight="1" x14ac:dyDescent="0.25">
      <c r="A164" s="100" t="s">
        <v>249</v>
      </c>
      <c r="B164" s="100" t="s">
        <v>2445</v>
      </c>
      <c r="C164" s="100" t="s">
        <v>87</v>
      </c>
      <c r="D164" s="101" t="str">
        <f>"Chemistry 257"</f>
        <v>Chemistry 257</v>
      </c>
      <c r="E164" s="102" t="s">
        <v>2446</v>
      </c>
      <c r="F164" s="100">
        <v>21</v>
      </c>
      <c r="G164" s="100">
        <v>4</v>
      </c>
      <c r="H164" s="100">
        <v>0.19</v>
      </c>
      <c r="I164" s="100">
        <v>30</v>
      </c>
      <c r="J164" s="100">
        <v>9</v>
      </c>
      <c r="K164" s="100">
        <v>5</v>
      </c>
      <c r="L164" s="100">
        <v>3</v>
      </c>
      <c r="M164" s="100">
        <v>2</v>
      </c>
      <c r="N164" s="100">
        <v>3</v>
      </c>
      <c r="O164" s="100">
        <v>2</v>
      </c>
      <c r="P164" s="100">
        <v>4.7300000000000004</v>
      </c>
      <c r="Q164" s="100">
        <v>70.56</v>
      </c>
      <c r="R164" s="100">
        <v>6</v>
      </c>
      <c r="S164" s="100">
        <v>1</v>
      </c>
      <c r="T164" s="100">
        <v>0</v>
      </c>
      <c r="U164" s="100">
        <v>0</v>
      </c>
      <c r="V164" s="100">
        <v>0</v>
      </c>
      <c r="W164" s="100">
        <v>1</v>
      </c>
      <c r="X164" s="100">
        <v>0</v>
      </c>
      <c r="Y164" s="100">
        <v>1</v>
      </c>
      <c r="Z164" s="100">
        <v>0</v>
      </c>
      <c r="AA164" s="100">
        <v>0</v>
      </c>
      <c r="AB164" s="100">
        <v>0</v>
      </c>
      <c r="AC164" s="100">
        <v>1</v>
      </c>
      <c r="AD164" s="100">
        <v>0</v>
      </c>
      <c r="AE164" s="100">
        <v>0</v>
      </c>
      <c r="AF164" s="100">
        <v>0</v>
      </c>
      <c r="AG164" s="100">
        <v>1</v>
      </c>
      <c r="AH164" s="100">
        <v>0</v>
      </c>
      <c r="AI164" s="100">
        <v>0</v>
      </c>
      <c r="AJ164" s="100">
        <v>1</v>
      </c>
      <c r="AK164" s="100">
        <v>0</v>
      </c>
      <c r="AL164" s="100">
        <v>0</v>
      </c>
      <c r="AM164" s="100">
        <v>0</v>
      </c>
      <c r="AN164" s="100">
        <v>0</v>
      </c>
      <c r="AO164" s="100">
        <v>1</v>
      </c>
      <c r="AP164" s="100">
        <v>0</v>
      </c>
      <c r="AQ164" s="100">
        <v>0</v>
      </c>
      <c r="AR164" s="100">
        <v>0</v>
      </c>
      <c r="AS164" s="100">
        <v>0</v>
      </c>
      <c r="AT164" s="100">
        <v>1</v>
      </c>
      <c r="AU164" s="100">
        <v>0</v>
      </c>
      <c r="AV164" s="100">
        <v>0</v>
      </c>
      <c r="AW164" s="100">
        <v>0</v>
      </c>
      <c r="AX164" s="100">
        <v>0</v>
      </c>
      <c r="AY164" s="100">
        <v>0</v>
      </c>
      <c r="AZ164" s="100">
        <v>0</v>
      </c>
      <c r="BA164" s="100">
        <v>0</v>
      </c>
      <c r="BB164" s="100">
        <v>0</v>
      </c>
      <c r="BC164" s="100">
        <v>0</v>
      </c>
      <c r="BD164" s="100">
        <v>1</v>
      </c>
      <c r="BE164" s="100">
        <v>0</v>
      </c>
      <c r="BF164" s="100">
        <v>0</v>
      </c>
      <c r="BG164" s="100">
        <v>0</v>
      </c>
      <c r="BH164" s="100">
        <v>0</v>
      </c>
      <c r="BI164" s="100">
        <v>0</v>
      </c>
      <c r="BJ164" s="100">
        <v>2</v>
      </c>
      <c r="BK164" s="100">
        <v>0</v>
      </c>
      <c r="BL164" s="100">
        <v>1</v>
      </c>
      <c r="BM164" s="100">
        <v>0</v>
      </c>
      <c r="BN164" s="100">
        <v>1</v>
      </c>
      <c r="BO164" s="100">
        <v>0</v>
      </c>
      <c r="BP164" s="100">
        <v>0</v>
      </c>
      <c r="BQ164" s="100">
        <v>0</v>
      </c>
      <c r="BR164" s="100">
        <v>0</v>
      </c>
      <c r="BS164" s="100">
        <v>0</v>
      </c>
      <c r="BT164" s="100">
        <v>0</v>
      </c>
      <c r="BU164" s="100">
        <v>0</v>
      </c>
      <c r="BV164" s="100">
        <v>0</v>
      </c>
      <c r="BW164" s="100">
        <v>0</v>
      </c>
      <c r="BX164" s="100">
        <v>0</v>
      </c>
      <c r="BY164" s="100">
        <v>0</v>
      </c>
      <c r="BZ164" s="100">
        <v>0</v>
      </c>
      <c r="CA164" s="100">
        <v>0</v>
      </c>
      <c r="CB164" s="100" t="s">
        <v>2090</v>
      </c>
      <c r="CC164" s="100">
        <v>0</v>
      </c>
      <c r="CD164" s="100">
        <v>0</v>
      </c>
      <c r="CE164" s="100">
        <v>0</v>
      </c>
      <c r="CF164" s="100">
        <v>0</v>
      </c>
      <c r="CG164" s="103">
        <v>20100.691910000001</v>
      </c>
      <c r="CH164" s="103">
        <v>1.5</v>
      </c>
      <c r="CI164" s="103">
        <v>99500.943159999995</v>
      </c>
      <c r="CJ164" s="103">
        <v>2.68</v>
      </c>
      <c r="CK164" s="103">
        <f t="shared" si="8"/>
        <v>4.0200000000000005</v>
      </c>
      <c r="CL164" s="103">
        <v>453.8</v>
      </c>
      <c r="CM164" s="103">
        <v>103097.9</v>
      </c>
      <c r="CN164" s="104">
        <v>4.4016415465300465E-3</v>
      </c>
      <c r="CO164" s="103">
        <v>0</v>
      </c>
      <c r="CP164" s="103">
        <v>0</v>
      </c>
      <c r="CQ164" s="103">
        <v>10947.129580000001</v>
      </c>
      <c r="CR164" s="103">
        <v>0</v>
      </c>
      <c r="CS164" s="103">
        <f t="shared" si="9"/>
        <v>0</v>
      </c>
      <c r="CT164" s="103">
        <v>7766.5</v>
      </c>
      <c r="CU164" s="103">
        <v>930202.2</v>
      </c>
      <c r="CV164" s="104">
        <v>8.3492599780993857E-3</v>
      </c>
      <c r="CW164" s="103">
        <v>0</v>
      </c>
      <c r="CX164" s="103">
        <v>0</v>
      </c>
      <c r="CY164" s="103">
        <v>4412.99244</v>
      </c>
      <c r="CZ164" s="103">
        <v>0</v>
      </c>
      <c r="DA164" s="103">
        <f t="shared" si="10"/>
        <v>0</v>
      </c>
      <c r="DB164" s="103">
        <v>0</v>
      </c>
      <c r="DC164" s="103">
        <v>375398</v>
      </c>
      <c r="DD164" s="104">
        <v>0</v>
      </c>
      <c r="DE164" s="103">
        <v>20915.598429999998</v>
      </c>
      <c r="DF164" s="103">
        <v>1.1000000000000001</v>
      </c>
      <c r="DG164" s="103">
        <v>13201.592259999999</v>
      </c>
      <c r="DH164" s="103">
        <v>0</v>
      </c>
      <c r="DI164" s="103">
        <f t="shared" si="11"/>
        <v>0</v>
      </c>
      <c r="DJ164" s="103">
        <v>0</v>
      </c>
      <c r="DK164" s="103">
        <v>495083</v>
      </c>
      <c r="DL164" s="104">
        <v>0</v>
      </c>
    </row>
    <row r="165" spans="1:116" s="15" customFormat="1" ht="264.95" customHeight="1" x14ac:dyDescent="0.25">
      <c r="A165" s="100" t="s">
        <v>250</v>
      </c>
      <c r="B165" s="100" t="s">
        <v>2447</v>
      </c>
      <c r="C165" s="100" t="s">
        <v>87</v>
      </c>
      <c r="D165" s="101" t="str">
        <f>"Chemistry 300"</f>
        <v>Chemistry 300</v>
      </c>
      <c r="E165" s="102" t="s">
        <v>2448</v>
      </c>
      <c r="F165" s="100">
        <v>15</v>
      </c>
      <c r="G165" s="100">
        <v>2</v>
      </c>
      <c r="H165" s="100">
        <v>0.13</v>
      </c>
      <c r="I165" s="100">
        <v>24</v>
      </c>
      <c r="J165" s="100">
        <v>9</v>
      </c>
      <c r="K165" s="100">
        <v>5</v>
      </c>
      <c r="L165" s="100">
        <v>4</v>
      </c>
      <c r="M165" s="100">
        <v>3</v>
      </c>
      <c r="N165" s="100">
        <v>4</v>
      </c>
      <c r="O165" s="100">
        <v>1</v>
      </c>
      <c r="P165" s="100">
        <v>5.33</v>
      </c>
      <c r="Q165" s="100">
        <v>54.46</v>
      </c>
      <c r="R165" s="100">
        <v>5</v>
      </c>
      <c r="S165" s="100">
        <v>1</v>
      </c>
      <c r="T165" s="100">
        <v>0</v>
      </c>
      <c r="U165" s="100">
        <v>0</v>
      </c>
      <c r="V165" s="100">
        <v>1</v>
      </c>
      <c r="W165" s="100">
        <v>0</v>
      </c>
      <c r="X165" s="100">
        <v>0</v>
      </c>
      <c r="Y165" s="100">
        <v>0</v>
      </c>
      <c r="Z165" s="100">
        <v>1</v>
      </c>
      <c r="AA165" s="100">
        <v>0</v>
      </c>
      <c r="AB165" s="100">
        <v>1</v>
      </c>
      <c r="AC165" s="100">
        <v>0</v>
      </c>
      <c r="AD165" s="100">
        <v>0</v>
      </c>
      <c r="AE165" s="100">
        <v>0</v>
      </c>
      <c r="AF165" s="100">
        <v>0</v>
      </c>
      <c r="AG165" s="100">
        <v>1</v>
      </c>
      <c r="AH165" s="100">
        <v>0</v>
      </c>
      <c r="AI165" s="100">
        <v>0</v>
      </c>
      <c r="AJ165" s="100">
        <v>1</v>
      </c>
      <c r="AK165" s="100">
        <v>1</v>
      </c>
      <c r="AL165" s="100">
        <v>1</v>
      </c>
      <c r="AM165" s="100">
        <v>0</v>
      </c>
      <c r="AN165" s="100">
        <v>1</v>
      </c>
      <c r="AO165" s="100">
        <v>0</v>
      </c>
      <c r="AP165" s="100">
        <v>0</v>
      </c>
      <c r="AQ165" s="100">
        <v>0</v>
      </c>
      <c r="AR165" s="100">
        <v>0</v>
      </c>
      <c r="AS165" s="100">
        <v>0</v>
      </c>
      <c r="AT165" s="100">
        <v>0</v>
      </c>
      <c r="AU165" s="100">
        <v>0</v>
      </c>
      <c r="AV165" s="100">
        <v>0</v>
      </c>
      <c r="AW165" s="100">
        <v>0</v>
      </c>
      <c r="AX165" s="100">
        <v>0</v>
      </c>
      <c r="AY165" s="100">
        <v>0</v>
      </c>
      <c r="AZ165" s="100">
        <v>0</v>
      </c>
      <c r="BA165" s="100">
        <v>0</v>
      </c>
      <c r="BB165" s="100">
        <v>0</v>
      </c>
      <c r="BC165" s="100">
        <v>0</v>
      </c>
      <c r="BD165" s="100">
        <v>0</v>
      </c>
      <c r="BE165" s="100">
        <v>1</v>
      </c>
      <c r="BF165" s="100">
        <v>0</v>
      </c>
      <c r="BG165" s="100">
        <v>0</v>
      </c>
      <c r="BH165" s="100">
        <v>0</v>
      </c>
      <c r="BI165" s="100">
        <v>0</v>
      </c>
      <c r="BJ165" s="100">
        <v>1</v>
      </c>
      <c r="BK165" s="100">
        <v>0</v>
      </c>
      <c r="BL165" s="100">
        <v>0</v>
      </c>
      <c r="BM165" s="100">
        <v>0</v>
      </c>
      <c r="BN165" s="100">
        <v>0</v>
      </c>
      <c r="BO165" s="100">
        <v>0</v>
      </c>
      <c r="BP165" s="100">
        <v>0</v>
      </c>
      <c r="BQ165" s="100">
        <v>0</v>
      </c>
      <c r="BR165" s="100">
        <v>1</v>
      </c>
      <c r="BS165" s="100">
        <v>0</v>
      </c>
      <c r="BT165" s="100">
        <v>1</v>
      </c>
      <c r="BU165" s="100">
        <v>0</v>
      </c>
      <c r="BV165" s="100">
        <v>0</v>
      </c>
      <c r="BW165" s="100">
        <v>0</v>
      </c>
      <c r="BX165" s="100">
        <v>0</v>
      </c>
      <c r="BY165" s="100">
        <v>0</v>
      </c>
      <c r="BZ165" s="100">
        <v>0</v>
      </c>
      <c r="CA165" s="100">
        <v>0</v>
      </c>
      <c r="CB165" s="100" t="s">
        <v>2090</v>
      </c>
      <c r="CC165" s="100">
        <v>0</v>
      </c>
      <c r="CD165" s="100">
        <v>0</v>
      </c>
      <c r="CE165" s="100">
        <v>0</v>
      </c>
      <c r="CF165" s="100">
        <v>0</v>
      </c>
      <c r="CG165" s="103">
        <v>31132.210869999999</v>
      </c>
      <c r="CH165" s="103">
        <v>1.8399999999999999</v>
      </c>
      <c r="CI165" s="103">
        <v>397967.76698000001</v>
      </c>
      <c r="CJ165" s="103">
        <v>6.03</v>
      </c>
      <c r="CK165" s="103">
        <f t="shared" si="8"/>
        <v>11.0952</v>
      </c>
      <c r="CL165" s="103">
        <v>2800.7</v>
      </c>
      <c r="CM165" s="103">
        <v>800843.4</v>
      </c>
      <c r="CN165" s="104">
        <v>3.4971880894566899E-3</v>
      </c>
      <c r="CO165" s="103">
        <v>0</v>
      </c>
      <c r="CP165" s="103">
        <v>0</v>
      </c>
      <c r="CQ165" s="103">
        <v>27709.110290000001</v>
      </c>
      <c r="CR165" s="103">
        <v>0</v>
      </c>
      <c r="CS165" s="103">
        <f t="shared" si="9"/>
        <v>0</v>
      </c>
      <c r="CT165" s="103">
        <v>0</v>
      </c>
      <c r="CU165" s="103">
        <v>657989.30000000005</v>
      </c>
      <c r="CV165" s="104">
        <v>0</v>
      </c>
      <c r="CW165" s="103">
        <v>8737.54745</v>
      </c>
      <c r="CX165" s="103">
        <v>0.72</v>
      </c>
      <c r="CY165" s="103">
        <v>15306.493270000001</v>
      </c>
      <c r="CZ165" s="103">
        <v>3.7763975155279503</v>
      </c>
      <c r="DA165" s="103">
        <f t="shared" si="10"/>
        <v>2.7190062111801243</v>
      </c>
      <c r="DB165" s="103">
        <v>1100.3</v>
      </c>
      <c r="DC165" s="103">
        <v>268892</v>
      </c>
      <c r="DD165" s="104">
        <v>4.0919774481948138E-3</v>
      </c>
      <c r="DE165" s="103">
        <v>0</v>
      </c>
      <c r="DF165" s="103">
        <v>0</v>
      </c>
      <c r="DG165" s="103">
        <v>20353.519049999999</v>
      </c>
      <c r="DH165" s="103">
        <v>0</v>
      </c>
      <c r="DI165" s="103">
        <f t="shared" si="11"/>
        <v>0</v>
      </c>
      <c r="DJ165" s="103">
        <v>1715.7</v>
      </c>
      <c r="DK165" s="103">
        <v>434187.6</v>
      </c>
      <c r="DL165" s="104">
        <v>3.9515177310452902E-3</v>
      </c>
    </row>
    <row r="166" spans="1:116" s="15" customFormat="1" ht="265.7" customHeight="1" x14ac:dyDescent="0.25">
      <c r="A166" s="100" t="s">
        <v>251</v>
      </c>
      <c r="B166" s="100" t="s">
        <v>2449</v>
      </c>
      <c r="C166" s="100" t="s">
        <v>87</v>
      </c>
      <c r="D166" s="101" t="str">
        <f>"Chemistry 248"</f>
        <v>Chemistry 248</v>
      </c>
      <c r="E166" s="102" t="s">
        <v>2450</v>
      </c>
      <c r="F166" s="100">
        <v>20</v>
      </c>
      <c r="G166" s="100">
        <v>9</v>
      </c>
      <c r="H166" s="100">
        <v>0.45</v>
      </c>
      <c r="I166" s="100">
        <v>29</v>
      </c>
      <c r="J166" s="100">
        <v>9</v>
      </c>
      <c r="K166" s="100">
        <v>8</v>
      </c>
      <c r="L166" s="100">
        <v>4</v>
      </c>
      <c r="M166" s="100">
        <v>2</v>
      </c>
      <c r="N166" s="100">
        <v>4</v>
      </c>
      <c r="O166" s="100">
        <v>2</v>
      </c>
      <c r="P166" s="100">
        <v>3.37</v>
      </c>
      <c r="Q166" s="100">
        <v>87.32</v>
      </c>
      <c r="R166" s="100">
        <v>6</v>
      </c>
      <c r="S166" s="100">
        <v>1</v>
      </c>
      <c r="T166" s="100">
        <v>0</v>
      </c>
      <c r="U166" s="100">
        <v>0</v>
      </c>
      <c r="V166" s="100">
        <v>1</v>
      </c>
      <c r="W166" s="100">
        <v>0</v>
      </c>
      <c r="X166" s="100">
        <v>0</v>
      </c>
      <c r="Y166" s="100">
        <v>1</v>
      </c>
      <c r="Z166" s="100">
        <v>0</v>
      </c>
      <c r="AA166" s="100">
        <v>0</v>
      </c>
      <c r="AB166" s="100">
        <v>1</v>
      </c>
      <c r="AC166" s="100">
        <v>0</v>
      </c>
      <c r="AD166" s="100">
        <v>0</v>
      </c>
      <c r="AE166" s="100">
        <v>0</v>
      </c>
      <c r="AF166" s="100">
        <v>0</v>
      </c>
      <c r="AG166" s="100">
        <v>1</v>
      </c>
      <c r="AH166" s="100">
        <v>0</v>
      </c>
      <c r="AI166" s="100">
        <v>0</v>
      </c>
      <c r="AJ166" s="100">
        <v>1</v>
      </c>
      <c r="AK166" s="100">
        <v>0</v>
      </c>
      <c r="AL166" s="100">
        <v>0</v>
      </c>
      <c r="AM166" s="100">
        <v>0</v>
      </c>
      <c r="AN166" s="100">
        <v>1</v>
      </c>
      <c r="AO166" s="100">
        <v>0</v>
      </c>
      <c r="AP166" s="100">
        <v>0</v>
      </c>
      <c r="AQ166" s="100">
        <v>0</v>
      </c>
      <c r="AR166" s="100">
        <v>0</v>
      </c>
      <c r="AS166" s="100">
        <v>0</v>
      </c>
      <c r="AT166" s="100">
        <v>1</v>
      </c>
      <c r="AU166" s="100">
        <v>0</v>
      </c>
      <c r="AV166" s="100">
        <v>1</v>
      </c>
      <c r="AW166" s="100">
        <v>0</v>
      </c>
      <c r="AX166" s="100">
        <v>0</v>
      </c>
      <c r="AY166" s="100">
        <v>0</v>
      </c>
      <c r="AZ166" s="100">
        <v>0</v>
      </c>
      <c r="BA166" s="100">
        <v>0</v>
      </c>
      <c r="BB166" s="100">
        <v>0</v>
      </c>
      <c r="BC166" s="100">
        <v>0</v>
      </c>
      <c r="BD166" s="100">
        <v>0</v>
      </c>
      <c r="BE166" s="100">
        <v>0</v>
      </c>
      <c r="BF166" s="100">
        <v>0</v>
      </c>
      <c r="BG166" s="100">
        <v>0</v>
      </c>
      <c r="BH166" s="100">
        <v>0</v>
      </c>
      <c r="BI166" s="100">
        <v>0</v>
      </c>
      <c r="BJ166" s="100">
        <v>2</v>
      </c>
      <c r="BK166" s="100">
        <v>0</v>
      </c>
      <c r="BL166" s="100">
        <v>0</v>
      </c>
      <c r="BM166" s="100">
        <v>0</v>
      </c>
      <c r="BN166" s="100">
        <v>0</v>
      </c>
      <c r="BO166" s="100">
        <v>0</v>
      </c>
      <c r="BP166" s="100">
        <v>0</v>
      </c>
      <c r="BQ166" s="100">
        <v>0</v>
      </c>
      <c r="BR166" s="100">
        <v>1</v>
      </c>
      <c r="BS166" s="100">
        <v>0</v>
      </c>
      <c r="BT166" s="100">
        <v>1</v>
      </c>
      <c r="BU166" s="100">
        <v>0</v>
      </c>
      <c r="BV166" s="100">
        <v>0</v>
      </c>
      <c r="BW166" s="100">
        <v>0</v>
      </c>
      <c r="BX166" s="100">
        <v>0</v>
      </c>
      <c r="BY166" s="100">
        <v>0</v>
      </c>
      <c r="BZ166" s="100">
        <v>0</v>
      </c>
      <c r="CA166" s="100">
        <v>0</v>
      </c>
      <c r="CB166" s="100" t="s">
        <v>2090</v>
      </c>
      <c r="CC166" s="100">
        <v>0</v>
      </c>
      <c r="CD166" s="100">
        <v>0</v>
      </c>
      <c r="CE166" s="100">
        <v>0</v>
      </c>
      <c r="CF166" s="100">
        <v>0</v>
      </c>
      <c r="CG166" s="103">
        <v>0</v>
      </c>
      <c r="CH166" s="103">
        <v>0</v>
      </c>
      <c r="CI166" s="103">
        <v>1835.8097299999999</v>
      </c>
      <c r="CJ166" s="103">
        <v>0</v>
      </c>
      <c r="CK166" s="103">
        <f t="shared" si="8"/>
        <v>0</v>
      </c>
      <c r="CL166" s="103">
        <v>0</v>
      </c>
      <c r="CM166" s="103">
        <v>655460.5</v>
      </c>
      <c r="CN166" s="104">
        <v>0</v>
      </c>
      <c r="CO166" s="103">
        <v>8297.5742900000005</v>
      </c>
      <c r="CP166" s="103">
        <v>0.98</v>
      </c>
      <c r="CQ166" s="103">
        <v>20450.286260000001</v>
      </c>
      <c r="CR166" s="103">
        <v>0</v>
      </c>
      <c r="CS166" s="103">
        <f t="shared" si="9"/>
        <v>0</v>
      </c>
      <c r="CT166" s="103">
        <v>849</v>
      </c>
      <c r="CU166" s="103">
        <v>160662.1</v>
      </c>
      <c r="CV166" s="104">
        <v>5.2843825644006892E-3</v>
      </c>
      <c r="CW166" s="103">
        <v>0</v>
      </c>
      <c r="CX166" s="103">
        <v>0</v>
      </c>
      <c r="CY166" s="103">
        <v>4879.4004400000003</v>
      </c>
      <c r="CZ166" s="103">
        <v>0</v>
      </c>
      <c r="DA166" s="103">
        <f t="shared" si="10"/>
        <v>0</v>
      </c>
      <c r="DB166" s="103">
        <v>0</v>
      </c>
      <c r="DC166" s="103">
        <v>820305.7</v>
      </c>
      <c r="DD166" s="104">
        <v>0</v>
      </c>
      <c r="DE166" s="103">
        <v>7578.6159699999998</v>
      </c>
      <c r="DF166" s="103">
        <v>0.84</v>
      </c>
      <c r="DG166" s="103">
        <v>32979.611100000002</v>
      </c>
      <c r="DH166" s="103">
        <v>0</v>
      </c>
      <c r="DI166" s="103">
        <f t="shared" si="11"/>
        <v>0</v>
      </c>
      <c r="DJ166" s="103">
        <v>0</v>
      </c>
      <c r="DK166" s="103">
        <v>553929.4</v>
      </c>
      <c r="DL166" s="104">
        <v>0</v>
      </c>
    </row>
    <row r="167" spans="1:116" s="15" customFormat="1" ht="254.45" customHeight="1" x14ac:dyDescent="0.25">
      <c r="A167" s="100" t="s">
        <v>252</v>
      </c>
      <c r="B167" s="100" t="s">
        <v>2451</v>
      </c>
      <c r="C167" s="100" t="s">
        <v>87</v>
      </c>
      <c r="D167" s="101" t="str">
        <f>"Chemistry 293"</f>
        <v>Chemistry 293</v>
      </c>
      <c r="E167" s="102" t="s">
        <v>2452</v>
      </c>
      <c r="F167" s="100">
        <v>14</v>
      </c>
      <c r="G167" s="100">
        <v>6</v>
      </c>
      <c r="H167" s="100">
        <v>0.43</v>
      </c>
      <c r="I167" s="100">
        <v>23</v>
      </c>
      <c r="J167" s="100">
        <v>9</v>
      </c>
      <c r="K167" s="100">
        <v>7</v>
      </c>
      <c r="L167" s="100">
        <v>1</v>
      </c>
      <c r="M167" s="100">
        <v>2</v>
      </c>
      <c r="N167" s="100">
        <v>6</v>
      </c>
      <c r="O167" s="100">
        <v>5</v>
      </c>
      <c r="P167" s="100">
        <v>1.69</v>
      </c>
      <c r="Q167" s="100">
        <v>115.17</v>
      </c>
      <c r="R167" s="100">
        <v>3</v>
      </c>
      <c r="S167" s="100">
        <v>1</v>
      </c>
      <c r="T167" s="100">
        <v>0</v>
      </c>
      <c r="U167" s="100">
        <v>0</v>
      </c>
      <c r="V167" s="100">
        <v>0</v>
      </c>
      <c r="W167" s="100">
        <v>0</v>
      </c>
      <c r="X167" s="100">
        <v>1</v>
      </c>
      <c r="Y167" s="100">
        <v>1</v>
      </c>
      <c r="Z167" s="100">
        <v>0</v>
      </c>
      <c r="AA167" s="100">
        <v>0</v>
      </c>
      <c r="AB167" s="100">
        <v>1</v>
      </c>
      <c r="AC167" s="100">
        <v>0</v>
      </c>
      <c r="AD167" s="100">
        <v>0</v>
      </c>
      <c r="AE167" s="100">
        <v>1</v>
      </c>
      <c r="AF167" s="100">
        <v>0</v>
      </c>
      <c r="AG167" s="100">
        <v>0</v>
      </c>
      <c r="AH167" s="100">
        <v>0</v>
      </c>
      <c r="AI167" s="100">
        <v>0</v>
      </c>
      <c r="AJ167" s="100">
        <v>1</v>
      </c>
      <c r="AK167" s="100">
        <v>1</v>
      </c>
      <c r="AL167" s="100">
        <v>0</v>
      </c>
      <c r="AM167" s="100">
        <v>1</v>
      </c>
      <c r="AN167" s="100">
        <v>1</v>
      </c>
      <c r="AO167" s="100">
        <v>0</v>
      </c>
      <c r="AP167" s="100">
        <v>1</v>
      </c>
      <c r="AQ167" s="100">
        <v>0</v>
      </c>
      <c r="AR167" s="100">
        <v>0</v>
      </c>
      <c r="AS167" s="100">
        <v>0</v>
      </c>
      <c r="AT167" s="100">
        <v>0</v>
      </c>
      <c r="AU167" s="100">
        <v>0</v>
      </c>
      <c r="AV167" s="100">
        <v>0</v>
      </c>
      <c r="AW167" s="100">
        <v>0</v>
      </c>
      <c r="AX167" s="100">
        <v>0</v>
      </c>
      <c r="AY167" s="100">
        <v>0</v>
      </c>
      <c r="AZ167" s="100">
        <v>0</v>
      </c>
      <c r="BA167" s="100">
        <v>0</v>
      </c>
      <c r="BB167" s="100">
        <v>0</v>
      </c>
      <c r="BC167" s="100">
        <v>0</v>
      </c>
      <c r="BD167" s="100">
        <v>0</v>
      </c>
      <c r="BE167" s="100">
        <v>0</v>
      </c>
      <c r="BF167" s="100">
        <v>0</v>
      </c>
      <c r="BG167" s="100">
        <v>0</v>
      </c>
      <c r="BH167" s="100">
        <v>0</v>
      </c>
      <c r="BI167" s="100">
        <v>0</v>
      </c>
      <c r="BJ167" s="100">
        <v>4</v>
      </c>
      <c r="BK167" s="100">
        <v>0</v>
      </c>
      <c r="BL167" s="100">
        <v>0</v>
      </c>
      <c r="BM167" s="100">
        <v>0</v>
      </c>
      <c r="BN167" s="100">
        <v>0</v>
      </c>
      <c r="BO167" s="100">
        <v>0</v>
      </c>
      <c r="BP167" s="100">
        <v>0</v>
      </c>
      <c r="BQ167" s="100">
        <v>0</v>
      </c>
      <c r="BR167" s="100">
        <v>1</v>
      </c>
      <c r="BS167" s="100">
        <v>1</v>
      </c>
      <c r="BT167" s="100">
        <v>0</v>
      </c>
      <c r="BU167" s="100">
        <v>0</v>
      </c>
      <c r="BV167" s="100">
        <v>0</v>
      </c>
      <c r="BW167" s="100">
        <v>0</v>
      </c>
      <c r="BX167" s="100">
        <v>0</v>
      </c>
      <c r="BY167" s="100">
        <v>0</v>
      </c>
      <c r="BZ167" s="100">
        <v>0</v>
      </c>
      <c r="CA167" s="100">
        <v>0</v>
      </c>
      <c r="CB167" s="100" t="s">
        <v>2090</v>
      </c>
      <c r="CC167" s="100">
        <v>0</v>
      </c>
      <c r="CD167" s="100">
        <v>0</v>
      </c>
      <c r="CE167" s="100">
        <v>0</v>
      </c>
      <c r="CF167" s="100">
        <v>0</v>
      </c>
      <c r="CG167" s="103">
        <v>0</v>
      </c>
      <c r="CH167" s="103">
        <v>0</v>
      </c>
      <c r="CI167" s="103">
        <v>18259.79392</v>
      </c>
      <c r="CJ167" s="103">
        <v>0</v>
      </c>
      <c r="CK167" s="103">
        <f t="shared" si="8"/>
        <v>0</v>
      </c>
      <c r="CL167" s="103">
        <v>0</v>
      </c>
      <c r="CM167" s="103">
        <v>406905.9</v>
      </c>
      <c r="CN167" s="104">
        <v>0</v>
      </c>
      <c r="CO167" s="103">
        <v>0</v>
      </c>
      <c r="CP167" s="103">
        <v>0</v>
      </c>
      <c r="CQ167" s="103">
        <v>0</v>
      </c>
      <c r="CR167" s="103">
        <v>0</v>
      </c>
      <c r="CS167" s="103">
        <f t="shared" si="9"/>
        <v>0</v>
      </c>
      <c r="CT167" s="103">
        <v>2844.5</v>
      </c>
      <c r="CU167" s="103">
        <v>631860.4</v>
      </c>
      <c r="CV167" s="104">
        <v>4.5017855209790007E-3</v>
      </c>
      <c r="CW167" s="103">
        <v>0</v>
      </c>
      <c r="CX167" s="103">
        <v>0</v>
      </c>
      <c r="CY167" s="103">
        <v>4586.0798000000004</v>
      </c>
      <c r="CZ167" s="103">
        <v>0</v>
      </c>
      <c r="DA167" s="103">
        <f t="shared" si="10"/>
        <v>0</v>
      </c>
      <c r="DB167" s="103">
        <v>0</v>
      </c>
      <c r="DC167" s="103">
        <v>458278.5</v>
      </c>
      <c r="DD167" s="104">
        <v>0</v>
      </c>
      <c r="DE167" s="103">
        <v>0</v>
      </c>
      <c r="DF167" s="103">
        <v>0</v>
      </c>
      <c r="DG167" s="103">
        <v>13919.610060000001</v>
      </c>
      <c r="DH167" s="103">
        <v>0</v>
      </c>
      <c r="DI167" s="103">
        <f t="shared" si="11"/>
        <v>0</v>
      </c>
      <c r="DJ167" s="103">
        <v>2904.1</v>
      </c>
      <c r="DK167" s="103">
        <v>671831.7</v>
      </c>
      <c r="DL167" s="104">
        <v>4.3226599757052253E-3</v>
      </c>
    </row>
    <row r="168" spans="1:116" s="15" customFormat="1" ht="265.7" customHeight="1" x14ac:dyDescent="0.25">
      <c r="A168" s="100" t="s">
        <v>253</v>
      </c>
      <c r="B168" s="100" t="s">
        <v>2453</v>
      </c>
      <c r="C168" s="100" t="s">
        <v>87</v>
      </c>
      <c r="D168" s="105" t="str">
        <f>"Chemistry 322"</f>
        <v>Chemistry 322</v>
      </c>
      <c r="E168" s="102" t="s">
        <v>2454</v>
      </c>
      <c r="F168" s="100">
        <v>27</v>
      </c>
      <c r="G168" s="100">
        <v>10</v>
      </c>
      <c r="H168" s="100">
        <v>0.37</v>
      </c>
      <c r="I168" s="100">
        <v>38</v>
      </c>
      <c r="J168" s="100">
        <v>11</v>
      </c>
      <c r="K168" s="100">
        <v>9</v>
      </c>
      <c r="L168" s="100">
        <v>3</v>
      </c>
      <c r="M168" s="100">
        <v>3</v>
      </c>
      <c r="N168" s="100">
        <v>6</v>
      </c>
      <c r="O168" s="100">
        <v>1</v>
      </c>
      <c r="P168" s="100">
        <v>7.36</v>
      </c>
      <c r="Q168" s="100">
        <v>89.99</v>
      </c>
      <c r="R168" s="100">
        <v>8</v>
      </c>
      <c r="S168" s="100">
        <v>1</v>
      </c>
      <c r="T168" s="100">
        <v>0</v>
      </c>
      <c r="U168" s="100">
        <v>0</v>
      </c>
      <c r="V168" s="100">
        <v>0</v>
      </c>
      <c r="W168" s="100">
        <v>0</v>
      </c>
      <c r="X168" s="100">
        <v>0</v>
      </c>
      <c r="Y168" s="100">
        <v>0</v>
      </c>
      <c r="Z168" s="100">
        <v>1</v>
      </c>
      <c r="AA168" s="100">
        <v>0</v>
      </c>
      <c r="AB168" s="100">
        <v>1</v>
      </c>
      <c r="AC168" s="100">
        <v>0</v>
      </c>
      <c r="AD168" s="100">
        <v>0</v>
      </c>
      <c r="AE168" s="100">
        <v>0</v>
      </c>
      <c r="AF168" s="100">
        <v>0</v>
      </c>
      <c r="AG168" s="100">
        <v>1</v>
      </c>
      <c r="AH168" s="100">
        <v>0</v>
      </c>
      <c r="AI168" s="100">
        <v>0</v>
      </c>
      <c r="AJ168" s="100">
        <v>1</v>
      </c>
      <c r="AK168" s="100">
        <v>1</v>
      </c>
      <c r="AL168" s="100">
        <v>0</v>
      </c>
      <c r="AM168" s="100">
        <v>1</v>
      </c>
      <c r="AN168" s="100">
        <v>1</v>
      </c>
      <c r="AO168" s="100">
        <v>0</v>
      </c>
      <c r="AP168" s="100">
        <v>0</v>
      </c>
      <c r="AQ168" s="100">
        <v>0</v>
      </c>
      <c r="AR168" s="100">
        <v>0</v>
      </c>
      <c r="AS168" s="100">
        <v>0</v>
      </c>
      <c r="AT168" s="100">
        <v>1</v>
      </c>
      <c r="AU168" s="100">
        <v>0</v>
      </c>
      <c r="AV168" s="100">
        <v>1</v>
      </c>
      <c r="AW168" s="100">
        <v>0</v>
      </c>
      <c r="AX168" s="100">
        <v>0</v>
      </c>
      <c r="AY168" s="100">
        <v>0</v>
      </c>
      <c r="AZ168" s="100">
        <v>0</v>
      </c>
      <c r="BA168" s="100">
        <v>0</v>
      </c>
      <c r="BB168" s="100">
        <v>0</v>
      </c>
      <c r="BC168" s="100">
        <v>0</v>
      </c>
      <c r="BD168" s="100">
        <v>0</v>
      </c>
      <c r="BE168" s="100">
        <v>0</v>
      </c>
      <c r="BF168" s="100">
        <v>0</v>
      </c>
      <c r="BG168" s="100">
        <v>0</v>
      </c>
      <c r="BH168" s="100">
        <v>0</v>
      </c>
      <c r="BI168" s="100">
        <v>0</v>
      </c>
      <c r="BJ168" s="100">
        <v>2</v>
      </c>
      <c r="BK168" s="100">
        <v>0</v>
      </c>
      <c r="BL168" s="100">
        <v>1</v>
      </c>
      <c r="BM168" s="100">
        <v>0</v>
      </c>
      <c r="BN168" s="100">
        <v>0</v>
      </c>
      <c r="BO168" s="100">
        <v>0</v>
      </c>
      <c r="BP168" s="100">
        <v>0</v>
      </c>
      <c r="BQ168" s="100">
        <v>0</v>
      </c>
      <c r="BR168" s="100">
        <v>0</v>
      </c>
      <c r="BS168" s="100">
        <v>0</v>
      </c>
      <c r="BT168" s="100">
        <v>0</v>
      </c>
      <c r="BU168" s="100">
        <v>0</v>
      </c>
      <c r="BV168" s="100">
        <v>1</v>
      </c>
      <c r="BW168" s="100">
        <v>0</v>
      </c>
      <c r="BX168" s="100">
        <v>0</v>
      </c>
      <c r="BY168" s="100">
        <v>0</v>
      </c>
      <c r="BZ168" s="100">
        <v>0</v>
      </c>
      <c r="CA168" s="100">
        <v>0</v>
      </c>
      <c r="CB168" s="100" t="s">
        <v>2090</v>
      </c>
      <c r="CC168" s="100">
        <v>0</v>
      </c>
      <c r="CD168" s="100">
        <v>0</v>
      </c>
      <c r="CE168" s="100">
        <v>0</v>
      </c>
      <c r="CF168" s="100">
        <v>0</v>
      </c>
      <c r="CG168" s="103">
        <v>27686.612590000001</v>
      </c>
      <c r="CH168" s="103">
        <v>3.65</v>
      </c>
      <c r="CI168" s="103">
        <v>245954.23248000001</v>
      </c>
      <c r="CJ168" s="103">
        <v>5.25</v>
      </c>
      <c r="CK168" s="103">
        <f t="shared" si="8"/>
        <v>19.162499999999998</v>
      </c>
      <c r="CL168" s="103">
        <v>0</v>
      </c>
      <c r="CM168" s="103">
        <v>834903.6</v>
      </c>
      <c r="CN168" s="104">
        <v>0</v>
      </c>
      <c r="CO168" s="103">
        <v>44364.354090000001</v>
      </c>
      <c r="CP168" s="103">
        <v>3.43</v>
      </c>
      <c r="CQ168" s="103">
        <v>14383.166660000001</v>
      </c>
      <c r="CR168" s="103">
        <v>1.99</v>
      </c>
      <c r="CS168" s="103">
        <f t="shared" si="9"/>
        <v>6.8257000000000003</v>
      </c>
      <c r="CT168" s="103">
        <v>0</v>
      </c>
      <c r="CU168" s="103">
        <v>257650</v>
      </c>
      <c r="CV168" s="104">
        <v>0</v>
      </c>
      <c r="CW168" s="103">
        <v>0</v>
      </c>
      <c r="CX168" s="103">
        <v>0</v>
      </c>
      <c r="CY168" s="103">
        <v>2452.5904999999998</v>
      </c>
      <c r="CZ168" s="103">
        <v>0.97431355181576629</v>
      </c>
      <c r="DA168" s="103">
        <f t="shared" si="10"/>
        <v>0</v>
      </c>
      <c r="DB168" s="103">
        <v>994.2</v>
      </c>
      <c r="DC168" s="103">
        <v>587862.30000000005</v>
      </c>
      <c r="DD168" s="104">
        <v>1.6912123808585785E-3</v>
      </c>
      <c r="DE168" s="103">
        <v>0</v>
      </c>
      <c r="DF168" s="103">
        <v>0</v>
      </c>
      <c r="DG168" s="103">
        <v>6544.4196099999999</v>
      </c>
      <c r="DH168" s="103">
        <v>0</v>
      </c>
      <c r="DI168" s="103">
        <f t="shared" si="11"/>
        <v>0</v>
      </c>
      <c r="DJ168" s="103">
        <v>0</v>
      </c>
      <c r="DK168" s="103">
        <v>403453.4</v>
      </c>
      <c r="DL168" s="104">
        <v>0</v>
      </c>
    </row>
    <row r="169" spans="1:116" s="15" customFormat="1" ht="265.7" customHeight="1" x14ac:dyDescent="0.25">
      <c r="A169" s="100" t="s">
        <v>254</v>
      </c>
      <c r="B169" s="100" t="s">
        <v>2455</v>
      </c>
      <c r="C169" s="100" t="s">
        <v>87</v>
      </c>
      <c r="D169" s="101" t="str">
        <f>"Chemistry 197"</f>
        <v>Chemistry 197</v>
      </c>
      <c r="E169" s="102" t="s">
        <v>2456</v>
      </c>
      <c r="F169" s="100">
        <v>19</v>
      </c>
      <c r="G169" s="100">
        <v>3</v>
      </c>
      <c r="H169" s="100">
        <v>0.16</v>
      </c>
      <c r="I169" s="100">
        <v>25</v>
      </c>
      <c r="J169" s="100">
        <v>6</v>
      </c>
      <c r="K169" s="100">
        <v>5</v>
      </c>
      <c r="L169" s="100">
        <v>2</v>
      </c>
      <c r="M169" s="100">
        <v>3</v>
      </c>
      <c r="N169" s="100">
        <v>3</v>
      </c>
      <c r="O169" s="100">
        <v>1</v>
      </c>
      <c r="P169" s="100">
        <v>3.87</v>
      </c>
      <c r="Q169" s="100">
        <v>64.36</v>
      </c>
      <c r="R169" s="100">
        <v>5</v>
      </c>
      <c r="S169" s="100">
        <v>1</v>
      </c>
      <c r="T169" s="100">
        <v>0</v>
      </c>
      <c r="U169" s="100">
        <v>0</v>
      </c>
      <c r="V169" s="100">
        <v>0</v>
      </c>
      <c r="W169" s="100">
        <v>1</v>
      </c>
      <c r="X169" s="100">
        <v>0</v>
      </c>
      <c r="Y169" s="100">
        <v>0</v>
      </c>
      <c r="Z169" s="100">
        <v>1</v>
      </c>
      <c r="AA169" s="100">
        <v>0</v>
      </c>
      <c r="AB169" s="100">
        <v>0</v>
      </c>
      <c r="AC169" s="100">
        <v>1</v>
      </c>
      <c r="AD169" s="100">
        <v>0</v>
      </c>
      <c r="AE169" s="100">
        <v>0</v>
      </c>
      <c r="AF169" s="100">
        <v>0</v>
      </c>
      <c r="AG169" s="100">
        <v>1</v>
      </c>
      <c r="AH169" s="100">
        <v>0</v>
      </c>
      <c r="AI169" s="100">
        <v>0</v>
      </c>
      <c r="AJ169" s="100">
        <v>1</v>
      </c>
      <c r="AK169" s="100">
        <v>0</v>
      </c>
      <c r="AL169" s="100">
        <v>0</v>
      </c>
      <c r="AM169" s="100">
        <v>0</v>
      </c>
      <c r="AN169" s="100">
        <v>1</v>
      </c>
      <c r="AO169" s="100">
        <v>0</v>
      </c>
      <c r="AP169" s="100">
        <v>0</v>
      </c>
      <c r="AQ169" s="100">
        <v>0</v>
      </c>
      <c r="AR169" s="100">
        <v>0</v>
      </c>
      <c r="AS169" s="100">
        <v>0</v>
      </c>
      <c r="AT169" s="100">
        <v>0</v>
      </c>
      <c r="AU169" s="100">
        <v>0</v>
      </c>
      <c r="AV169" s="100">
        <v>1</v>
      </c>
      <c r="AW169" s="100">
        <v>0</v>
      </c>
      <c r="AX169" s="100">
        <v>0</v>
      </c>
      <c r="AY169" s="100">
        <v>0</v>
      </c>
      <c r="AZ169" s="100">
        <v>0</v>
      </c>
      <c r="BA169" s="100">
        <v>0</v>
      </c>
      <c r="BB169" s="100">
        <v>0</v>
      </c>
      <c r="BC169" s="100">
        <v>0</v>
      </c>
      <c r="BD169" s="100">
        <v>0</v>
      </c>
      <c r="BE169" s="100">
        <v>0</v>
      </c>
      <c r="BF169" s="100">
        <v>0</v>
      </c>
      <c r="BG169" s="100">
        <v>0</v>
      </c>
      <c r="BH169" s="100">
        <v>0</v>
      </c>
      <c r="BI169" s="100">
        <v>0</v>
      </c>
      <c r="BJ169" s="100">
        <v>1</v>
      </c>
      <c r="BK169" s="100">
        <v>0</v>
      </c>
      <c r="BL169" s="100">
        <v>0</v>
      </c>
      <c r="BM169" s="100">
        <v>0</v>
      </c>
      <c r="BN169" s="100">
        <v>0</v>
      </c>
      <c r="BO169" s="100">
        <v>0</v>
      </c>
      <c r="BP169" s="100">
        <v>0</v>
      </c>
      <c r="BQ169" s="100">
        <v>1</v>
      </c>
      <c r="BR169" s="100">
        <v>0</v>
      </c>
      <c r="BS169" s="100">
        <v>0</v>
      </c>
      <c r="BT169" s="100">
        <v>0</v>
      </c>
      <c r="BU169" s="100">
        <v>1</v>
      </c>
      <c r="BV169" s="100">
        <v>0</v>
      </c>
      <c r="BW169" s="100">
        <v>0</v>
      </c>
      <c r="BX169" s="100">
        <v>0</v>
      </c>
      <c r="BY169" s="100">
        <v>0</v>
      </c>
      <c r="BZ169" s="100">
        <v>0</v>
      </c>
      <c r="CA169" s="100">
        <v>0</v>
      </c>
      <c r="CB169" s="100" t="s">
        <v>2090</v>
      </c>
      <c r="CC169" s="100">
        <v>0</v>
      </c>
      <c r="CD169" s="100">
        <v>0</v>
      </c>
      <c r="CE169" s="100">
        <v>0</v>
      </c>
      <c r="CF169" s="100">
        <v>0</v>
      </c>
      <c r="CG169" s="103">
        <v>210916.04487000001</v>
      </c>
      <c r="CH169" s="103">
        <v>15.95</v>
      </c>
      <c r="CI169" s="103">
        <v>1371918.0754499999</v>
      </c>
      <c r="CJ169" s="103">
        <v>18.37</v>
      </c>
      <c r="CK169" s="103">
        <f t="shared" si="8"/>
        <v>293.00150000000002</v>
      </c>
      <c r="CL169" s="103">
        <v>27858.2</v>
      </c>
      <c r="CM169" s="103">
        <v>488972.4</v>
      </c>
      <c r="CN169" s="104">
        <v>5.6972949802483741E-2</v>
      </c>
      <c r="CO169" s="103">
        <v>0</v>
      </c>
      <c r="CP169" s="103">
        <v>0</v>
      </c>
      <c r="CQ169" s="103">
        <v>852.13811999999996</v>
      </c>
      <c r="CR169" s="103">
        <v>0</v>
      </c>
      <c r="CS169" s="103">
        <f t="shared" si="9"/>
        <v>0</v>
      </c>
      <c r="CT169" s="103">
        <v>5505.6</v>
      </c>
      <c r="CU169" s="103">
        <v>880065.3</v>
      </c>
      <c r="CV169" s="104">
        <v>6.2558994201907516E-3</v>
      </c>
      <c r="CW169" s="103">
        <v>657982.65205999999</v>
      </c>
      <c r="CX169" s="103">
        <v>57.34</v>
      </c>
      <c r="CY169" s="103">
        <v>2089216.2479600001</v>
      </c>
      <c r="CZ169" s="103">
        <v>37.978887439212428</v>
      </c>
      <c r="DA169" s="103">
        <f t="shared" si="10"/>
        <v>2177.7094057644408</v>
      </c>
      <c r="DB169" s="103">
        <v>81586.8</v>
      </c>
      <c r="DC169" s="103">
        <v>792182.9</v>
      </c>
      <c r="DD169" s="104">
        <v>0.10298985246967587</v>
      </c>
      <c r="DE169" s="103">
        <v>0</v>
      </c>
      <c r="DF169" s="103">
        <v>0</v>
      </c>
      <c r="DG169" s="103">
        <v>8054.2927</v>
      </c>
      <c r="DH169" s="103">
        <v>0</v>
      </c>
      <c r="DI169" s="103">
        <f t="shared" si="11"/>
        <v>0</v>
      </c>
      <c r="DJ169" s="103">
        <v>2994</v>
      </c>
      <c r="DK169" s="103">
        <v>701005.9</v>
      </c>
      <c r="DL169" s="104">
        <v>4.2710054223509385E-3</v>
      </c>
    </row>
    <row r="170" spans="1:116" s="15" customFormat="1" ht="265.7" customHeight="1" x14ac:dyDescent="0.25">
      <c r="A170" s="100" t="s">
        <v>255</v>
      </c>
      <c r="B170" s="100" t="s">
        <v>2457</v>
      </c>
      <c r="C170" s="100" t="s">
        <v>87</v>
      </c>
      <c r="D170" s="101" t="str">
        <f>"Chemistry 238"</f>
        <v>Chemistry 238</v>
      </c>
      <c r="E170" s="102" t="s">
        <v>2458</v>
      </c>
      <c r="F170" s="100">
        <v>21</v>
      </c>
      <c r="G170" s="100">
        <v>6</v>
      </c>
      <c r="H170" s="100">
        <v>0.28999999999999998</v>
      </c>
      <c r="I170" s="100">
        <v>31</v>
      </c>
      <c r="J170" s="100">
        <v>10</v>
      </c>
      <c r="K170" s="100">
        <v>6</v>
      </c>
      <c r="L170" s="100">
        <v>3</v>
      </c>
      <c r="M170" s="100">
        <v>2</v>
      </c>
      <c r="N170" s="100">
        <v>5</v>
      </c>
      <c r="O170" s="100">
        <v>0</v>
      </c>
      <c r="P170" s="100">
        <v>6.58</v>
      </c>
      <c r="Q170" s="100">
        <v>62.21</v>
      </c>
      <c r="R170" s="100">
        <v>4</v>
      </c>
      <c r="S170" s="100">
        <v>1</v>
      </c>
      <c r="T170" s="100">
        <v>0</v>
      </c>
      <c r="U170" s="100">
        <v>0</v>
      </c>
      <c r="V170" s="100">
        <v>0</v>
      </c>
      <c r="W170" s="100">
        <v>0</v>
      </c>
      <c r="X170" s="100">
        <v>0</v>
      </c>
      <c r="Y170" s="100">
        <v>0</v>
      </c>
      <c r="Z170" s="100">
        <v>0</v>
      </c>
      <c r="AA170" s="100">
        <v>1</v>
      </c>
      <c r="AB170" s="100">
        <v>1</v>
      </c>
      <c r="AC170" s="100">
        <v>0</v>
      </c>
      <c r="AD170" s="100">
        <v>0</v>
      </c>
      <c r="AE170" s="100">
        <v>0</v>
      </c>
      <c r="AF170" s="100">
        <v>0</v>
      </c>
      <c r="AG170" s="100">
        <v>1</v>
      </c>
      <c r="AH170" s="100">
        <v>0</v>
      </c>
      <c r="AI170" s="100">
        <v>0</v>
      </c>
      <c r="AJ170" s="100">
        <v>1</v>
      </c>
      <c r="AK170" s="100">
        <v>0</v>
      </c>
      <c r="AL170" s="100">
        <v>0</v>
      </c>
      <c r="AM170" s="100">
        <v>0</v>
      </c>
      <c r="AN170" s="100">
        <v>0</v>
      </c>
      <c r="AO170" s="100">
        <v>0</v>
      </c>
      <c r="AP170" s="100">
        <v>0</v>
      </c>
      <c r="AQ170" s="100">
        <v>0</v>
      </c>
      <c r="AR170" s="100">
        <v>0</v>
      </c>
      <c r="AS170" s="100">
        <v>0</v>
      </c>
      <c r="AT170" s="100">
        <v>1</v>
      </c>
      <c r="AU170" s="100">
        <v>0</v>
      </c>
      <c r="AV170" s="100">
        <v>1</v>
      </c>
      <c r="AW170" s="100">
        <v>0</v>
      </c>
      <c r="AX170" s="100">
        <v>0</v>
      </c>
      <c r="AY170" s="100">
        <v>0</v>
      </c>
      <c r="AZ170" s="100">
        <v>0</v>
      </c>
      <c r="BA170" s="100">
        <v>0</v>
      </c>
      <c r="BB170" s="100">
        <v>0</v>
      </c>
      <c r="BC170" s="100">
        <v>0</v>
      </c>
      <c r="BD170" s="100">
        <v>0</v>
      </c>
      <c r="BE170" s="100">
        <v>0</v>
      </c>
      <c r="BF170" s="100">
        <v>0</v>
      </c>
      <c r="BG170" s="100">
        <v>0</v>
      </c>
      <c r="BH170" s="100">
        <v>0</v>
      </c>
      <c r="BI170" s="100">
        <v>0</v>
      </c>
      <c r="BJ170" s="100">
        <v>2</v>
      </c>
      <c r="BK170" s="100">
        <v>0</v>
      </c>
      <c r="BL170" s="100">
        <v>0</v>
      </c>
      <c r="BM170" s="100">
        <v>0</v>
      </c>
      <c r="BN170" s="100">
        <v>0</v>
      </c>
      <c r="BO170" s="100">
        <v>0</v>
      </c>
      <c r="BP170" s="100">
        <v>0</v>
      </c>
      <c r="BQ170" s="100">
        <v>0</v>
      </c>
      <c r="BR170" s="100">
        <v>0</v>
      </c>
      <c r="BS170" s="100">
        <v>0</v>
      </c>
      <c r="BT170" s="100">
        <v>0</v>
      </c>
      <c r="BU170" s="100">
        <v>0</v>
      </c>
      <c r="BV170" s="100">
        <v>0</v>
      </c>
      <c r="BW170" s="100">
        <v>0</v>
      </c>
      <c r="BX170" s="100">
        <v>0</v>
      </c>
      <c r="BY170" s="100">
        <v>0</v>
      </c>
      <c r="BZ170" s="100">
        <v>0</v>
      </c>
      <c r="CA170" s="100">
        <v>0</v>
      </c>
      <c r="CB170" s="100" t="s">
        <v>2090</v>
      </c>
      <c r="CC170" s="100">
        <v>0</v>
      </c>
      <c r="CD170" s="100">
        <v>0</v>
      </c>
      <c r="CE170" s="100">
        <v>0</v>
      </c>
      <c r="CF170" s="100">
        <v>0</v>
      </c>
      <c r="CG170" s="103">
        <v>76050.812609999994</v>
      </c>
      <c r="CH170" s="103">
        <v>6.62</v>
      </c>
      <c r="CI170" s="103">
        <v>2176525.7415700001</v>
      </c>
      <c r="CJ170" s="103">
        <v>8.58</v>
      </c>
      <c r="CK170" s="103">
        <f t="shared" si="8"/>
        <v>56.799599999999998</v>
      </c>
      <c r="CL170" s="103">
        <v>153251</v>
      </c>
      <c r="CM170" s="103">
        <v>341938.5</v>
      </c>
      <c r="CN170" s="104">
        <v>0.44818293348072824</v>
      </c>
      <c r="CO170" s="103">
        <v>0</v>
      </c>
      <c r="CP170" s="103">
        <v>0</v>
      </c>
      <c r="CQ170" s="103">
        <v>5868.7746299999999</v>
      </c>
      <c r="CR170" s="103">
        <v>0</v>
      </c>
      <c r="CS170" s="103">
        <f t="shared" si="9"/>
        <v>0</v>
      </c>
      <c r="CT170" s="103">
        <v>0</v>
      </c>
      <c r="CU170" s="103">
        <v>689553.4</v>
      </c>
      <c r="CV170" s="104">
        <v>0</v>
      </c>
      <c r="CW170" s="103">
        <v>0</v>
      </c>
      <c r="CX170" s="103">
        <v>0</v>
      </c>
      <c r="CY170" s="103">
        <v>155318.08452</v>
      </c>
      <c r="CZ170" s="103">
        <v>2.1659037624204536</v>
      </c>
      <c r="DA170" s="103">
        <f t="shared" si="10"/>
        <v>0</v>
      </c>
      <c r="DB170" s="103">
        <v>2963</v>
      </c>
      <c r="DC170" s="103">
        <v>260889.1</v>
      </c>
      <c r="DD170" s="104">
        <v>1.1357316192972417E-2</v>
      </c>
      <c r="DE170" s="103">
        <v>0</v>
      </c>
      <c r="DF170" s="103">
        <v>0</v>
      </c>
      <c r="DG170" s="103">
        <v>3167.4427500000002</v>
      </c>
      <c r="DH170" s="103">
        <v>0</v>
      </c>
      <c r="DI170" s="103">
        <f t="shared" si="11"/>
        <v>0</v>
      </c>
      <c r="DJ170" s="103">
        <v>0</v>
      </c>
      <c r="DK170" s="103">
        <v>774946.9</v>
      </c>
      <c r="DL170" s="104">
        <v>0</v>
      </c>
    </row>
    <row r="171" spans="1:116" s="15" customFormat="1" ht="186.95" customHeight="1" x14ac:dyDescent="0.25">
      <c r="A171" s="100" t="s">
        <v>1977</v>
      </c>
      <c r="B171" s="100" t="s">
        <v>2459</v>
      </c>
      <c r="C171" s="100" t="s">
        <v>87</v>
      </c>
      <c r="D171" s="101" t="str">
        <f>"Chemistry 360"</f>
        <v>Chemistry 360</v>
      </c>
      <c r="E171" s="102" t="s">
        <v>2460</v>
      </c>
      <c r="F171" s="106">
        <v>11</v>
      </c>
      <c r="G171" s="106">
        <v>0</v>
      </c>
      <c r="H171" s="106">
        <v>0</v>
      </c>
      <c r="I171" s="106">
        <v>13</v>
      </c>
      <c r="J171" s="106">
        <v>2</v>
      </c>
      <c r="K171" s="106">
        <v>1</v>
      </c>
      <c r="L171" s="107">
        <v>1</v>
      </c>
      <c r="M171" s="106">
        <v>2</v>
      </c>
      <c r="N171" s="106">
        <v>1</v>
      </c>
      <c r="O171" s="106">
        <v>0</v>
      </c>
      <c r="P171" s="106">
        <v>3.48</v>
      </c>
      <c r="Q171" s="106">
        <v>12.89</v>
      </c>
      <c r="R171" s="106">
        <v>1</v>
      </c>
      <c r="S171" s="108">
        <v>0</v>
      </c>
      <c r="T171" s="108">
        <v>1</v>
      </c>
      <c r="U171" s="108">
        <v>0</v>
      </c>
      <c r="V171" s="107">
        <v>0</v>
      </c>
      <c r="W171" s="107">
        <v>0</v>
      </c>
      <c r="X171" s="107">
        <v>1</v>
      </c>
      <c r="Y171" s="106">
        <v>0</v>
      </c>
      <c r="Z171" s="106">
        <v>0</v>
      </c>
      <c r="AA171" s="106">
        <v>1</v>
      </c>
      <c r="AB171" s="106">
        <v>0</v>
      </c>
      <c r="AC171" s="106">
        <v>1</v>
      </c>
      <c r="AD171" s="106">
        <v>0</v>
      </c>
      <c r="AE171" s="106">
        <v>0</v>
      </c>
      <c r="AF171" s="106">
        <v>0</v>
      </c>
      <c r="AG171" s="106">
        <v>1</v>
      </c>
      <c r="AH171" s="106">
        <v>1</v>
      </c>
      <c r="AI171" s="106">
        <v>0</v>
      </c>
      <c r="AJ171" s="106">
        <v>0</v>
      </c>
      <c r="AK171" s="107">
        <v>0</v>
      </c>
      <c r="AL171" s="107">
        <v>0</v>
      </c>
      <c r="AM171" s="107">
        <v>0</v>
      </c>
      <c r="AN171" s="107">
        <v>0</v>
      </c>
      <c r="AO171" s="106">
        <v>1</v>
      </c>
      <c r="AP171" s="107">
        <v>0</v>
      </c>
      <c r="AQ171" s="107">
        <v>0</v>
      </c>
      <c r="AR171" s="107">
        <v>0</v>
      </c>
      <c r="AS171" s="107">
        <v>0</v>
      </c>
      <c r="AT171" s="107">
        <v>0</v>
      </c>
      <c r="AU171" s="107">
        <v>0</v>
      </c>
      <c r="AV171" s="107">
        <v>0</v>
      </c>
      <c r="AW171" s="107">
        <v>0</v>
      </c>
      <c r="AX171" s="107">
        <v>0</v>
      </c>
      <c r="AY171" s="107">
        <v>0</v>
      </c>
      <c r="AZ171" s="107">
        <v>0</v>
      </c>
      <c r="BA171" s="107">
        <v>0</v>
      </c>
      <c r="BB171" s="107">
        <v>0</v>
      </c>
      <c r="BC171" s="107">
        <v>0</v>
      </c>
      <c r="BD171" s="107">
        <v>0</v>
      </c>
      <c r="BE171" s="107">
        <v>0</v>
      </c>
      <c r="BF171" s="107">
        <v>0</v>
      </c>
      <c r="BG171" s="107">
        <v>0</v>
      </c>
      <c r="BH171" s="107">
        <v>0</v>
      </c>
      <c r="BI171" s="107">
        <v>0</v>
      </c>
      <c r="BJ171" s="100">
        <v>1</v>
      </c>
      <c r="BK171" s="107">
        <v>0</v>
      </c>
      <c r="BL171" s="107">
        <v>0</v>
      </c>
      <c r="BM171" s="107">
        <v>0</v>
      </c>
      <c r="BN171" s="106">
        <v>0</v>
      </c>
      <c r="BO171" s="106">
        <v>0</v>
      </c>
      <c r="BP171" s="106">
        <v>1</v>
      </c>
      <c r="BQ171" s="106">
        <v>0</v>
      </c>
      <c r="BR171" s="107">
        <v>0</v>
      </c>
      <c r="BS171" s="107">
        <v>0</v>
      </c>
      <c r="BT171" s="107">
        <v>0</v>
      </c>
      <c r="BU171" s="107">
        <v>0</v>
      </c>
      <c r="BV171" s="107">
        <v>0</v>
      </c>
      <c r="BW171" s="107">
        <v>0</v>
      </c>
      <c r="BX171" s="107">
        <v>0</v>
      </c>
      <c r="BY171" s="107">
        <v>0</v>
      </c>
      <c r="BZ171" s="100">
        <v>0</v>
      </c>
      <c r="CA171" s="100">
        <v>0</v>
      </c>
      <c r="CB171" s="107" t="s">
        <v>2090</v>
      </c>
      <c r="CC171" s="107">
        <v>0</v>
      </c>
      <c r="CD171" s="107">
        <v>0</v>
      </c>
      <c r="CE171" s="107">
        <v>0</v>
      </c>
      <c r="CF171" s="107">
        <v>0</v>
      </c>
      <c r="CG171" s="109">
        <v>362321.02152000001</v>
      </c>
      <c r="CH171" s="109">
        <v>24.62</v>
      </c>
      <c r="CI171" s="109">
        <v>4186314.32076</v>
      </c>
      <c r="CJ171" s="109">
        <v>40.15</v>
      </c>
      <c r="CK171" s="109">
        <f>CJ171*CH171</f>
        <v>988.49300000000005</v>
      </c>
      <c r="CL171" s="110">
        <v>399049.1</v>
      </c>
      <c r="CM171" s="110">
        <v>303819.40000000002</v>
      </c>
      <c r="CN171" s="111">
        <v>1.313441801280629</v>
      </c>
      <c r="CO171" s="109">
        <v>259030.45525</v>
      </c>
      <c r="CP171" s="110">
        <v>11.55</v>
      </c>
      <c r="CQ171" s="112">
        <v>3893861.6734000002</v>
      </c>
      <c r="CR171" s="110">
        <v>7.63</v>
      </c>
      <c r="CS171" s="109">
        <f>CR171*CP171</f>
        <v>88.126500000000007</v>
      </c>
      <c r="CT171" s="110">
        <v>56982.3</v>
      </c>
      <c r="CU171" s="110">
        <v>244648.9</v>
      </c>
      <c r="CV171" s="111">
        <v>0.23291459720440191</v>
      </c>
      <c r="CW171" s="110">
        <v>0</v>
      </c>
      <c r="CX171" s="110">
        <v>0</v>
      </c>
      <c r="CY171" s="109">
        <v>1947.04467</v>
      </c>
      <c r="CZ171" s="112">
        <v>0</v>
      </c>
      <c r="DA171" s="113">
        <f>CZ171*CX171</f>
        <v>0</v>
      </c>
      <c r="DB171" s="110">
        <v>4923.7</v>
      </c>
      <c r="DC171" s="110">
        <v>323296.59999999998</v>
      </c>
      <c r="DD171" s="114">
        <v>1.5229668360261135E-2</v>
      </c>
      <c r="DE171" s="109">
        <v>433775.87826999999</v>
      </c>
      <c r="DF171" s="109">
        <v>20.11</v>
      </c>
      <c r="DG171" s="112">
        <v>4735489.8514999999</v>
      </c>
      <c r="DH171" s="112">
        <v>26.1</v>
      </c>
      <c r="DI171" s="111">
        <f>DH171*DF171</f>
        <v>524.87099999999998</v>
      </c>
      <c r="DJ171" s="110">
        <v>313707.2</v>
      </c>
      <c r="DK171" s="110">
        <v>291593.90000000002</v>
      </c>
      <c r="DL171" s="111">
        <v>1.0758359485572229</v>
      </c>
    </row>
    <row r="172" spans="1:116" s="15" customFormat="1" ht="265.7" customHeight="1" x14ac:dyDescent="0.25">
      <c r="A172" s="100" t="s">
        <v>256</v>
      </c>
      <c r="B172" s="100" t="s">
        <v>2461</v>
      </c>
      <c r="C172" s="100" t="s">
        <v>87</v>
      </c>
      <c r="D172" s="101" t="str">
        <f>"Chemistry 371"</f>
        <v>Chemistry 371</v>
      </c>
      <c r="E172" s="102" t="s">
        <v>2462</v>
      </c>
      <c r="F172" s="100">
        <v>20</v>
      </c>
      <c r="G172" s="100">
        <v>3</v>
      </c>
      <c r="H172" s="100">
        <v>0.15</v>
      </c>
      <c r="I172" s="100">
        <v>26</v>
      </c>
      <c r="J172" s="100">
        <v>6</v>
      </c>
      <c r="K172" s="100">
        <v>5</v>
      </c>
      <c r="L172" s="100">
        <v>1</v>
      </c>
      <c r="M172" s="100">
        <v>2</v>
      </c>
      <c r="N172" s="100">
        <v>4</v>
      </c>
      <c r="O172" s="100">
        <v>1</v>
      </c>
      <c r="P172" s="100">
        <v>4.54</v>
      </c>
      <c r="Q172" s="100">
        <v>72.47</v>
      </c>
      <c r="R172" s="100">
        <v>3</v>
      </c>
      <c r="S172" s="100">
        <v>1</v>
      </c>
      <c r="T172" s="100">
        <v>0</v>
      </c>
      <c r="U172" s="100">
        <v>0</v>
      </c>
      <c r="V172" s="100">
        <v>0</v>
      </c>
      <c r="W172" s="100">
        <v>0</v>
      </c>
      <c r="X172" s="100">
        <v>1</v>
      </c>
      <c r="Y172" s="100">
        <v>0</v>
      </c>
      <c r="Z172" s="100">
        <v>1</v>
      </c>
      <c r="AA172" s="100">
        <v>0</v>
      </c>
      <c r="AB172" s="100">
        <v>1</v>
      </c>
      <c r="AC172" s="100">
        <v>0</v>
      </c>
      <c r="AD172" s="100">
        <v>0</v>
      </c>
      <c r="AE172" s="100">
        <v>0</v>
      </c>
      <c r="AF172" s="100">
        <v>0</v>
      </c>
      <c r="AG172" s="100">
        <v>1</v>
      </c>
      <c r="AH172" s="100">
        <v>0</v>
      </c>
      <c r="AI172" s="100">
        <v>0</v>
      </c>
      <c r="AJ172" s="100">
        <v>1</v>
      </c>
      <c r="AK172" s="100">
        <v>1</v>
      </c>
      <c r="AL172" s="100">
        <v>1</v>
      </c>
      <c r="AM172" s="100">
        <v>0</v>
      </c>
      <c r="AN172" s="100">
        <v>0</v>
      </c>
      <c r="AO172" s="100">
        <v>1</v>
      </c>
      <c r="AP172" s="100">
        <v>0</v>
      </c>
      <c r="AQ172" s="100">
        <v>0</v>
      </c>
      <c r="AR172" s="100">
        <v>0</v>
      </c>
      <c r="AS172" s="100">
        <v>0</v>
      </c>
      <c r="AT172" s="100">
        <v>0</v>
      </c>
      <c r="AU172" s="100">
        <v>0</v>
      </c>
      <c r="AV172" s="100">
        <v>0</v>
      </c>
      <c r="AW172" s="100">
        <v>0</v>
      </c>
      <c r="AX172" s="100">
        <v>1</v>
      </c>
      <c r="AY172" s="100">
        <v>0</v>
      </c>
      <c r="AZ172" s="100">
        <v>0</v>
      </c>
      <c r="BA172" s="100">
        <v>1</v>
      </c>
      <c r="BB172" s="100">
        <v>0</v>
      </c>
      <c r="BC172" s="100">
        <v>0</v>
      </c>
      <c r="BD172" s="100">
        <v>1</v>
      </c>
      <c r="BE172" s="100">
        <v>0</v>
      </c>
      <c r="BF172" s="100">
        <v>0</v>
      </c>
      <c r="BG172" s="100">
        <v>0</v>
      </c>
      <c r="BH172" s="100">
        <v>0</v>
      </c>
      <c r="BI172" s="100">
        <v>0</v>
      </c>
      <c r="BJ172" s="100">
        <v>3</v>
      </c>
      <c r="BK172" s="100">
        <v>0</v>
      </c>
      <c r="BL172" s="100">
        <v>0</v>
      </c>
      <c r="BM172" s="100">
        <v>0</v>
      </c>
      <c r="BN172" s="100">
        <v>1</v>
      </c>
      <c r="BO172" s="100">
        <v>0</v>
      </c>
      <c r="BP172" s="100">
        <v>0</v>
      </c>
      <c r="BQ172" s="100">
        <v>0</v>
      </c>
      <c r="BR172" s="100">
        <v>0</v>
      </c>
      <c r="BS172" s="100">
        <v>0</v>
      </c>
      <c r="BT172" s="100">
        <v>0</v>
      </c>
      <c r="BU172" s="100">
        <v>0</v>
      </c>
      <c r="BV172" s="100">
        <v>0</v>
      </c>
      <c r="BW172" s="100">
        <v>0</v>
      </c>
      <c r="BX172" s="100">
        <v>0</v>
      </c>
      <c r="BY172" s="100">
        <v>0</v>
      </c>
      <c r="BZ172" s="100">
        <v>0</v>
      </c>
      <c r="CA172" s="100">
        <v>0</v>
      </c>
      <c r="CB172" s="100" t="s">
        <v>2090</v>
      </c>
      <c r="CC172" s="100">
        <v>0</v>
      </c>
      <c r="CD172" s="100">
        <v>0</v>
      </c>
      <c r="CE172" s="100">
        <v>0</v>
      </c>
      <c r="CF172" s="100">
        <v>0</v>
      </c>
      <c r="CG172" s="103">
        <v>48400.044609999997</v>
      </c>
      <c r="CH172" s="103">
        <v>6.38</v>
      </c>
      <c r="CI172" s="103">
        <v>531289.83180000004</v>
      </c>
      <c r="CJ172" s="103">
        <v>8.5399999999999991</v>
      </c>
      <c r="CK172" s="103">
        <f t="shared" si="8"/>
        <v>54.485199999999992</v>
      </c>
      <c r="CL172" s="103">
        <v>223592.5</v>
      </c>
      <c r="CM172" s="103">
        <v>558110.30000000005</v>
      </c>
      <c r="CN172" s="104">
        <v>0.40062421352911776</v>
      </c>
      <c r="CO172" s="103">
        <v>361726.39328000002</v>
      </c>
      <c r="CP172" s="103">
        <v>19.03</v>
      </c>
      <c r="CQ172" s="103">
        <v>1955810.9803800001</v>
      </c>
      <c r="CR172" s="103">
        <v>18.29</v>
      </c>
      <c r="CS172" s="103">
        <f t="shared" si="9"/>
        <v>348.05869999999999</v>
      </c>
      <c r="CT172" s="103">
        <v>294027.7</v>
      </c>
      <c r="CU172" s="103">
        <v>364415.3</v>
      </c>
      <c r="CV172" s="104">
        <v>0.80684784639942397</v>
      </c>
      <c r="CW172" s="103">
        <v>51079.577689999998</v>
      </c>
      <c r="CX172" s="103">
        <v>4.5600000000000005</v>
      </c>
      <c r="CY172" s="103">
        <v>497358.73596999998</v>
      </c>
      <c r="CZ172" s="103">
        <v>9.1791703442188872</v>
      </c>
      <c r="DA172" s="103">
        <f t="shared" si="10"/>
        <v>41.857016769638129</v>
      </c>
      <c r="DB172" s="103">
        <v>56993.1</v>
      </c>
      <c r="DC172" s="103">
        <v>306160.3</v>
      </c>
      <c r="DD172" s="104">
        <v>0.18615444262368439</v>
      </c>
      <c r="DE172" s="103">
        <v>219071.67034000001</v>
      </c>
      <c r="DF172" s="103">
        <v>9.4600000000000009</v>
      </c>
      <c r="DG172" s="103">
        <v>1522332.42062</v>
      </c>
      <c r="DH172" s="103">
        <v>11.74</v>
      </c>
      <c r="DI172" s="103">
        <f t="shared" si="11"/>
        <v>111.06040000000002</v>
      </c>
      <c r="DJ172" s="103">
        <v>26101.599999999999</v>
      </c>
      <c r="DK172" s="103">
        <v>133459.79999999999</v>
      </c>
      <c r="DL172" s="104">
        <v>0.1955764956938344</v>
      </c>
    </row>
    <row r="173" spans="1:116" s="15" customFormat="1" ht="265.7" customHeight="1" x14ac:dyDescent="0.25">
      <c r="A173" s="100" t="s">
        <v>257</v>
      </c>
      <c r="B173" s="100" t="s">
        <v>2463</v>
      </c>
      <c r="C173" s="100" t="s">
        <v>87</v>
      </c>
      <c r="D173" s="105" t="str">
        <f>"Chemistry 245"</f>
        <v>Chemistry 245</v>
      </c>
      <c r="E173" s="102" t="s">
        <v>2464</v>
      </c>
      <c r="F173" s="100">
        <v>20</v>
      </c>
      <c r="G173" s="100">
        <v>5</v>
      </c>
      <c r="H173" s="100">
        <v>0.25</v>
      </c>
      <c r="I173" s="100">
        <v>31</v>
      </c>
      <c r="J173" s="100">
        <v>11</v>
      </c>
      <c r="K173" s="100">
        <v>9</v>
      </c>
      <c r="L173" s="100">
        <v>4</v>
      </c>
      <c r="M173" s="100">
        <v>3</v>
      </c>
      <c r="N173" s="100">
        <v>6</v>
      </c>
      <c r="O173" s="100">
        <v>2</v>
      </c>
      <c r="P173" s="100">
        <v>5.56</v>
      </c>
      <c r="Q173" s="100">
        <v>112.48</v>
      </c>
      <c r="R173" s="100">
        <v>4</v>
      </c>
      <c r="S173" s="100">
        <v>1</v>
      </c>
      <c r="T173" s="100">
        <v>0</v>
      </c>
      <c r="U173" s="100">
        <v>0</v>
      </c>
      <c r="V173" s="100">
        <v>1</v>
      </c>
      <c r="W173" s="100">
        <v>0</v>
      </c>
      <c r="X173" s="100">
        <v>0</v>
      </c>
      <c r="Y173" s="100">
        <v>1</v>
      </c>
      <c r="Z173" s="100">
        <v>0</v>
      </c>
      <c r="AA173" s="100">
        <v>0</v>
      </c>
      <c r="AB173" s="100">
        <v>1</v>
      </c>
      <c r="AC173" s="100">
        <v>0</v>
      </c>
      <c r="AD173" s="100">
        <v>0</v>
      </c>
      <c r="AE173" s="100">
        <v>0</v>
      </c>
      <c r="AF173" s="100">
        <v>0</v>
      </c>
      <c r="AG173" s="100">
        <v>1</v>
      </c>
      <c r="AH173" s="100">
        <v>0</v>
      </c>
      <c r="AI173" s="100">
        <v>0</v>
      </c>
      <c r="AJ173" s="100">
        <v>1</v>
      </c>
      <c r="AK173" s="100">
        <v>0</v>
      </c>
      <c r="AL173" s="100">
        <v>0</v>
      </c>
      <c r="AM173" s="100">
        <v>0</v>
      </c>
      <c r="AN173" s="100">
        <v>0</v>
      </c>
      <c r="AO173" s="100">
        <v>1</v>
      </c>
      <c r="AP173" s="100">
        <v>0</v>
      </c>
      <c r="AQ173" s="100">
        <v>0</v>
      </c>
      <c r="AR173" s="100">
        <v>0</v>
      </c>
      <c r="AS173" s="100">
        <v>0</v>
      </c>
      <c r="AT173" s="100">
        <v>1</v>
      </c>
      <c r="AU173" s="100">
        <v>0</v>
      </c>
      <c r="AV173" s="100">
        <v>0</v>
      </c>
      <c r="AW173" s="100">
        <v>0</v>
      </c>
      <c r="AX173" s="100">
        <v>0</v>
      </c>
      <c r="AY173" s="100">
        <v>0</v>
      </c>
      <c r="AZ173" s="100">
        <v>0</v>
      </c>
      <c r="BA173" s="100">
        <v>0</v>
      </c>
      <c r="BB173" s="100">
        <v>0</v>
      </c>
      <c r="BC173" s="100">
        <v>0</v>
      </c>
      <c r="BD173" s="100">
        <v>1</v>
      </c>
      <c r="BE173" s="100">
        <v>0</v>
      </c>
      <c r="BF173" s="100">
        <v>1</v>
      </c>
      <c r="BG173" s="100">
        <v>0</v>
      </c>
      <c r="BH173" s="100">
        <v>0</v>
      </c>
      <c r="BI173" s="100">
        <v>0</v>
      </c>
      <c r="BJ173" s="100">
        <v>3</v>
      </c>
      <c r="BK173" s="100">
        <v>0</v>
      </c>
      <c r="BL173" s="100">
        <v>1</v>
      </c>
      <c r="BM173" s="100">
        <v>0</v>
      </c>
      <c r="BN173" s="100">
        <v>0</v>
      </c>
      <c r="BO173" s="100">
        <v>0</v>
      </c>
      <c r="BP173" s="100">
        <v>1</v>
      </c>
      <c r="BQ173" s="100">
        <v>0</v>
      </c>
      <c r="BR173" s="100">
        <v>0</v>
      </c>
      <c r="BS173" s="100">
        <v>0</v>
      </c>
      <c r="BT173" s="100">
        <v>0</v>
      </c>
      <c r="BU173" s="100">
        <v>0</v>
      </c>
      <c r="BV173" s="100">
        <v>0</v>
      </c>
      <c r="BW173" s="100">
        <v>0</v>
      </c>
      <c r="BX173" s="100">
        <v>0</v>
      </c>
      <c r="BY173" s="100">
        <v>0</v>
      </c>
      <c r="BZ173" s="100">
        <v>0</v>
      </c>
      <c r="CA173" s="100">
        <v>0</v>
      </c>
      <c r="CB173" s="100" t="s">
        <v>2090</v>
      </c>
      <c r="CC173" s="100">
        <v>0</v>
      </c>
      <c r="CD173" s="100">
        <v>0</v>
      </c>
      <c r="CE173" s="100">
        <v>0</v>
      </c>
      <c r="CF173" s="100">
        <v>0</v>
      </c>
      <c r="CG173" s="103">
        <v>18469.688989999999</v>
      </c>
      <c r="CH173" s="103">
        <v>1.46</v>
      </c>
      <c r="CI173" s="103">
        <v>50463.025659999999</v>
      </c>
      <c r="CJ173" s="103">
        <v>2.1800000000000002</v>
      </c>
      <c r="CK173" s="103">
        <f t="shared" si="8"/>
        <v>3.1828000000000003</v>
      </c>
      <c r="CL173" s="103">
        <v>1525.5</v>
      </c>
      <c r="CM173" s="103">
        <v>473451.3</v>
      </c>
      <c r="CN173" s="104">
        <v>3.2220842988497445E-3</v>
      </c>
      <c r="CO173" s="103">
        <v>0</v>
      </c>
      <c r="CP173" s="103">
        <v>0</v>
      </c>
      <c r="CQ173" s="103">
        <v>56343.228510000001</v>
      </c>
      <c r="CR173" s="103">
        <v>0</v>
      </c>
      <c r="CS173" s="103">
        <f t="shared" si="9"/>
        <v>0</v>
      </c>
      <c r="CT173" s="103">
        <v>6904.6</v>
      </c>
      <c r="CU173" s="103">
        <v>176489.9</v>
      </c>
      <c r="CV173" s="104">
        <v>3.9121785439280098E-2</v>
      </c>
      <c r="CW173" s="103">
        <v>0</v>
      </c>
      <c r="CX173" s="103">
        <v>0</v>
      </c>
      <c r="CY173" s="103">
        <v>29626.363949999999</v>
      </c>
      <c r="CZ173" s="103">
        <v>0.87123783661461884</v>
      </c>
      <c r="DA173" s="103">
        <f t="shared" si="10"/>
        <v>0</v>
      </c>
      <c r="DB173" s="103">
        <v>0</v>
      </c>
      <c r="DC173" s="103">
        <v>183913.2</v>
      </c>
      <c r="DD173" s="104">
        <v>0</v>
      </c>
      <c r="DE173" s="103">
        <v>31568.303400000001</v>
      </c>
      <c r="DF173" s="103">
        <v>0.66</v>
      </c>
      <c r="DG173" s="103">
        <v>13778.315759999999</v>
      </c>
      <c r="DH173" s="103">
        <v>0</v>
      </c>
      <c r="DI173" s="103">
        <f t="shared" si="11"/>
        <v>0</v>
      </c>
      <c r="DJ173" s="103">
        <v>22023.8</v>
      </c>
      <c r="DK173" s="103">
        <v>958771</v>
      </c>
      <c r="DL173" s="104">
        <v>2.2970865827189182E-2</v>
      </c>
    </row>
    <row r="174" spans="1:116" s="15" customFormat="1" ht="191.45" customHeight="1" x14ac:dyDescent="0.25">
      <c r="A174" s="100" t="s">
        <v>258</v>
      </c>
      <c r="B174" s="100" t="s">
        <v>2465</v>
      </c>
      <c r="C174" s="100" t="s">
        <v>87</v>
      </c>
      <c r="D174" s="105" t="str">
        <f>"Chemistry 219"</f>
        <v>Chemistry 219</v>
      </c>
      <c r="E174" s="102" t="s">
        <v>2466</v>
      </c>
      <c r="F174" s="100">
        <v>22</v>
      </c>
      <c r="G174" s="100">
        <v>8</v>
      </c>
      <c r="H174" s="100">
        <v>0.36</v>
      </c>
      <c r="I174" s="100">
        <v>31</v>
      </c>
      <c r="J174" s="100">
        <v>9</v>
      </c>
      <c r="K174" s="100">
        <v>5</v>
      </c>
      <c r="L174" s="100">
        <v>2</v>
      </c>
      <c r="M174" s="100">
        <v>3</v>
      </c>
      <c r="N174" s="100">
        <v>3</v>
      </c>
      <c r="O174" s="100">
        <v>2</v>
      </c>
      <c r="P174" s="100">
        <v>5.27</v>
      </c>
      <c r="Q174" s="100">
        <v>61.8</v>
      </c>
      <c r="R174" s="100">
        <v>7</v>
      </c>
      <c r="S174" s="100">
        <v>1</v>
      </c>
      <c r="T174" s="100">
        <v>0</v>
      </c>
      <c r="U174" s="100">
        <v>0</v>
      </c>
      <c r="V174" s="100">
        <v>0</v>
      </c>
      <c r="W174" s="100">
        <v>1</v>
      </c>
      <c r="X174" s="100">
        <v>0</v>
      </c>
      <c r="Y174" s="100">
        <v>1</v>
      </c>
      <c r="Z174" s="100">
        <v>0</v>
      </c>
      <c r="AA174" s="100">
        <v>0</v>
      </c>
      <c r="AB174" s="100">
        <v>0</v>
      </c>
      <c r="AC174" s="100">
        <v>1</v>
      </c>
      <c r="AD174" s="100">
        <v>0</v>
      </c>
      <c r="AE174" s="100">
        <v>0</v>
      </c>
      <c r="AF174" s="100">
        <v>0</v>
      </c>
      <c r="AG174" s="100">
        <v>1</v>
      </c>
      <c r="AH174" s="100">
        <v>0</v>
      </c>
      <c r="AI174" s="100">
        <v>0</v>
      </c>
      <c r="AJ174" s="100">
        <v>1</v>
      </c>
      <c r="AK174" s="100">
        <v>1</v>
      </c>
      <c r="AL174" s="100">
        <v>0</v>
      </c>
      <c r="AM174" s="100">
        <v>1</v>
      </c>
      <c r="AN174" s="100">
        <v>1</v>
      </c>
      <c r="AO174" s="100">
        <v>1</v>
      </c>
      <c r="AP174" s="100">
        <v>1</v>
      </c>
      <c r="AQ174" s="100">
        <v>0</v>
      </c>
      <c r="AR174" s="100">
        <v>0</v>
      </c>
      <c r="AS174" s="100">
        <v>0</v>
      </c>
      <c r="AT174" s="100">
        <v>0</v>
      </c>
      <c r="AU174" s="100">
        <v>0</v>
      </c>
      <c r="AV174" s="100">
        <v>0</v>
      </c>
      <c r="AW174" s="100">
        <v>0</v>
      </c>
      <c r="AX174" s="100">
        <v>0</v>
      </c>
      <c r="AY174" s="100">
        <v>0</v>
      </c>
      <c r="AZ174" s="100">
        <v>0</v>
      </c>
      <c r="BA174" s="100">
        <v>0</v>
      </c>
      <c r="BB174" s="100">
        <v>0</v>
      </c>
      <c r="BC174" s="100">
        <v>0</v>
      </c>
      <c r="BD174" s="100">
        <v>0</v>
      </c>
      <c r="BE174" s="100">
        <v>0</v>
      </c>
      <c r="BF174" s="100">
        <v>0</v>
      </c>
      <c r="BG174" s="100">
        <v>0</v>
      </c>
      <c r="BH174" s="100">
        <v>0</v>
      </c>
      <c r="BI174" s="100">
        <v>0</v>
      </c>
      <c r="BJ174" s="100">
        <v>1</v>
      </c>
      <c r="BK174" s="100">
        <v>0</v>
      </c>
      <c r="BL174" s="100">
        <v>0</v>
      </c>
      <c r="BM174" s="100">
        <v>0</v>
      </c>
      <c r="BN174" s="100">
        <v>1</v>
      </c>
      <c r="BO174" s="100">
        <v>0</v>
      </c>
      <c r="BP174" s="100">
        <v>0</v>
      </c>
      <c r="BQ174" s="100">
        <v>0</v>
      </c>
      <c r="BR174" s="100">
        <v>1</v>
      </c>
      <c r="BS174" s="100">
        <v>0</v>
      </c>
      <c r="BT174" s="100">
        <v>1</v>
      </c>
      <c r="BU174" s="100">
        <v>0</v>
      </c>
      <c r="BV174" s="100">
        <v>0</v>
      </c>
      <c r="BW174" s="100">
        <v>0</v>
      </c>
      <c r="BX174" s="100">
        <v>0</v>
      </c>
      <c r="BY174" s="100">
        <v>0</v>
      </c>
      <c r="BZ174" s="100">
        <v>0</v>
      </c>
      <c r="CA174" s="100">
        <v>0</v>
      </c>
      <c r="CB174" s="100" t="s">
        <v>2090</v>
      </c>
      <c r="CC174" s="100">
        <v>0</v>
      </c>
      <c r="CD174" s="100">
        <v>0</v>
      </c>
      <c r="CE174" s="100">
        <v>0</v>
      </c>
      <c r="CF174" s="100">
        <v>0</v>
      </c>
      <c r="CG174" s="103">
        <v>11188.088159999999</v>
      </c>
      <c r="CH174" s="103">
        <v>0.91</v>
      </c>
      <c r="CI174" s="103">
        <v>31882.172060000001</v>
      </c>
      <c r="CJ174" s="103">
        <v>3.4699999999999998</v>
      </c>
      <c r="CK174" s="103">
        <f t="shared" si="8"/>
        <v>3.1576999999999997</v>
      </c>
      <c r="CL174" s="103">
        <v>0</v>
      </c>
      <c r="CM174" s="103">
        <v>996195.7</v>
      </c>
      <c r="CN174" s="104">
        <v>0</v>
      </c>
      <c r="CO174" s="103">
        <v>12507.920469999999</v>
      </c>
      <c r="CP174" s="103">
        <v>0.63</v>
      </c>
      <c r="CQ174" s="103">
        <v>162646.57282</v>
      </c>
      <c r="CR174" s="103">
        <v>1.41</v>
      </c>
      <c r="CS174" s="103">
        <f t="shared" si="9"/>
        <v>0.88829999999999998</v>
      </c>
      <c r="CT174" s="103">
        <v>0</v>
      </c>
      <c r="CU174" s="103">
        <v>961117.8</v>
      </c>
      <c r="CV174" s="104">
        <v>0</v>
      </c>
      <c r="CW174" s="103">
        <v>0</v>
      </c>
      <c r="CX174" s="103">
        <v>0</v>
      </c>
      <c r="CY174" s="103">
        <v>7791.4938000000002</v>
      </c>
      <c r="CZ174" s="103">
        <v>0</v>
      </c>
      <c r="DA174" s="103">
        <f t="shared" si="10"/>
        <v>0</v>
      </c>
      <c r="DB174" s="103">
        <v>0</v>
      </c>
      <c r="DC174" s="103">
        <v>856698.8</v>
      </c>
      <c r="DD174" s="104">
        <v>0</v>
      </c>
      <c r="DE174" s="103">
        <v>24145.39848</v>
      </c>
      <c r="DF174" s="103">
        <v>1</v>
      </c>
      <c r="DG174" s="103">
        <v>474192.14766999998</v>
      </c>
      <c r="DH174" s="103">
        <v>2.37</v>
      </c>
      <c r="DI174" s="103">
        <f t="shared" si="11"/>
        <v>2.37</v>
      </c>
      <c r="DJ174" s="103">
        <v>2902.2</v>
      </c>
      <c r="DK174" s="103">
        <v>699551.6</v>
      </c>
      <c r="DL174" s="104">
        <v>4.1486575114687754E-3</v>
      </c>
    </row>
    <row r="175" spans="1:116" s="15" customFormat="1" ht="225.95" customHeight="1" x14ac:dyDescent="0.25">
      <c r="A175" s="100" t="s">
        <v>259</v>
      </c>
      <c r="B175" s="100" t="s">
        <v>2467</v>
      </c>
      <c r="C175" s="100" t="s">
        <v>87</v>
      </c>
      <c r="D175" s="101" t="str">
        <f>"Chemistry 226"</f>
        <v>Chemistry 226</v>
      </c>
      <c r="E175" s="102" t="s">
        <v>2468</v>
      </c>
      <c r="F175" s="100">
        <v>20</v>
      </c>
      <c r="G175" s="100">
        <v>3</v>
      </c>
      <c r="H175" s="100">
        <v>0.15</v>
      </c>
      <c r="I175" s="100">
        <v>34</v>
      </c>
      <c r="J175" s="100">
        <v>14</v>
      </c>
      <c r="K175" s="100">
        <v>7</v>
      </c>
      <c r="L175" s="100">
        <v>3</v>
      </c>
      <c r="M175" s="100">
        <v>3</v>
      </c>
      <c r="N175" s="100">
        <v>5</v>
      </c>
      <c r="O175" s="100">
        <v>1</v>
      </c>
      <c r="P175" s="100">
        <v>7.11</v>
      </c>
      <c r="Q175" s="100">
        <v>71.53</v>
      </c>
      <c r="R175" s="100">
        <v>5</v>
      </c>
      <c r="S175" s="100">
        <v>1</v>
      </c>
      <c r="T175" s="100">
        <v>0</v>
      </c>
      <c r="U175" s="100">
        <v>0</v>
      </c>
      <c r="V175" s="100">
        <v>0</v>
      </c>
      <c r="W175" s="100">
        <v>0</v>
      </c>
      <c r="X175" s="100">
        <v>0</v>
      </c>
      <c r="Y175" s="100">
        <v>0</v>
      </c>
      <c r="Z175" s="100">
        <v>1</v>
      </c>
      <c r="AA175" s="100">
        <v>0</v>
      </c>
      <c r="AB175" s="100">
        <v>1</v>
      </c>
      <c r="AC175" s="100">
        <v>0</v>
      </c>
      <c r="AD175" s="100">
        <v>0</v>
      </c>
      <c r="AE175" s="100">
        <v>0</v>
      </c>
      <c r="AF175" s="100">
        <v>0</v>
      </c>
      <c r="AG175" s="100">
        <v>1</v>
      </c>
      <c r="AH175" s="100">
        <v>0</v>
      </c>
      <c r="AI175" s="100">
        <v>0</v>
      </c>
      <c r="AJ175" s="100">
        <v>1</v>
      </c>
      <c r="AK175" s="100">
        <v>0</v>
      </c>
      <c r="AL175" s="100">
        <v>0</v>
      </c>
      <c r="AM175" s="100">
        <v>0</v>
      </c>
      <c r="AN175" s="100">
        <v>0</v>
      </c>
      <c r="AO175" s="100">
        <v>1</v>
      </c>
      <c r="AP175" s="100">
        <v>0</v>
      </c>
      <c r="AQ175" s="100">
        <v>0</v>
      </c>
      <c r="AR175" s="100">
        <v>0</v>
      </c>
      <c r="AS175" s="100">
        <v>0</v>
      </c>
      <c r="AT175" s="100">
        <v>0</v>
      </c>
      <c r="AU175" s="100">
        <v>1</v>
      </c>
      <c r="AV175" s="100">
        <v>0</v>
      </c>
      <c r="AW175" s="100">
        <v>0</v>
      </c>
      <c r="AX175" s="100">
        <v>0</v>
      </c>
      <c r="AY175" s="100">
        <v>0</v>
      </c>
      <c r="AZ175" s="100">
        <v>0</v>
      </c>
      <c r="BA175" s="100">
        <v>0</v>
      </c>
      <c r="BB175" s="100">
        <v>0</v>
      </c>
      <c r="BC175" s="100">
        <v>0</v>
      </c>
      <c r="BD175" s="100">
        <v>0</v>
      </c>
      <c r="BE175" s="100">
        <v>0</v>
      </c>
      <c r="BF175" s="100">
        <v>1</v>
      </c>
      <c r="BG175" s="100">
        <v>0</v>
      </c>
      <c r="BH175" s="100">
        <v>0</v>
      </c>
      <c r="BI175" s="100">
        <v>0</v>
      </c>
      <c r="BJ175" s="100">
        <v>2</v>
      </c>
      <c r="BK175" s="100">
        <v>0</v>
      </c>
      <c r="BL175" s="100">
        <v>0</v>
      </c>
      <c r="BM175" s="100">
        <v>1</v>
      </c>
      <c r="BN175" s="100">
        <v>1</v>
      </c>
      <c r="BO175" s="100">
        <v>0</v>
      </c>
      <c r="BP175" s="100">
        <v>0</v>
      </c>
      <c r="BQ175" s="100">
        <v>0</v>
      </c>
      <c r="BR175" s="100">
        <v>0</v>
      </c>
      <c r="BS175" s="100">
        <v>0</v>
      </c>
      <c r="BT175" s="100">
        <v>0</v>
      </c>
      <c r="BU175" s="100">
        <v>0</v>
      </c>
      <c r="BV175" s="100">
        <v>0</v>
      </c>
      <c r="BW175" s="100">
        <v>0</v>
      </c>
      <c r="BX175" s="100">
        <v>0</v>
      </c>
      <c r="BY175" s="100">
        <v>0</v>
      </c>
      <c r="BZ175" s="100">
        <v>0</v>
      </c>
      <c r="CA175" s="100">
        <v>0</v>
      </c>
      <c r="CB175" s="100" t="s">
        <v>2090</v>
      </c>
      <c r="CC175" s="100">
        <v>0</v>
      </c>
      <c r="CD175" s="100">
        <v>0</v>
      </c>
      <c r="CE175" s="100">
        <v>0</v>
      </c>
      <c r="CF175" s="100">
        <v>0</v>
      </c>
      <c r="CG175" s="103">
        <v>27848.944479999998</v>
      </c>
      <c r="CH175" s="103">
        <v>2.68</v>
      </c>
      <c r="CI175" s="103">
        <v>265970.92812</v>
      </c>
      <c r="CJ175" s="103">
        <v>2.99</v>
      </c>
      <c r="CK175" s="103">
        <f t="shared" si="8"/>
        <v>8.0132000000000012</v>
      </c>
      <c r="CL175" s="103">
        <v>6743.2</v>
      </c>
      <c r="CM175" s="103">
        <v>135259.20000000001</v>
      </c>
      <c r="CN175" s="104">
        <v>4.9853910122195012E-2</v>
      </c>
      <c r="CO175" s="103">
        <v>0</v>
      </c>
      <c r="CP175" s="103">
        <v>0</v>
      </c>
      <c r="CQ175" s="103">
        <v>4950.3725000000004</v>
      </c>
      <c r="CR175" s="103">
        <v>0</v>
      </c>
      <c r="CS175" s="103">
        <f t="shared" si="9"/>
        <v>0</v>
      </c>
      <c r="CT175" s="103">
        <v>0</v>
      </c>
      <c r="CU175" s="103">
        <v>1018600.3</v>
      </c>
      <c r="CV175" s="104">
        <v>0</v>
      </c>
      <c r="CW175" s="103">
        <v>9936.3209000000006</v>
      </c>
      <c r="CX175" s="103">
        <v>2.1</v>
      </c>
      <c r="CY175" s="103">
        <v>66156.363830000002</v>
      </c>
      <c r="CZ175" s="103">
        <v>2.0107238605898123</v>
      </c>
      <c r="DA175" s="103">
        <f t="shared" si="10"/>
        <v>4.2225201072386058</v>
      </c>
      <c r="DB175" s="103">
        <v>1328.4</v>
      </c>
      <c r="DC175" s="103">
        <v>147259.79999999999</v>
      </c>
      <c r="DD175" s="104">
        <v>9.0207918250602009E-3</v>
      </c>
      <c r="DE175" s="103">
        <v>10407.07619</v>
      </c>
      <c r="DF175" s="103">
        <v>0.64</v>
      </c>
      <c r="DG175" s="103">
        <v>9181.9337200000009</v>
      </c>
      <c r="DH175" s="103">
        <v>0</v>
      </c>
      <c r="DI175" s="103">
        <f t="shared" si="11"/>
        <v>0</v>
      </c>
      <c r="DJ175" s="103">
        <v>0</v>
      </c>
      <c r="DK175" s="103">
        <v>272999.7</v>
      </c>
      <c r="DL175" s="104">
        <v>0</v>
      </c>
    </row>
    <row r="176" spans="1:116" s="15" customFormat="1" ht="264.95" customHeight="1" x14ac:dyDescent="0.25">
      <c r="A176" s="100" t="s">
        <v>260</v>
      </c>
      <c r="B176" s="100" t="s">
        <v>2469</v>
      </c>
      <c r="C176" s="100" t="s">
        <v>87</v>
      </c>
      <c r="D176" s="101" t="str">
        <f>"Chemistry 276"</f>
        <v>Chemistry 276</v>
      </c>
      <c r="E176" s="102" t="s">
        <v>2470</v>
      </c>
      <c r="F176" s="100">
        <v>21</v>
      </c>
      <c r="G176" s="100">
        <v>10</v>
      </c>
      <c r="H176" s="100">
        <v>0.48</v>
      </c>
      <c r="I176" s="100">
        <v>30</v>
      </c>
      <c r="J176" s="100">
        <v>9</v>
      </c>
      <c r="K176" s="100">
        <v>8</v>
      </c>
      <c r="L176" s="100">
        <v>3</v>
      </c>
      <c r="M176" s="100">
        <v>2</v>
      </c>
      <c r="N176" s="100">
        <v>5</v>
      </c>
      <c r="O176" s="100">
        <v>1</v>
      </c>
      <c r="P176" s="100">
        <v>5.38</v>
      </c>
      <c r="Q176" s="100">
        <v>80.75</v>
      </c>
      <c r="R176" s="100">
        <v>6</v>
      </c>
      <c r="S176" s="100">
        <v>1</v>
      </c>
      <c r="T176" s="100">
        <v>0</v>
      </c>
      <c r="U176" s="100">
        <v>0</v>
      </c>
      <c r="V176" s="100">
        <v>0</v>
      </c>
      <c r="W176" s="100">
        <v>0</v>
      </c>
      <c r="X176" s="100">
        <v>0</v>
      </c>
      <c r="Y176" s="100">
        <v>0</v>
      </c>
      <c r="Z176" s="100">
        <v>1</v>
      </c>
      <c r="AA176" s="100">
        <v>0</v>
      </c>
      <c r="AB176" s="100">
        <v>1</v>
      </c>
      <c r="AC176" s="100">
        <v>0</v>
      </c>
      <c r="AD176" s="100">
        <v>0</v>
      </c>
      <c r="AE176" s="100">
        <v>0</v>
      </c>
      <c r="AF176" s="100">
        <v>0</v>
      </c>
      <c r="AG176" s="100">
        <v>1</v>
      </c>
      <c r="AH176" s="100">
        <v>0</v>
      </c>
      <c r="AI176" s="100">
        <v>0</v>
      </c>
      <c r="AJ176" s="100">
        <v>1</v>
      </c>
      <c r="AK176" s="100">
        <v>1</v>
      </c>
      <c r="AL176" s="100">
        <v>1</v>
      </c>
      <c r="AM176" s="100">
        <v>0</v>
      </c>
      <c r="AN176" s="100">
        <v>1</v>
      </c>
      <c r="AO176" s="100">
        <v>0</v>
      </c>
      <c r="AP176" s="100">
        <v>0</v>
      </c>
      <c r="AQ176" s="100">
        <v>0</v>
      </c>
      <c r="AR176" s="100">
        <v>0</v>
      </c>
      <c r="AS176" s="100">
        <v>0</v>
      </c>
      <c r="AT176" s="100">
        <v>1</v>
      </c>
      <c r="AU176" s="100">
        <v>0</v>
      </c>
      <c r="AV176" s="100">
        <v>1</v>
      </c>
      <c r="AW176" s="100">
        <v>0</v>
      </c>
      <c r="AX176" s="100">
        <v>0</v>
      </c>
      <c r="AY176" s="100">
        <v>0</v>
      </c>
      <c r="AZ176" s="100">
        <v>0</v>
      </c>
      <c r="BA176" s="100">
        <v>0</v>
      </c>
      <c r="BB176" s="100">
        <v>0</v>
      </c>
      <c r="BC176" s="100">
        <v>0</v>
      </c>
      <c r="BD176" s="100">
        <v>0</v>
      </c>
      <c r="BE176" s="100">
        <v>0</v>
      </c>
      <c r="BF176" s="100">
        <v>0</v>
      </c>
      <c r="BG176" s="100">
        <v>0</v>
      </c>
      <c r="BH176" s="100">
        <v>0</v>
      </c>
      <c r="BI176" s="100">
        <v>0</v>
      </c>
      <c r="BJ176" s="100">
        <v>2</v>
      </c>
      <c r="BK176" s="100">
        <v>0</v>
      </c>
      <c r="BL176" s="100">
        <v>1</v>
      </c>
      <c r="BM176" s="100">
        <v>0</v>
      </c>
      <c r="BN176" s="100">
        <v>0</v>
      </c>
      <c r="BO176" s="100">
        <v>0</v>
      </c>
      <c r="BP176" s="100">
        <v>0</v>
      </c>
      <c r="BQ176" s="100">
        <v>0</v>
      </c>
      <c r="BR176" s="100">
        <v>0</v>
      </c>
      <c r="BS176" s="100">
        <v>0</v>
      </c>
      <c r="BT176" s="100">
        <v>0</v>
      </c>
      <c r="BU176" s="100">
        <v>0</v>
      </c>
      <c r="BV176" s="100">
        <v>1</v>
      </c>
      <c r="BW176" s="100">
        <v>0</v>
      </c>
      <c r="BX176" s="100">
        <v>0</v>
      </c>
      <c r="BY176" s="100">
        <v>0</v>
      </c>
      <c r="BZ176" s="100">
        <v>0</v>
      </c>
      <c r="CA176" s="100">
        <v>0</v>
      </c>
      <c r="CB176" s="100" t="s">
        <v>2090</v>
      </c>
      <c r="CC176" s="100">
        <v>0</v>
      </c>
      <c r="CD176" s="100">
        <v>0</v>
      </c>
      <c r="CE176" s="100">
        <v>0</v>
      </c>
      <c r="CF176" s="100">
        <v>0</v>
      </c>
      <c r="CG176" s="103">
        <v>154646.22456</v>
      </c>
      <c r="CH176" s="103">
        <v>15.73</v>
      </c>
      <c r="CI176" s="103">
        <v>2690558.2059999998</v>
      </c>
      <c r="CJ176" s="103">
        <v>19.02</v>
      </c>
      <c r="CK176" s="103">
        <f t="shared" si="8"/>
        <v>299.18459999999999</v>
      </c>
      <c r="CL176" s="103">
        <v>50230.3</v>
      </c>
      <c r="CM176" s="103">
        <v>666681.19999999995</v>
      </c>
      <c r="CN176" s="104">
        <v>7.5343807504996405E-2</v>
      </c>
      <c r="CO176" s="103">
        <v>0</v>
      </c>
      <c r="CP176" s="103">
        <v>0</v>
      </c>
      <c r="CQ176" s="103">
        <v>73126.294330000004</v>
      </c>
      <c r="CR176" s="103">
        <v>4.04</v>
      </c>
      <c r="CS176" s="103">
        <f t="shared" si="9"/>
        <v>0</v>
      </c>
      <c r="CT176" s="103">
        <v>1788.1</v>
      </c>
      <c r="CU176" s="103">
        <v>653619.6</v>
      </c>
      <c r="CV176" s="104">
        <v>2.7356890766433565E-3</v>
      </c>
      <c r="CW176" s="103">
        <v>0</v>
      </c>
      <c r="CX176" s="103">
        <v>0</v>
      </c>
      <c r="CY176" s="103">
        <v>1456.5309999999999</v>
      </c>
      <c r="CZ176" s="103">
        <v>0</v>
      </c>
      <c r="DA176" s="103">
        <f t="shared" si="10"/>
        <v>0</v>
      </c>
      <c r="DB176" s="103">
        <v>0</v>
      </c>
      <c r="DC176" s="103">
        <v>798841.5</v>
      </c>
      <c r="DD176" s="104">
        <v>0</v>
      </c>
      <c r="DE176" s="103">
        <v>50664.31035</v>
      </c>
      <c r="DF176" s="103">
        <v>3.49</v>
      </c>
      <c r="DG176" s="103">
        <v>15583.541859999999</v>
      </c>
      <c r="DH176" s="103">
        <v>6.59</v>
      </c>
      <c r="DI176" s="103">
        <f t="shared" si="11"/>
        <v>22.999100000000002</v>
      </c>
      <c r="DJ176" s="103">
        <v>0</v>
      </c>
      <c r="DK176" s="103">
        <v>133766.5</v>
      </c>
      <c r="DL176" s="104">
        <v>0</v>
      </c>
    </row>
    <row r="177" spans="1:116" s="15" customFormat="1" ht="265.7" customHeight="1" x14ac:dyDescent="0.25">
      <c r="A177" s="100" t="s">
        <v>261</v>
      </c>
      <c r="B177" s="100" t="s">
        <v>2471</v>
      </c>
      <c r="C177" s="100" t="s">
        <v>87</v>
      </c>
      <c r="D177" s="105" t="str">
        <f>"Chemistry 290"</f>
        <v>Chemistry 290</v>
      </c>
      <c r="E177" s="102" t="s">
        <v>2472</v>
      </c>
      <c r="F177" s="100">
        <v>18</v>
      </c>
      <c r="G177" s="100">
        <v>7</v>
      </c>
      <c r="H177" s="100">
        <v>0.39</v>
      </c>
      <c r="I177" s="100">
        <v>25</v>
      </c>
      <c r="J177" s="100">
        <v>7</v>
      </c>
      <c r="K177" s="100">
        <v>6</v>
      </c>
      <c r="L177" s="100">
        <v>2</v>
      </c>
      <c r="M177" s="100">
        <v>1</v>
      </c>
      <c r="N177" s="100">
        <v>6</v>
      </c>
      <c r="O177" s="100">
        <v>1</v>
      </c>
      <c r="P177" s="100">
        <v>1.22</v>
      </c>
      <c r="Q177" s="100">
        <v>79.73</v>
      </c>
      <c r="R177" s="100">
        <v>5</v>
      </c>
      <c r="S177" s="100">
        <v>1</v>
      </c>
      <c r="T177" s="100">
        <v>0</v>
      </c>
      <c r="U177" s="100">
        <v>0</v>
      </c>
      <c r="V177" s="100">
        <v>0</v>
      </c>
      <c r="W177" s="100">
        <v>0</v>
      </c>
      <c r="X177" s="100">
        <v>0</v>
      </c>
      <c r="Y177" s="100">
        <v>0</v>
      </c>
      <c r="Z177" s="100">
        <v>1</v>
      </c>
      <c r="AA177" s="100">
        <v>0</v>
      </c>
      <c r="AB177" s="100">
        <v>1</v>
      </c>
      <c r="AC177" s="100">
        <v>0</v>
      </c>
      <c r="AD177" s="100">
        <v>0</v>
      </c>
      <c r="AE177" s="100">
        <v>1</v>
      </c>
      <c r="AF177" s="100">
        <v>0</v>
      </c>
      <c r="AG177" s="100">
        <v>0</v>
      </c>
      <c r="AH177" s="100">
        <v>0</v>
      </c>
      <c r="AI177" s="100">
        <v>0</v>
      </c>
      <c r="AJ177" s="100">
        <v>1</v>
      </c>
      <c r="AK177" s="100">
        <v>0</v>
      </c>
      <c r="AL177" s="100">
        <v>0</v>
      </c>
      <c r="AM177" s="100">
        <v>0</v>
      </c>
      <c r="AN177" s="100">
        <v>0</v>
      </c>
      <c r="AO177" s="100">
        <v>1</v>
      </c>
      <c r="AP177" s="100">
        <v>1</v>
      </c>
      <c r="AQ177" s="100">
        <v>0</v>
      </c>
      <c r="AR177" s="100">
        <v>1</v>
      </c>
      <c r="AS177" s="100">
        <v>0</v>
      </c>
      <c r="AT177" s="100">
        <v>0</v>
      </c>
      <c r="AU177" s="100">
        <v>0</v>
      </c>
      <c r="AV177" s="100">
        <v>0</v>
      </c>
      <c r="AW177" s="100">
        <v>0</v>
      </c>
      <c r="AX177" s="100">
        <v>1</v>
      </c>
      <c r="AY177" s="100">
        <v>0</v>
      </c>
      <c r="AZ177" s="100">
        <v>0</v>
      </c>
      <c r="BA177" s="100">
        <v>1</v>
      </c>
      <c r="BB177" s="100">
        <v>0</v>
      </c>
      <c r="BC177" s="100">
        <v>0</v>
      </c>
      <c r="BD177" s="100">
        <v>0</v>
      </c>
      <c r="BE177" s="100">
        <v>0</v>
      </c>
      <c r="BF177" s="100">
        <v>0</v>
      </c>
      <c r="BG177" s="100">
        <v>0</v>
      </c>
      <c r="BH177" s="100">
        <v>0</v>
      </c>
      <c r="BI177" s="100">
        <v>0</v>
      </c>
      <c r="BJ177" s="100">
        <v>5</v>
      </c>
      <c r="BK177" s="100">
        <v>0</v>
      </c>
      <c r="BL177" s="100">
        <v>0</v>
      </c>
      <c r="BM177" s="100">
        <v>0</v>
      </c>
      <c r="BN177" s="100">
        <v>0</v>
      </c>
      <c r="BO177" s="100">
        <v>0</v>
      </c>
      <c r="BP177" s="100">
        <v>1</v>
      </c>
      <c r="BQ177" s="100">
        <v>0</v>
      </c>
      <c r="BR177" s="100">
        <v>0</v>
      </c>
      <c r="BS177" s="100">
        <v>0</v>
      </c>
      <c r="BT177" s="100">
        <v>0</v>
      </c>
      <c r="BU177" s="100">
        <v>0</v>
      </c>
      <c r="BV177" s="100">
        <v>0</v>
      </c>
      <c r="BW177" s="100">
        <v>0</v>
      </c>
      <c r="BX177" s="100">
        <v>0</v>
      </c>
      <c r="BY177" s="100">
        <v>0</v>
      </c>
      <c r="BZ177" s="100">
        <v>0</v>
      </c>
      <c r="CA177" s="100">
        <v>0</v>
      </c>
      <c r="CB177" s="100" t="s">
        <v>2090</v>
      </c>
      <c r="CC177" s="100">
        <v>0</v>
      </c>
      <c r="CD177" s="100">
        <v>0</v>
      </c>
      <c r="CE177" s="100">
        <v>0</v>
      </c>
      <c r="CF177" s="100">
        <v>0</v>
      </c>
      <c r="CG177" s="103">
        <v>809428.21192999999</v>
      </c>
      <c r="CH177" s="103">
        <v>49.11</v>
      </c>
      <c r="CI177" s="103">
        <v>2706036.1020599999</v>
      </c>
      <c r="CJ177" s="103">
        <v>18.96</v>
      </c>
      <c r="CK177" s="103">
        <f t="shared" si="8"/>
        <v>931.12560000000008</v>
      </c>
      <c r="CL177" s="103">
        <v>33060.800000000003</v>
      </c>
      <c r="CM177" s="103">
        <v>502246.2</v>
      </c>
      <c r="CN177" s="104">
        <v>6.5825883799618595E-2</v>
      </c>
      <c r="CO177" s="103">
        <v>44743.154710000003</v>
      </c>
      <c r="CP177" s="103">
        <v>1.85</v>
      </c>
      <c r="CQ177" s="103">
        <v>632006.68937000004</v>
      </c>
      <c r="CR177" s="103">
        <v>4.74</v>
      </c>
      <c r="CS177" s="103">
        <f t="shared" si="9"/>
        <v>8.7690000000000001</v>
      </c>
      <c r="CT177" s="103">
        <v>5347.2</v>
      </c>
      <c r="CU177" s="103">
        <v>465884.9</v>
      </c>
      <c r="CV177" s="104">
        <v>1.1477513008041255E-2</v>
      </c>
      <c r="CW177" s="103">
        <v>782604.95704000001</v>
      </c>
      <c r="CX177" s="103">
        <v>38.979999999999997</v>
      </c>
      <c r="CY177" s="103">
        <v>2705547.44784</v>
      </c>
      <c r="CZ177" s="103">
        <v>21.587926509186349</v>
      </c>
      <c r="DA177" s="103">
        <f t="shared" si="10"/>
        <v>841.49737532808388</v>
      </c>
      <c r="DB177" s="103">
        <v>54326.6</v>
      </c>
      <c r="DC177" s="103">
        <v>728078.2</v>
      </c>
      <c r="DD177" s="104">
        <v>7.4616435432347791E-2</v>
      </c>
      <c r="DE177" s="103">
        <v>50631.164129999997</v>
      </c>
      <c r="DF177" s="103">
        <v>1.84</v>
      </c>
      <c r="DG177" s="103">
        <v>489837.38059000002</v>
      </c>
      <c r="DH177" s="103">
        <v>5.51</v>
      </c>
      <c r="DI177" s="103">
        <f t="shared" si="11"/>
        <v>10.138400000000001</v>
      </c>
      <c r="DJ177" s="103">
        <v>7548.4</v>
      </c>
      <c r="DK177" s="103">
        <v>710611.8</v>
      </c>
      <c r="DL177" s="104">
        <v>1.062239608179881E-2</v>
      </c>
    </row>
    <row r="178" spans="1:116" s="15" customFormat="1" ht="265.7" customHeight="1" x14ac:dyDescent="0.25">
      <c r="A178" s="100" t="s">
        <v>262</v>
      </c>
      <c r="B178" s="100" t="s">
        <v>2473</v>
      </c>
      <c r="C178" s="100" t="s">
        <v>87</v>
      </c>
      <c r="D178" s="105" t="str">
        <f>"Chemistry 291"</f>
        <v>Chemistry 291</v>
      </c>
      <c r="E178" s="102" t="s">
        <v>2474</v>
      </c>
      <c r="F178" s="100">
        <v>14</v>
      </c>
      <c r="G178" s="100">
        <v>3</v>
      </c>
      <c r="H178" s="100">
        <v>0.21</v>
      </c>
      <c r="I178" s="100">
        <v>27</v>
      </c>
      <c r="J178" s="100">
        <v>13</v>
      </c>
      <c r="K178" s="100">
        <v>9</v>
      </c>
      <c r="L178" s="100">
        <v>6</v>
      </c>
      <c r="M178" s="100">
        <v>3</v>
      </c>
      <c r="N178" s="100">
        <v>8</v>
      </c>
      <c r="O178" s="100">
        <v>1</v>
      </c>
      <c r="P178" s="100">
        <v>3.48</v>
      </c>
      <c r="Q178" s="100">
        <v>107.93</v>
      </c>
      <c r="R178" s="100">
        <v>8</v>
      </c>
      <c r="S178" s="100">
        <v>1</v>
      </c>
      <c r="T178" s="100">
        <v>0</v>
      </c>
      <c r="U178" s="100">
        <v>0</v>
      </c>
      <c r="V178" s="100">
        <v>1</v>
      </c>
      <c r="W178" s="100">
        <v>0</v>
      </c>
      <c r="X178" s="100">
        <v>0</v>
      </c>
      <c r="Y178" s="100">
        <v>0</v>
      </c>
      <c r="Z178" s="100">
        <v>1</v>
      </c>
      <c r="AA178" s="100">
        <v>0</v>
      </c>
      <c r="AB178" s="100">
        <v>1</v>
      </c>
      <c r="AC178" s="100">
        <v>0</v>
      </c>
      <c r="AD178" s="100">
        <v>0</v>
      </c>
      <c r="AE178" s="100">
        <v>0</v>
      </c>
      <c r="AF178" s="100">
        <v>0</v>
      </c>
      <c r="AG178" s="100">
        <v>1</v>
      </c>
      <c r="AH178" s="100">
        <v>0</v>
      </c>
      <c r="AI178" s="100">
        <v>0</v>
      </c>
      <c r="AJ178" s="100">
        <v>1</v>
      </c>
      <c r="AK178" s="100">
        <v>1</v>
      </c>
      <c r="AL178" s="100">
        <v>1</v>
      </c>
      <c r="AM178" s="100">
        <v>0</v>
      </c>
      <c r="AN178" s="100">
        <v>1</v>
      </c>
      <c r="AO178" s="100">
        <v>1</v>
      </c>
      <c r="AP178" s="100">
        <v>0</v>
      </c>
      <c r="AQ178" s="100">
        <v>0</v>
      </c>
      <c r="AR178" s="100">
        <v>0</v>
      </c>
      <c r="AS178" s="100">
        <v>0</v>
      </c>
      <c r="AT178" s="100">
        <v>0</v>
      </c>
      <c r="AU178" s="100">
        <v>0</v>
      </c>
      <c r="AV178" s="100">
        <v>0</v>
      </c>
      <c r="AW178" s="100">
        <v>0</v>
      </c>
      <c r="AX178" s="100">
        <v>0</v>
      </c>
      <c r="AY178" s="100">
        <v>0</v>
      </c>
      <c r="AZ178" s="100">
        <v>0</v>
      </c>
      <c r="BA178" s="100">
        <v>0</v>
      </c>
      <c r="BB178" s="100">
        <v>0</v>
      </c>
      <c r="BC178" s="100">
        <v>0</v>
      </c>
      <c r="BD178" s="100">
        <v>0</v>
      </c>
      <c r="BE178" s="100">
        <v>0</v>
      </c>
      <c r="BF178" s="100">
        <v>0</v>
      </c>
      <c r="BG178" s="100">
        <v>0</v>
      </c>
      <c r="BH178" s="100">
        <v>0</v>
      </c>
      <c r="BI178" s="100">
        <v>0</v>
      </c>
      <c r="BJ178" s="100">
        <v>0</v>
      </c>
      <c r="BK178" s="100">
        <v>0</v>
      </c>
      <c r="BL178" s="100">
        <v>0</v>
      </c>
      <c r="BM178" s="100">
        <v>0</v>
      </c>
      <c r="BN178" s="100">
        <v>1</v>
      </c>
      <c r="BO178" s="100">
        <v>0</v>
      </c>
      <c r="BP178" s="100">
        <v>0</v>
      </c>
      <c r="BQ178" s="100">
        <v>0</v>
      </c>
      <c r="BR178" s="100">
        <v>1</v>
      </c>
      <c r="BS178" s="100">
        <v>0</v>
      </c>
      <c r="BT178" s="100">
        <v>1</v>
      </c>
      <c r="BU178" s="100">
        <v>0</v>
      </c>
      <c r="BV178" s="100">
        <v>0</v>
      </c>
      <c r="BW178" s="100">
        <v>0</v>
      </c>
      <c r="BX178" s="100">
        <v>0</v>
      </c>
      <c r="BY178" s="100">
        <v>0</v>
      </c>
      <c r="BZ178" s="100">
        <v>0</v>
      </c>
      <c r="CA178" s="100">
        <v>0</v>
      </c>
      <c r="CB178" s="100" t="s">
        <v>2090</v>
      </c>
      <c r="CC178" s="100">
        <v>0</v>
      </c>
      <c r="CD178" s="100">
        <v>0</v>
      </c>
      <c r="CE178" s="100">
        <v>0</v>
      </c>
      <c r="CF178" s="100">
        <v>0</v>
      </c>
      <c r="CG178" s="103">
        <v>0</v>
      </c>
      <c r="CH178" s="103">
        <v>0</v>
      </c>
      <c r="CI178" s="103">
        <v>25785.594000000001</v>
      </c>
      <c r="CJ178" s="103">
        <v>1.34</v>
      </c>
      <c r="CK178" s="103">
        <f t="shared" si="8"/>
        <v>0</v>
      </c>
      <c r="CL178" s="103">
        <v>0</v>
      </c>
      <c r="CM178" s="103">
        <v>741540.6</v>
      </c>
      <c r="CN178" s="104">
        <v>0</v>
      </c>
      <c r="CO178" s="103">
        <v>0</v>
      </c>
      <c r="CP178" s="103">
        <v>0</v>
      </c>
      <c r="CQ178" s="103">
        <v>0</v>
      </c>
      <c r="CR178" s="103">
        <v>0</v>
      </c>
      <c r="CS178" s="103">
        <f t="shared" si="9"/>
        <v>0</v>
      </c>
      <c r="CT178" s="103">
        <v>5308.4</v>
      </c>
      <c r="CU178" s="103">
        <v>842342</v>
      </c>
      <c r="CV178" s="104">
        <v>6.3019533633607251E-3</v>
      </c>
      <c r="CW178" s="103">
        <v>0</v>
      </c>
      <c r="CX178" s="103">
        <v>0</v>
      </c>
      <c r="CY178" s="103">
        <v>3201.3918199999998</v>
      </c>
      <c r="CZ178" s="103">
        <v>0</v>
      </c>
      <c r="DA178" s="103">
        <f t="shared" si="10"/>
        <v>0</v>
      </c>
      <c r="DB178" s="103">
        <v>0</v>
      </c>
      <c r="DC178" s="103">
        <v>412560.9</v>
      </c>
      <c r="DD178" s="104">
        <v>0</v>
      </c>
      <c r="DE178" s="103">
        <v>0</v>
      </c>
      <c r="DF178" s="103">
        <v>0</v>
      </c>
      <c r="DG178" s="103">
        <v>0</v>
      </c>
      <c r="DH178" s="103">
        <v>0</v>
      </c>
      <c r="DI178" s="103">
        <f t="shared" si="11"/>
        <v>0</v>
      </c>
      <c r="DJ178" s="103">
        <v>10878</v>
      </c>
      <c r="DK178" s="103">
        <v>1051474.2</v>
      </c>
      <c r="DL178" s="104">
        <v>1.0345474953165755E-2</v>
      </c>
    </row>
    <row r="179" spans="1:116" s="15" customFormat="1" ht="265.7" customHeight="1" x14ac:dyDescent="0.25">
      <c r="A179" s="100" t="s">
        <v>263</v>
      </c>
      <c r="B179" s="100" t="s">
        <v>2475</v>
      </c>
      <c r="C179" s="100" t="s">
        <v>87</v>
      </c>
      <c r="D179" s="101" t="str">
        <f>"Chemistry 366"</f>
        <v>Chemistry 366</v>
      </c>
      <c r="E179" s="102" t="s">
        <v>2476</v>
      </c>
      <c r="F179" s="100">
        <v>19</v>
      </c>
      <c r="G179" s="100">
        <v>7</v>
      </c>
      <c r="H179" s="100">
        <v>0.37</v>
      </c>
      <c r="I179" s="100">
        <v>31</v>
      </c>
      <c r="J179" s="100">
        <v>12</v>
      </c>
      <c r="K179" s="100">
        <v>10</v>
      </c>
      <c r="L179" s="100">
        <v>5</v>
      </c>
      <c r="M179" s="100">
        <v>2</v>
      </c>
      <c r="N179" s="100">
        <v>7</v>
      </c>
      <c r="O179" s="100">
        <v>3</v>
      </c>
      <c r="P179" s="100">
        <v>2.13</v>
      </c>
      <c r="Q179" s="100">
        <v>134.13</v>
      </c>
      <c r="R179" s="100">
        <v>4</v>
      </c>
      <c r="S179" s="100">
        <v>1</v>
      </c>
      <c r="T179" s="100">
        <v>0</v>
      </c>
      <c r="U179" s="100">
        <v>0</v>
      </c>
      <c r="V179" s="100">
        <v>1</v>
      </c>
      <c r="W179" s="100">
        <v>0</v>
      </c>
      <c r="X179" s="100">
        <v>0</v>
      </c>
      <c r="Y179" s="100">
        <v>1</v>
      </c>
      <c r="Z179" s="100">
        <v>0</v>
      </c>
      <c r="AA179" s="100">
        <v>0</v>
      </c>
      <c r="AB179" s="100">
        <v>1</v>
      </c>
      <c r="AC179" s="100">
        <v>0</v>
      </c>
      <c r="AD179" s="100">
        <v>0</v>
      </c>
      <c r="AE179" s="100">
        <v>0</v>
      </c>
      <c r="AF179" s="100">
        <v>1</v>
      </c>
      <c r="AG179" s="100">
        <v>0</v>
      </c>
      <c r="AH179" s="100">
        <v>0</v>
      </c>
      <c r="AI179" s="100">
        <v>0</v>
      </c>
      <c r="AJ179" s="100">
        <v>1</v>
      </c>
      <c r="AK179" s="100">
        <v>1</v>
      </c>
      <c r="AL179" s="100">
        <v>1</v>
      </c>
      <c r="AM179" s="100">
        <v>0</v>
      </c>
      <c r="AN179" s="100">
        <v>0</v>
      </c>
      <c r="AO179" s="100">
        <v>1</v>
      </c>
      <c r="AP179" s="100">
        <v>0</v>
      </c>
      <c r="AQ179" s="100">
        <v>0</v>
      </c>
      <c r="AR179" s="100">
        <v>0</v>
      </c>
      <c r="AS179" s="100">
        <v>0</v>
      </c>
      <c r="AT179" s="100">
        <v>1</v>
      </c>
      <c r="AU179" s="100">
        <v>0</v>
      </c>
      <c r="AV179" s="100">
        <v>0</v>
      </c>
      <c r="AW179" s="100">
        <v>0</v>
      </c>
      <c r="AX179" s="100">
        <v>0</v>
      </c>
      <c r="AY179" s="100">
        <v>0</v>
      </c>
      <c r="AZ179" s="100">
        <v>0</v>
      </c>
      <c r="BA179" s="100">
        <v>0</v>
      </c>
      <c r="BB179" s="100">
        <v>0</v>
      </c>
      <c r="BC179" s="100">
        <v>0</v>
      </c>
      <c r="BD179" s="100">
        <v>0</v>
      </c>
      <c r="BE179" s="100">
        <v>0</v>
      </c>
      <c r="BF179" s="100">
        <v>0</v>
      </c>
      <c r="BG179" s="100">
        <v>1</v>
      </c>
      <c r="BH179" s="100">
        <v>0</v>
      </c>
      <c r="BI179" s="100">
        <v>0</v>
      </c>
      <c r="BJ179" s="100">
        <v>2</v>
      </c>
      <c r="BK179" s="100">
        <v>0</v>
      </c>
      <c r="BL179" s="100">
        <v>1</v>
      </c>
      <c r="BM179" s="100">
        <v>0</v>
      </c>
      <c r="BN179" s="100">
        <v>1</v>
      </c>
      <c r="BO179" s="100">
        <v>0</v>
      </c>
      <c r="BP179" s="100">
        <v>0</v>
      </c>
      <c r="BQ179" s="100">
        <v>0</v>
      </c>
      <c r="BR179" s="100">
        <v>0</v>
      </c>
      <c r="BS179" s="100">
        <v>0</v>
      </c>
      <c r="BT179" s="100">
        <v>0</v>
      </c>
      <c r="BU179" s="100">
        <v>0</v>
      </c>
      <c r="BV179" s="100">
        <v>0</v>
      </c>
      <c r="BW179" s="100">
        <v>0</v>
      </c>
      <c r="BX179" s="100">
        <v>0</v>
      </c>
      <c r="BY179" s="100">
        <v>0</v>
      </c>
      <c r="BZ179" s="100">
        <v>0</v>
      </c>
      <c r="CA179" s="100">
        <v>0</v>
      </c>
      <c r="CB179" s="100" t="s">
        <v>2090</v>
      </c>
      <c r="CC179" s="100">
        <v>0</v>
      </c>
      <c r="CD179" s="100">
        <v>0</v>
      </c>
      <c r="CE179" s="100">
        <v>0</v>
      </c>
      <c r="CF179" s="100">
        <v>0</v>
      </c>
      <c r="CG179" s="103">
        <v>12224.957420000001</v>
      </c>
      <c r="CH179" s="103">
        <v>0.6</v>
      </c>
      <c r="CI179" s="103">
        <v>143165.42498000001</v>
      </c>
      <c r="CJ179" s="103">
        <v>2.4500000000000002</v>
      </c>
      <c r="CK179" s="103">
        <f t="shared" si="8"/>
        <v>1.47</v>
      </c>
      <c r="CL179" s="103">
        <v>11469.8</v>
      </c>
      <c r="CM179" s="103">
        <v>352115.20000000001</v>
      </c>
      <c r="CN179" s="104">
        <v>3.2573998509578678E-2</v>
      </c>
      <c r="CO179" s="103">
        <v>0</v>
      </c>
      <c r="CP179" s="103">
        <v>0</v>
      </c>
      <c r="CQ179" s="103">
        <v>11900.73662</v>
      </c>
      <c r="CR179" s="103">
        <v>0</v>
      </c>
      <c r="CS179" s="103">
        <f t="shared" si="9"/>
        <v>0</v>
      </c>
      <c r="CT179" s="103">
        <v>0</v>
      </c>
      <c r="CU179" s="103">
        <v>313196.2</v>
      </c>
      <c r="CV179" s="104">
        <v>0</v>
      </c>
      <c r="CW179" s="103">
        <v>0</v>
      </c>
      <c r="CX179" s="103">
        <v>0</v>
      </c>
      <c r="CY179" s="103">
        <v>5502.1024200000002</v>
      </c>
      <c r="CZ179" s="103">
        <v>0</v>
      </c>
      <c r="DA179" s="103">
        <f t="shared" si="10"/>
        <v>0</v>
      </c>
      <c r="DB179" s="103">
        <v>0</v>
      </c>
      <c r="DC179" s="103">
        <v>606831.4</v>
      </c>
      <c r="DD179" s="104">
        <v>0</v>
      </c>
      <c r="DE179" s="103">
        <v>0</v>
      </c>
      <c r="DF179" s="103">
        <v>0</v>
      </c>
      <c r="DG179" s="103">
        <v>0</v>
      </c>
      <c r="DH179" s="103">
        <v>0</v>
      </c>
      <c r="DI179" s="103">
        <f t="shared" si="11"/>
        <v>0</v>
      </c>
      <c r="DJ179" s="103">
        <v>0</v>
      </c>
      <c r="DK179" s="103">
        <v>197709.3</v>
      </c>
      <c r="DL179" s="104">
        <v>0</v>
      </c>
    </row>
    <row r="180" spans="1:116" s="15" customFormat="1" ht="265.7" customHeight="1" x14ac:dyDescent="0.25">
      <c r="A180" s="100" t="s">
        <v>264</v>
      </c>
      <c r="B180" s="100" t="s">
        <v>2477</v>
      </c>
      <c r="C180" s="100" t="s">
        <v>87</v>
      </c>
      <c r="D180" s="105" t="str">
        <f>"Chemistry 314"</f>
        <v>Chemistry 314</v>
      </c>
      <c r="E180" s="102" t="s">
        <v>2478</v>
      </c>
      <c r="F180" s="100">
        <v>20</v>
      </c>
      <c r="G180" s="100">
        <v>2</v>
      </c>
      <c r="H180" s="100">
        <v>0.1</v>
      </c>
      <c r="I180" s="100">
        <v>28</v>
      </c>
      <c r="J180" s="100">
        <v>8</v>
      </c>
      <c r="K180" s="100">
        <v>7</v>
      </c>
      <c r="L180" s="100">
        <v>5</v>
      </c>
      <c r="M180" s="100">
        <v>5</v>
      </c>
      <c r="N180" s="100">
        <v>5</v>
      </c>
      <c r="O180" s="100">
        <v>0</v>
      </c>
      <c r="P180" s="100">
        <v>4.2</v>
      </c>
      <c r="Q180" s="100">
        <v>78.34</v>
      </c>
      <c r="R180" s="100">
        <v>4</v>
      </c>
      <c r="S180" s="100">
        <v>1</v>
      </c>
      <c r="T180" s="100">
        <v>0</v>
      </c>
      <c r="U180" s="100">
        <v>0</v>
      </c>
      <c r="V180" s="100">
        <v>1</v>
      </c>
      <c r="W180" s="100">
        <v>0</v>
      </c>
      <c r="X180" s="100">
        <v>0</v>
      </c>
      <c r="Y180" s="100">
        <v>0</v>
      </c>
      <c r="Z180" s="100">
        <v>0</v>
      </c>
      <c r="AA180" s="100">
        <v>1</v>
      </c>
      <c r="AB180" s="100">
        <v>1</v>
      </c>
      <c r="AC180" s="100">
        <v>0</v>
      </c>
      <c r="AD180" s="100">
        <v>0</v>
      </c>
      <c r="AE180" s="100">
        <v>0</v>
      </c>
      <c r="AF180" s="100">
        <v>0</v>
      </c>
      <c r="AG180" s="100">
        <v>1</v>
      </c>
      <c r="AH180" s="100">
        <v>0</v>
      </c>
      <c r="AI180" s="100">
        <v>0</v>
      </c>
      <c r="AJ180" s="100">
        <v>1</v>
      </c>
      <c r="AK180" s="100">
        <v>1</v>
      </c>
      <c r="AL180" s="100">
        <v>1</v>
      </c>
      <c r="AM180" s="100">
        <v>0</v>
      </c>
      <c r="AN180" s="100">
        <v>1</v>
      </c>
      <c r="AO180" s="100">
        <v>1</v>
      </c>
      <c r="AP180" s="100">
        <v>0</v>
      </c>
      <c r="AQ180" s="100">
        <v>0</v>
      </c>
      <c r="AR180" s="100">
        <v>0</v>
      </c>
      <c r="AS180" s="100">
        <v>0</v>
      </c>
      <c r="AT180" s="100">
        <v>0</v>
      </c>
      <c r="AU180" s="100">
        <v>0</v>
      </c>
      <c r="AV180" s="100">
        <v>0</v>
      </c>
      <c r="AW180" s="100">
        <v>0</v>
      </c>
      <c r="AX180" s="100">
        <v>0</v>
      </c>
      <c r="AY180" s="100">
        <v>0</v>
      </c>
      <c r="AZ180" s="100">
        <v>0</v>
      </c>
      <c r="BA180" s="100">
        <v>0</v>
      </c>
      <c r="BB180" s="100">
        <v>0</v>
      </c>
      <c r="BC180" s="100">
        <v>0</v>
      </c>
      <c r="BD180" s="100">
        <v>0</v>
      </c>
      <c r="BE180" s="100">
        <v>0</v>
      </c>
      <c r="BF180" s="100">
        <v>0</v>
      </c>
      <c r="BG180" s="100">
        <v>0</v>
      </c>
      <c r="BH180" s="100">
        <v>0</v>
      </c>
      <c r="BI180" s="100">
        <v>0</v>
      </c>
      <c r="BJ180" s="100">
        <v>0</v>
      </c>
      <c r="BK180" s="100">
        <v>0</v>
      </c>
      <c r="BL180" s="100">
        <v>0</v>
      </c>
      <c r="BM180" s="100">
        <v>0</v>
      </c>
      <c r="BN180" s="100">
        <v>1</v>
      </c>
      <c r="BO180" s="100">
        <v>0</v>
      </c>
      <c r="BP180" s="100">
        <v>0</v>
      </c>
      <c r="BQ180" s="100">
        <v>1</v>
      </c>
      <c r="BR180" s="100">
        <v>0</v>
      </c>
      <c r="BS180" s="100">
        <v>0</v>
      </c>
      <c r="BT180" s="100">
        <v>0</v>
      </c>
      <c r="BU180" s="100">
        <v>1</v>
      </c>
      <c r="BV180" s="100">
        <v>1</v>
      </c>
      <c r="BW180" s="100">
        <v>0</v>
      </c>
      <c r="BX180" s="100">
        <v>0</v>
      </c>
      <c r="BY180" s="100">
        <v>0</v>
      </c>
      <c r="BZ180" s="100">
        <v>0</v>
      </c>
      <c r="CA180" s="100">
        <v>0</v>
      </c>
      <c r="CB180" s="100" t="s">
        <v>2090</v>
      </c>
      <c r="CC180" s="100">
        <v>0</v>
      </c>
      <c r="CD180" s="100">
        <v>0</v>
      </c>
      <c r="CE180" s="100">
        <v>0</v>
      </c>
      <c r="CF180" s="100">
        <v>0</v>
      </c>
      <c r="CG180" s="103">
        <v>0</v>
      </c>
      <c r="CH180" s="103">
        <v>0</v>
      </c>
      <c r="CI180" s="103">
        <v>40967.135040000001</v>
      </c>
      <c r="CJ180" s="103">
        <v>0</v>
      </c>
      <c r="CK180" s="103">
        <f t="shared" si="8"/>
        <v>0</v>
      </c>
      <c r="CL180" s="103">
        <v>0</v>
      </c>
      <c r="CM180" s="103">
        <v>476636.1</v>
      </c>
      <c r="CN180" s="104">
        <v>0</v>
      </c>
      <c r="CO180" s="103">
        <v>0</v>
      </c>
      <c r="CP180" s="103">
        <v>0</v>
      </c>
      <c r="CQ180" s="103">
        <v>515.10028999999997</v>
      </c>
      <c r="CR180" s="103">
        <v>0</v>
      </c>
      <c r="CS180" s="103">
        <f t="shared" si="9"/>
        <v>0</v>
      </c>
      <c r="CT180" s="103">
        <v>0</v>
      </c>
      <c r="CU180" s="103">
        <v>347343.1</v>
      </c>
      <c r="CV180" s="104">
        <v>0</v>
      </c>
      <c r="CW180" s="103">
        <v>7047.7128000000002</v>
      </c>
      <c r="CX180" s="103">
        <v>0.88</v>
      </c>
      <c r="CY180" s="103">
        <v>89308.33524</v>
      </c>
      <c r="CZ180" s="103">
        <v>1.9514358576338842</v>
      </c>
      <c r="DA180" s="103">
        <f t="shared" si="10"/>
        <v>1.7172635547178181</v>
      </c>
      <c r="DB180" s="103">
        <v>3648.4</v>
      </c>
      <c r="DC180" s="103">
        <v>378261.4</v>
      </c>
      <c r="DD180" s="104">
        <v>9.6451818768713907E-3</v>
      </c>
      <c r="DE180" s="103">
        <v>0</v>
      </c>
      <c r="DF180" s="103">
        <v>0</v>
      </c>
      <c r="DG180" s="103">
        <v>2280.9538899999998</v>
      </c>
      <c r="DH180" s="103">
        <v>0</v>
      </c>
      <c r="DI180" s="103">
        <f t="shared" si="11"/>
        <v>0</v>
      </c>
      <c r="DJ180" s="103">
        <v>995.1</v>
      </c>
      <c r="DK180" s="103">
        <v>145868.5</v>
      </c>
      <c r="DL180" s="104">
        <v>6.8218978052149715E-3</v>
      </c>
    </row>
    <row r="181" spans="1:116" s="15" customFormat="1" ht="265.7" customHeight="1" x14ac:dyDescent="0.25">
      <c r="A181" s="100" t="s">
        <v>265</v>
      </c>
      <c r="B181" s="100" t="s">
        <v>2479</v>
      </c>
      <c r="C181" s="100" t="s">
        <v>87</v>
      </c>
      <c r="D181" s="105" t="str">
        <f>"Chemistry 230"</f>
        <v>Chemistry 230</v>
      </c>
      <c r="E181" s="102" t="s">
        <v>2480</v>
      </c>
      <c r="F181" s="100">
        <v>23</v>
      </c>
      <c r="G181" s="100">
        <v>7</v>
      </c>
      <c r="H181" s="100">
        <v>0.3</v>
      </c>
      <c r="I181" s="100">
        <v>34</v>
      </c>
      <c r="J181" s="100">
        <v>11</v>
      </c>
      <c r="K181" s="100">
        <v>10</v>
      </c>
      <c r="L181" s="100">
        <v>7</v>
      </c>
      <c r="M181" s="100">
        <v>4</v>
      </c>
      <c r="N181" s="100">
        <v>8</v>
      </c>
      <c r="O181" s="100">
        <v>3</v>
      </c>
      <c r="P181" s="100">
        <v>4.03</v>
      </c>
      <c r="Q181" s="100">
        <v>138.82</v>
      </c>
      <c r="R181" s="100">
        <v>5</v>
      </c>
      <c r="S181" s="100">
        <v>1</v>
      </c>
      <c r="T181" s="100">
        <v>0</v>
      </c>
      <c r="U181" s="100">
        <v>0</v>
      </c>
      <c r="V181" s="100">
        <v>1</v>
      </c>
      <c r="W181" s="100">
        <v>0</v>
      </c>
      <c r="X181" s="100">
        <v>0</v>
      </c>
      <c r="Y181" s="100">
        <v>1</v>
      </c>
      <c r="Z181" s="100">
        <v>0</v>
      </c>
      <c r="AA181" s="100">
        <v>0</v>
      </c>
      <c r="AB181" s="100">
        <v>1</v>
      </c>
      <c r="AC181" s="100">
        <v>0</v>
      </c>
      <c r="AD181" s="100">
        <v>0</v>
      </c>
      <c r="AE181" s="100">
        <v>0</v>
      </c>
      <c r="AF181" s="100">
        <v>0</v>
      </c>
      <c r="AG181" s="100">
        <v>1</v>
      </c>
      <c r="AH181" s="100">
        <v>0</v>
      </c>
      <c r="AI181" s="100">
        <v>0</v>
      </c>
      <c r="AJ181" s="100">
        <v>1</v>
      </c>
      <c r="AK181" s="100">
        <v>1</v>
      </c>
      <c r="AL181" s="100">
        <v>1</v>
      </c>
      <c r="AM181" s="100">
        <v>0</v>
      </c>
      <c r="AN181" s="100">
        <v>1</v>
      </c>
      <c r="AO181" s="100">
        <v>1</v>
      </c>
      <c r="AP181" s="100">
        <v>1</v>
      </c>
      <c r="AQ181" s="100">
        <v>0</v>
      </c>
      <c r="AR181" s="100">
        <v>0</v>
      </c>
      <c r="AS181" s="100">
        <v>1</v>
      </c>
      <c r="AT181" s="100">
        <v>0</v>
      </c>
      <c r="AU181" s="100">
        <v>1</v>
      </c>
      <c r="AV181" s="100">
        <v>0</v>
      </c>
      <c r="AW181" s="100">
        <v>0</v>
      </c>
      <c r="AX181" s="100">
        <v>0</v>
      </c>
      <c r="AY181" s="100">
        <v>0</v>
      </c>
      <c r="AZ181" s="100">
        <v>0</v>
      </c>
      <c r="BA181" s="100">
        <v>0</v>
      </c>
      <c r="BB181" s="100">
        <v>0</v>
      </c>
      <c r="BC181" s="100">
        <v>0</v>
      </c>
      <c r="BD181" s="100">
        <v>0</v>
      </c>
      <c r="BE181" s="100">
        <v>0</v>
      </c>
      <c r="BF181" s="100">
        <v>0</v>
      </c>
      <c r="BG181" s="100">
        <v>0</v>
      </c>
      <c r="BH181" s="100">
        <v>0</v>
      </c>
      <c r="BI181" s="100">
        <v>0</v>
      </c>
      <c r="BJ181" s="100">
        <v>5</v>
      </c>
      <c r="BK181" s="100">
        <v>0</v>
      </c>
      <c r="BL181" s="100">
        <v>0</v>
      </c>
      <c r="BM181" s="100">
        <v>1</v>
      </c>
      <c r="BN181" s="100">
        <v>1</v>
      </c>
      <c r="BO181" s="100">
        <v>0</v>
      </c>
      <c r="BP181" s="100">
        <v>1</v>
      </c>
      <c r="BQ181" s="100">
        <v>1</v>
      </c>
      <c r="BR181" s="100">
        <v>0</v>
      </c>
      <c r="BS181" s="100">
        <v>0</v>
      </c>
      <c r="BT181" s="100">
        <v>0</v>
      </c>
      <c r="BU181" s="100">
        <v>1</v>
      </c>
      <c r="BV181" s="100">
        <v>1</v>
      </c>
      <c r="BW181" s="100">
        <v>0</v>
      </c>
      <c r="BX181" s="100">
        <v>0</v>
      </c>
      <c r="BY181" s="100">
        <v>0</v>
      </c>
      <c r="BZ181" s="100">
        <v>0</v>
      </c>
      <c r="CA181" s="100">
        <v>0</v>
      </c>
      <c r="CB181" s="100" t="s">
        <v>2090</v>
      </c>
      <c r="CC181" s="100">
        <v>0</v>
      </c>
      <c r="CD181" s="100">
        <v>0</v>
      </c>
      <c r="CE181" s="100">
        <v>0</v>
      </c>
      <c r="CF181" s="100">
        <v>0</v>
      </c>
      <c r="CG181" s="103">
        <v>24814.412700000001</v>
      </c>
      <c r="CH181" s="103">
        <v>1.49</v>
      </c>
      <c r="CI181" s="103">
        <v>1640.9452100000001</v>
      </c>
      <c r="CJ181" s="103">
        <v>0</v>
      </c>
      <c r="CK181" s="103">
        <f t="shared" si="8"/>
        <v>0</v>
      </c>
      <c r="CL181" s="103">
        <v>0</v>
      </c>
      <c r="CM181" s="103">
        <v>295321.3</v>
      </c>
      <c r="CN181" s="104">
        <v>0</v>
      </c>
      <c r="CO181" s="103">
        <v>28223.890019999999</v>
      </c>
      <c r="CP181" s="103">
        <v>0.99</v>
      </c>
      <c r="CQ181" s="103">
        <v>56757.507579999998</v>
      </c>
      <c r="CR181" s="103">
        <v>0.72</v>
      </c>
      <c r="CS181" s="103">
        <f t="shared" si="9"/>
        <v>0.71279999999999999</v>
      </c>
      <c r="CT181" s="103">
        <v>4103.5</v>
      </c>
      <c r="CU181" s="103">
        <v>39859</v>
      </c>
      <c r="CV181" s="104">
        <v>0.10295040016056599</v>
      </c>
      <c r="CW181" s="103">
        <v>0</v>
      </c>
      <c r="CX181" s="103">
        <v>0</v>
      </c>
      <c r="CY181" s="103">
        <v>2752.9463900000001</v>
      </c>
      <c r="CZ181" s="103">
        <v>0</v>
      </c>
      <c r="DA181" s="103">
        <f t="shared" si="10"/>
        <v>0</v>
      </c>
      <c r="DB181" s="103">
        <v>1142.5999999999999</v>
      </c>
      <c r="DC181" s="103">
        <v>83254.2</v>
      </c>
      <c r="DD181" s="104">
        <v>1.3724232531211638E-2</v>
      </c>
      <c r="DE181" s="103">
        <v>23186.988300000001</v>
      </c>
      <c r="DF181" s="103">
        <v>0.92</v>
      </c>
      <c r="DG181" s="103">
        <v>38395.9761</v>
      </c>
      <c r="DH181" s="103">
        <v>0</v>
      </c>
      <c r="DI181" s="103">
        <f t="shared" si="11"/>
        <v>0</v>
      </c>
      <c r="DJ181" s="103">
        <v>9350.1</v>
      </c>
      <c r="DK181" s="103">
        <v>230174.4</v>
      </c>
      <c r="DL181" s="104">
        <v>4.0621806769128105E-2</v>
      </c>
    </row>
    <row r="182" spans="1:116" s="15" customFormat="1" ht="240.2" customHeight="1" x14ac:dyDescent="0.25">
      <c r="A182" s="100" t="s">
        <v>266</v>
      </c>
      <c r="B182" s="100" t="s">
        <v>2481</v>
      </c>
      <c r="C182" s="100" t="s">
        <v>87</v>
      </c>
      <c r="D182" s="105" t="str">
        <f>"Chemistry 250"</f>
        <v>Chemistry 250</v>
      </c>
      <c r="E182" s="102" t="s">
        <v>2482</v>
      </c>
      <c r="F182" s="100">
        <v>16</v>
      </c>
      <c r="G182" s="100">
        <v>5</v>
      </c>
      <c r="H182" s="100">
        <v>0.31</v>
      </c>
      <c r="I182" s="100">
        <v>26</v>
      </c>
      <c r="J182" s="100">
        <v>10</v>
      </c>
      <c r="K182" s="100">
        <v>6</v>
      </c>
      <c r="L182" s="100">
        <v>4</v>
      </c>
      <c r="M182" s="100">
        <v>3</v>
      </c>
      <c r="N182" s="100">
        <v>3</v>
      </c>
      <c r="O182" s="100">
        <v>1</v>
      </c>
      <c r="P182" s="100">
        <v>3.83</v>
      </c>
      <c r="Q182" s="100">
        <v>59.29</v>
      </c>
      <c r="R182" s="100">
        <v>5</v>
      </c>
      <c r="S182" s="100">
        <v>1</v>
      </c>
      <c r="T182" s="100">
        <v>0</v>
      </c>
      <c r="U182" s="100">
        <v>0</v>
      </c>
      <c r="V182" s="100">
        <v>1</v>
      </c>
      <c r="W182" s="100">
        <v>1</v>
      </c>
      <c r="X182" s="100">
        <v>0</v>
      </c>
      <c r="Y182" s="100">
        <v>0</v>
      </c>
      <c r="Z182" s="100">
        <v>1</v>
      </c>
      <c r="AA182" s="100">
        <v>0</v>
      </c>
      <c r="AB182" s="100">
        <v>0</v>
      </c>
      <c r="AC182" s="100">
        <v>1</v>
      </c>
      <c r="AD182" s="100">
        <v>0</v>
      </c>
      <c r="AE182" s="100">
        <v>0</v>
      </c>
      <c r="AF182" s="100">
        <v>0</v>
      </c>
      <c r="AG182" s="100">
        <v>1</v>
      </c>
      <c r="AH182" s="100">
        <v>0</v>
      </c>
      <c r="AI182" s="100">
        <v>0</v>
      </c>
      <c r="AJ182" s="100">
        <v>1</v>
      </c>
      <c r="AK182" s="100">
        <v>0</v>
      </c>
      <c r="AL182" s="100">
        <v>0</v>
      </c>
      <c r="AM182" s="100">
        <v>0</v>
      </c>
      <c r="AN182" s="100">
        <v>1</v>
      </c>
      <c r="AO182" s="100">
        <v>1</v>
      </c>
      <c r="AP182" s="100">
        <v>0</v>
      </c>
      <c r="AQ182" s="100">
        <v>0</v>
      </c>
      <c r="AR182" s="100">
        <v>0</v>
      </c>
      <c r="AS182" s="100">
        <v>0</v>
      </c>
      <c r="AT182" s="100">
        <v>1</v>
      </c>
      <c r="AU182" s="100">
        <v>0</v>
      </c>
      <c r="AV182" s="100">
        <v>0</v>
      </c>
      <c r="AW182" s="100">
        <v>0</v>
      </c>
      <c r="AX182" s="100">
        <v>0</v>
      </c>
      <c r="AY182" s="100">
        <v>0</v>
      </c>
      <c r="AZ182" s="100">
        <v>0</v>
      </c>
      <c r="BA182" s="100">
        <v>0</v>
      </c>
      <c r="BB182" s="100">
        <v>0</v>
      </c>
      <c r="BC182" s="100">
        <v>0</v>
      </c>
      <c r="BD182" s="100">
        <v>0</v>
      </c>
      <c r="BE182" s="100">
        <v>0</v>
      </c>
      <c r="BF182" s="100">
        <v>0</v>
      </c>
      <c r="BG182" s="100">
        <v>0</v>
      </c>
      <c r="BH182" s="100">
        <v>0</v>
      </c>
      <c r="BI182" s="100">
        <v>0</v>
      </c>
      <c r="BJ182" s="100">
        <v>1</v>
      </c>
      <c r="BK182" s="100">
        <v>0</v>
      </c>
      <c r="BL182" s="100">
        <v>1</v>
      </c>
      <c r="BM182" s="100">
        <v>0</v>
      </c>
      <c r="BN182" s="100">
        <v>0</v>
      </c>
      <c r="BO182" s="100">
        <v>0</v>
      </c>
      <c r="BP182" s="100">
        <v>1</v>
      </c>
      <c r="BQ182" s="100">
        <v>0</v>
      </c>
      <c r="BR182" s="100">
        <v>0</v>
      </c>
      <c r="BS182" s="100">
        <v>0</v>
      </c>
      <c r="BT182" s="100">
        <v>0</v>
      </c>
      <c r="BU182" s="100">
        <v>0</v>
      </c>
      <c r="BV182" s="100">
        <v>1</v>
      </c>
      <c r="BW182" s="100">
        <v>0</v>
      </c>
      <c r="BX182" s="100">
        <v>0</v>
      </c>
      <c r="BY182" s="100">
        <v>0</v>
      </c>
      <c r="BZ182" s="100">
        <v>0</v>
      </c>
      <c r="CA182" s="100">
        <v>0</v>
      </c>
      <c r="CB182" s="100" t="s">
        <v>2090</v>
      </c>
      <c r="CC182" s="100">
        <v>0</v>
      </c>
      <c r="CD182" s="100">
        <v>0</v>
      </c>
      <c r="CE182" s="100">
        <v>0</v>
      </c>
      <c r="CF182" s="100">
        <v>0</v>
      </c>
      <c r="CG182" s="103">
        <v>63952.077140000001</v>
      </c>
      <c r="CH182" s="103">
        <v>3.36</v>
      </c>
      <c r="CI182" s="103">
        <v>784389.57192000002</v>
      </c>
      <c r="CJ182" s="103">
        <v>11.57</v>
      </c>
      <c r="CK182" s="103">
        <f t="shared" si="8"/>
        <v>38.8752</v>
      </c>
      <c r="CL182" s="103">
        <v>29175</v>
      </c>
      <c r="CM182" s="103">
        <v>249646</v>
      </c>
      <c r="CN182" s="104">
        <v>0.11686548152183492</v>
      </c>
      <c r="CO182" s="103">
        <v>101414.77988</v>
      </c>
      <c r="CP182" s="103">
        <v>3.53</v>
      </c>
      <c r="CQ182" s="103">
        <v>1026932.09519</v>
      </c>
      <c r="CR182" s="103">
        <v>11.46</v>
      </c>
      <c r="CS182" s="103">
        <f t="shared" si="9"/>
        <v>40.453800000000001</v>
      </c>
      <c r="CT182" s="103">
        <v>55029.8</v>
      </c>
      <c r="CU182" s="103">
        <v>247254.1</v>
      </c>
      <c r="CV182" s="104">
        <v>0.22256375121787667</v>
      </c>
      <c r="CW182" s="103">
        <v>14342.492770000001</v>
      </c>
      <c r="CX182" s="103">
        <v>0.92</v>
      </c>
      <c r="CY182" s="103">
        <v>79701.692299999995</v>
      </c>
      <c r="CZ182" s="103">
        <v>2.2746833886634699</v>
      </c>
      <c r="DA182" s="103">
        <f t="shared" si="10"/>
        <v>2.0927087175703925</v>
      </c>
      <c r="DB182" s="103">
        <v>2700.2</v>
      </c>
      <c r="DC182" s="103">
        <v>642302.5</v>
      </c>
      <c r="DD182" s="104">
        <v>4.2039381755481255E-3</v>
      </c>
      <c r="DE182" s="103">
        <v>78886.701019999993</v>
      </c>
      <c r="DF182" s="103">
        <v>2.93</v>
      </c>
      <c r="DG182" s="103">
        <v>867475.24373999995</v>
      </c>
      <c r="DH182" s="103">
        <v>9.65</v>
      </c>
      <c r="DI182" s="103">
        <f t="shared" si="11"/>
        <v>28.274500000000003</v>
      </c>
      <c r="DJ182" s="103">
        <v>7317.9</v>
      </c>
      <c r="DK182" s="103">
        <v>290510.40000000002</v>
      </c>
      <c r="DL182" s="104">
        <v>2.5189803876212346E-2</v>
      </c>
    </row>
    <row r="183" spans="1:116" s="15" customFormat="1" ht="265.7" customHeight="1" x14ac:dyDescent="0.25">
      <c r="A183" s="100" t="s">
        <v>267</v>
      </c>
      <c r="B183" s="100" t="s">
        <v>2483</v>
      </c>
      <c r="C183" s="100" t="s">
        <v>87</v>
      </c>
      <c r="D183" s="101" t="str">
        <f>"Chemistry 207"</f>
        <v>Chemistry 207</v>
      </c>
      <c r="E183" s="102" t="s">
        <v>2484</v>
      </c>
      <c r="F183" s="100">
        <v>20</v>
      </c>
      <c r="G183" s="100">
        <v>6</v>
      </c>
      <c r="H183" s="100">
        <v>0.3</v>
      </c>
      <c r="I183" s="100">
        <v>29</v>
      </c>
      <c r="J183" s="100">
        <v>9</v>
      </c>
      <c r="K183" s="100">
        <v>8</v>
      </c>
      <c r="L183" s="100">
        <v>4</v>
      </c>
      <c r="M183" s="100">
        <v>2</v>
      </c>
      <c r="N183" s="100">
        <v>6</v>
      </c>
      <c r="O183" s="100">
        <v>2</v>
      </c>
      <c r="P183" s="100">
        <v>2.33</v>
      </c>
      <c r="Q183" s="100">
        <v>100.63</v>
      </c>
      <c r="R183" s="100">
        <v>5</v>
      </c>
      <c r="S183" s="100">
        <v>1</v>
      </c>
      <c r="T183" s="100">
        <v>0</v>
      </c>
      <c r="U183" s="100">
        <v>0</v>
      </c>
      <c r="V183" s="100">
        <v>1</v>
      </c>
      <c r="W183" s="100">
        <v>0</v>
      </c>
      <c r="X183" s="100">
        <v>0</v>
      </c>
      <c r="Y183" s="100">
        <v>1</v>
      </c>
      <c r="Z183" s="100">
        <v>0</v>
      </c>
      <c r="AA183" s="100">
        <v>0</v>
      </c>
      <c r="AB183" s="100">
        <v>1</v>
      </c>
      <c r="AC183" s="100">
        <v>0</v>
      </c>
      <c r="AD183" s="100">
        <v>0</v>
      </c>
      <c r="AE183" s="100">
        <v>0</v>
      </c>
      <c r="AF183" s="100">
        <v>1</v>
      </c>
      <c r="AG183" s="100">
        <v>0</v>
      </c>
      <c r="AH183" s="100">
        <v>0</v>
      </c>
      <c r="AI183" s="100">
        <v>0</v>
      </c>
      <c r="AJ183" s="100">
        <v>1</v>
      </c>
      <c r="AK183" s="100">
        <v>1</v>
      </c>
      <c r="AL183" s="100">
        <v>1</v>
      </c>
      <c r="AM183" s="100">
        <v>0</v>
      </c>
      <c r="AN183" s="100">
        <v>0</v>
      </c>
      <c r="AO183" s="100">
        <v>1</v>
      </c>
      <c r="AP183" s="100">
        <v>0</v>
      </c>
      <c r="AQ183" s="100">
        <v>0</v>
      </c>
      <c r="AR183" s="100">
        <v>0</v>
      </c>
      <c r="AS183" s="100">
        <v>0</v>
      </c>
      <c r="AT183" s="100">
        <v>1</v>
      </c>
      <c r="AU183" s="100">
        <v>1</v>
      </c>
      <c r="AV183" s="100">
        <v>0</v>
      </c>
      <c r="AW183" s="100">
        <v>0</v>
      </c>
      <c r="AX183" s="100">
        <v>1</v>
      </c>
      <c r="AY183" s="100">
        <v>0</v>
      </c>
      <c r="AZ183" s="100">
        <v>1</v>
      </c>
      <c r="BA183" s="100">
        <v>0</v>
      </c>
      <c r="BB183" s="100">
        <v>0</v>
      </c>
      <c r="BC183" s="100">
        <v>0</v>
      </c>
      <c r="BD183" s="100">
        <v>0</v>
      </c>
      <c r="BE183" s="100">
        <v>0</v>
      </c>
      <c r="BF183" s="100">
        <v>0</v>
      </c>
      <c r="BG183" s="100">
        <v>0</v>
      </c>
      <c r="BH183" s="100">
        <v>0</v>
      </c>
      <c r="BI183" s="100">
        <v>1</v>
      </c>
      <c r="BJ183" s="100">
        <v>6</v>
      </c>
      <c r="BK183" s="100">
        <v>0</v>
      </c>
      <c r="BL183" s="100">
        <v>1</v>
      </c>
      <c r="BM183" s="100">
        <v>1</v>
      </c>
      <c r="BN183" s="100">
        <v>0</v>
      </c>
      <c r="BO183" s="100">
        <v>0</v>
      </c>
      <c r="BP183" s="100">
        <v>1</v>
      </c>
      <c r="BQ183" s="100">
        <v>0</v>
      </c>
      <c r="BR183" s="100">
        <v>0</v>
      </c>
      <c r="BS183" s="100">
        <v>0</v>
      </c>
      <c r="BT183" s="100">
        <v>0</v>
      </c>
      <c r="BU183" s="100">
        <v>0</v>
      </c>
      <c r="BV183" s="100">
        <v>0</v>
      </c>
      <c r="BW183" s="100">
        <v>0</v>
      </c>
      <c r="BX183" s="100">
        <v>0</v>
      </c>
      <c r="BY183" s="100">
        <v>0</v>
      </c>
      <c r="BZ183" s="100">
        <v>0</v>
      </c>
      <c r="CA183" s="100">
        <v>0</v>
      </c>
      <c r="CB183" s="100" t="s">
        <v>2090</v>
      </c>
      <c r="CC183" s="100">
        <v>0</v>
      </c>
      <c r="CD183" s="100">
        <v>0</v>
      </c>
      <c r="CE183" s="100">
        <v>0</v>
      </c>
      <c r="CF183" s="100">
        <v>0</v>
      </c>
      <c r="CG183" s="103">
        <v>12055.4527</v>
      </c>
      <c r="CH183" s="103">
        <v>0.6</v>
      </c>
      <c r="CI183" s="103">
        <v>180563.63853</v>
      </c>
      <c r="CJ183" s="103">
        <v>2.06</v>
      </c>
      <c r="CK183" s="103">
        <f t="shared" si="8"/>
        <v>1.236</v>
      </c>
      <c r="CL183" s="103">
        <v>8650.2000000000007</v>
      </c>
      <c r="CM183" s="103">
        <v>592776.6</v>
      </c>
      <c r="CN183" s="104">
        <v>1.4592681290050926E-2</v>
      </c>
      <c r="CO183" s="103">
        <v>35380.741249999999</v>
      </c>
      <c r="CP183" s="103">
        <v>1.34</v>
      </c>
      <c r="CQ183" s="103">
        <v>518282.60738</v>
      </c>
      <c r="CR183" s="103">
        <v>5.08</v>
      </c>
      <c r="CS183" s="103">
        <f t="shared" si="9"/>
        <v>6.8072000000000008</v>
      </c>
      <c r="CT183" s="103">
        <v>29338.5</v>
      </c>
      <c r="CU183" s="103">
        <v>377080.5</v>
      </c>
      <c r="CV183" s="104">
        <v>7.7804341513284303E-2</v>
      </c>
      <c r="CW183" s="103">
        <v>0</v>
      </c>
      <c r="CX183" s="103">
        <v>0</v>
      </c>
      <c r="CY183" s="103">
        <v>8588.0676100000001</v>
      </c>
      <c r="CZ183" s="103">
        <v>0</v>
      </c>
      <c r="DA183" s="103">
        <f t="shared" si="10"/>
        <v>0</v>
      </c>
      <c r="DB183" s="103">
        <v>0</v>
      </c>
      <c r="DC183" s="103">
        <v>880820.3</v>
      </c>
      <c r="DD183" s="104">
        <v>0</v>
      </c>
      <c r="DE183" s="103">
        <v>37951.798820000004</v>
      </c>
      <c r="DF183" s="103">
        <v>1.38</v>
      </c>
      <c r="DG183" s="103">
        <v>409148.37102999998</v>
      </c>
      <c r="DH183" s="103">
        <v>3.73</v>
      </c>
      <c r="DI183" s="103">
        <f t="shared" si="11"/>
        <v>5.1473999999999993</v>
      </c>
      <c r="DJ183" s="103">
        <v>36892.699999999997</v>
      </c>
      <c r="DK183" s="103">
        <v>710399.7</v>
      </c>
      <c r="DL183" s="104">
        <v>5.1932313597542343E-2</v>
      </c>
    </row>
    <row r="184" spans="1:116" s="15" customFormat="1" ht="265.7" customHeight="1" x14ac:dyDescent="0.25">
      <c r="A184" s="100" t="s">
        <v>268</v>
      </c>
      <c r="B184" s="100" t="s">
        <v>2485</v>
      </c>
      <c r="C184" s="100" t="s">
        <v>87</v>
      </c>
      <c r="D184" s="101" t="str">
        <f>"Chemistry 261"</f>
        <v>Chemistry 261</v>
      </c>
      <c r="E184" s="102" t="s">
        <v>2486</v>
      </c>
      <c r="F184" s="100">
        <v>14</v>
      </c>
      <c r="G184" s="100">
        <v>4</v>
      </c>
      <c r="H184" s="100">
        <v>0.28999999999999998</v>
      </c>
      <c r="I184" s="100">
        <v>25</v>
      </c>
      <c r="J184" s="100">
        <v>11</v>
      </c>
      <c r="K184" s="100">
        <v>10</v>
      </c>
      <c r="L184" s="100">
        <v>8</v>
      </c>
      <c r="M184" s="100">
        <v>3</v>
      </c>
      <c r="N184" s="100">
        <v>7</v>
      </c>
      <c r="O184" s="100">
        <v>1</v>
      </c>
      <c r="P184" s="100">
        <v>2.0099999999999998</v>
      </c>
      <c r="Q184" s="100">
        <v>103.79</v>
      </c>
      <c r="R184" s="100">
        <v>3</v>
      </c>
      <c r="S184" s="100">
        <v>1</v>
      </c>
      <c r="T184" s="100">
        <v>0</v>
      </c>
      <c r="U184" s="100">
        <v>0</v>
      </c>
      <c r="V184" s="100">
        <v>1</v>
      </c>
      <c r="W184" s="100">
        <v>0</v>
      </c>
      <c r="X184" s="100">
        <v>0</v>
      </c>
      <c r="Y184" s="100">
        <v>0</v>
      </c>
      <c r="Z184" s="100">
        <v>1</v>
      </c>
      <c r="AA184" s="100">
        <v>0</v>
      </c>
      <c r="AB184" s="100">
        <v>1</v>
      </c>
      <c r="AC184" s="100">
        <v>0</v>
      </c>
      <c r="AD184" s="100">
        <v>0</v>
      </c>
      <c r="AE184" s="100">
        <v>0</v>
      </c>
      <c r="AF184" s="100">
        <v>1</v>
      </c>
      <c r="AG184" s="100">
        <v>0</v>
      </c>
      <c r="AH184" s="100">
        <v>0</v>
      </c>
      <c r="AI184" s="100">
        <v>0</v>
      </c>
      <c r="AJ184" s="100">
        <v>1</v>
      </c>
      <c r="AK184" s="100">
        <v>1</v>
      </c>
      <c r="AL184" s="100">
        <v>1</v>
      </c>
      <c r="AM184" s="100">
        <v>0</v>
      </c>
      <c r="AN184" s="100">
        <v>1</v>
      </c>
      <c r="AO184" s="100">
        <v>0</v>
      </c>
      <c r="AP184" s="100">
        <v>0</v>
      </c>
      <c r="AQ184" s="100">
        <v>0</v>
      </c>
      <c r="AR184" s="100">
        <v>0</v>
      </c>
      <c r="AS184" s="100">
        <v>0</v>
      </c>
      <c r="AT184" s="100">
        <v>1</v>
      </c>
      <c r="AU184" s="100">
        <v>1</v>
      </c>
      <c r="AV184" s="100">
        <v>0</v>
      </c>
      <c r="AW184" s="100">
        <v>0</v>
      </c>
      <c r="AX184" s="100">
        <v>0</v>
      </c>
      <c r="AY184" s="100">
        <v>0</v>
      </c>
      <c r="AZ184" s="100">
        <v>0</v>
      </c>
      <c r="BA184" s="100">
        <v>0</v>
      </c>
      <c r="BB184" s="100">
        <v>0</v>
      </c>
      <c r="BC184" s="100">
        <v>0</v>
      </c>
      <c r="BD184" s="100">
        <v>0</v>
      </c>
      <c r="BE184" s="100">
        <v>0</v>
      </c>
      <c r="BF184" s="100">
        <v>0</v>
      </c>
      <c r="BG184" s="100">
        <v>0</v>
      </c>
      <c r="BH184" s="100">
        <v>0</v>
      </c>
      <c r="BI184" s="100">
        <v>0</v>
      </c>
      <c r="BJ184" s="100">
        <v>2</v>
      </c>
      <c r="BK184" s="100">
        <v>0</v>
      </c>
      <c r="BL184" s="100">
        <v>0</v>
      </c>
      <c r="BM184" s="100">
        <v>0</v>
      </c>
      <c r="BN184" s="100">
        <v>0</v>
      </c>
      <c r="BO184" s="100">
        <v>0</v>
      </c>
      <c r="BP184" s="100">
        <v>0</v>
      </c>
      <c r="BQ184" s="100">
        <v>0</v>
      </c>
      <c r="BR184" s="100">
        <v>1</v>
      </c>
      <c r="BS184" s="100">
        <v>0</v>
      </c>
      <c r="BT184" s="100">
        <v>1</v>
      </c>
      <c r="BU184" s="100">
        <v>0</v>
      </c>
      <c r="BV184" s="100">
        <v>1</v>
      </c>
      <c r="BW184" s="100">
        <v>0</v>
      </c>
      <c r="BX184" s="100">
        <v>0</v>
      </c>
      <c r="BY184" s="100">
        <v>0</v>
      </c>
      <c r="BZ184" s="100">
        <v>0</v>
      </c>
      <c r="CA184" s="100">
        <v>0</v>
      </c>
      <c r="CB184" s="100" t="s">
        <v>2090</v>
      </c>
      <c r="CC184" s="100">
        <v>0</v>
      </c>
      <c r="CD184" s="100">
        <v>0</v>
      </c>
      <c r="CE184" s="100">
        <v>0</v>
      </c>
      <c r="CF184" s="100">
        <v>0</v>
      </c>
      <c r="CG184" s="103">
        <v>0</v>
      </c>
      <c r="CH184" s="103">
        <v>0</v>
      </c>
      <c r="CI184" s="103">
        <v>19025.915219999999</v>
      </c>
      <c r="CJ184" s="103">
        <v>0</v>
      </c>
      <c r="CK184" s="103">
        <f t="shared" si="8"/>
        <v>0</v>
      </c>
      <c r="CL184" s="103">
        <v>13350.7</v>
      </c>
      <c r="CM184" s="103">
        <v>836392</v>
      </c>
      <c r="CN184" s="104">
        <v>1.5962252149709706E-2</v>
      </c>
      <c r="CO184" s="103">
        <v>0</v>
      </c>
      <c r="CP184" s="103">
        <v>0</v>
      </c>
      <c r="CQ184" s="103">
        <v>6153.2595799999999</v>
      </c>
      <c r="CR184" s="103">
        <v>0</v>
      </c>
      <c r="CS184" s="103">
        <f t="shared" si="9"/>
        <v>0</v>
      </c>
      <c r="CT184" s="103">
        <v>3330.6</v>
      </c>
      <c r="CU184" s="103">
        <v>832862.8</v>
      </c>
      <c r="CV184" s="104">
        <v>3.9989779829282803E-3</v>
      </c>
      <c r="CW184" s="103">
        <v>0</v>
      </c>
      <c r="CX184" s="103">
        <v>0</v>
      </c>
      <c r="CY184" s="103">
        <v>31715.356810000001</v>
      </c>
      <c r="CZ184" s="103">
        <v>2.1966404322800424</v>
      </c>
      <c r="DA184" s="103">
        <f t="shared" si="10"/>
        <v>0</v>
      </c>
      <c r="DB184" s="103">
        <v>0</v>
      </c>
      <c r="DC184" s="103">
        <v>198748.3</v>
      </c>
      <c r="DD184" s="104">
        <v>0</v>
      </c>
      <c r="DE184" s="103">
        <v>0</v>
      </c>
      <c r="DF184" s="103">
        <v>0</v>
      </c>
      <c r="DG184" s="103">
        <v>11189.38127</v>
      </c>
      <c r="DH184" s="103">
        <v>0</v>
      </c>
      <c r="DI184" s="103">
        <f t="shared" si="11"/>
        <v>0</v>
      </c>
      <c r="DJ184" s="103">
        <v>5388.8</v>
      </c>
      <c r="DK184" s="103">
        <v>786563.8</v>
      </c>
      <c r="DL184" s="104">
        <v>6.8510653554104571E-3</v>
      </c>
    </row>
    <row r="185" spans="1:116" s="15" customFormat="1" ht="265.7" customHeight="1" x14ac:dyDescent="0.25">
      <c r="A185" s="100" t="s">
        <v>269</v>
      </c>
      <c r="B185" s="100" t="s">
        <v>2487</v>
      </c>
      <c r="C185" s="100" t="s">
        <v>87</v>
      </c>
      <c r="D185" s="101" t="str">
        <f>"Chemistry 294"</f>
        <v>Chemistry 294</v>
      </c>
      <c r="E185" s="102" t="s">
        <v>2488</v>
      </c>
      <c r="F185" s="100">
        <v>26</v>
      </c>
      <c r="G185" s="100">
        <v>8</v>
      </c>
      <c r="H185" s="100">
        <v>0.31</v>
      </c>
      <c r="I185" s="100">
        <v>36</v>
      </c>
      <c r="J185" s="100">
        <v>10</v>
      </c>
      <c r="K185" s="100">
        <v>8</v>
      </c>
      <c r="L185" s="100">
        <v>2</v>
      </c>
      <c r="M185" s="100">
        <v>3</v>
      </c>
      <c r="N185" s="100">
        <v>4</v>
      </c>
      <c r="O185" s="100">
        <v>2</v>
      </c>
      <c r="P185" s="100">
        <v>6.92</v>
      </c>
      <c r="Q185" s="100">
        <v>71.45</v>
      </c>
      <c r="R185" s="100">
        <v>9</v>
      </c>
      <c r="S185" s="100">
        <v>1</v>
      </c>
      <c r="T185" s="100">
        <v>0</v>
      </c>
      <c r="U185" s="100">
        <v>0</v>
      </c>
      <c r="V185" s="100">
        <v>0</v>
      </c>
      <c r="W185" s="100">
        <v>0</v>
      </c>
      <c r="X185" s="100">
        <v>0</v>
      </c>
      <c r="Y185" s="100">
        <v>1</v>
      </c>
      <c r="Z185" s="100">
        <v>0</v>
      </c>
      <c r="AA185" s="100">
        <v>0</v>
      </c>
      <c r="AB185" s="100">
        <v>1</v>
      </c>
      <c r="AC185" s="100">
        <v>0</v>
      </c>
      <c r="AD185" s="100">
        <v>0</v>
      </c>
      <c r="AE185" s="100">
        <v>0</v>
      </c>
      <c r="AF185" s="100">
        <v>0</v>
      </c>
      <c r="AG185" s="100">
        <v>1</v>
      </c>
      <c r="AH185" s="100">
        <v>0</v>
      </c>
      <c r="AI185" s="100">
        <v>0</v>
      </c>
      <c r="AJ185" s="100">
        <v>1</v>
      </c>
      <c r="AK185" s="100">
        <v>0</v>
      </c>
      <c r="AL185" s="100">
        <v>0</v>
      </c>
      <c r="AM185" s="100">
        <v>0</v>
      </c>
      <c r="AN185" s="100">
        <v>0</v>
      </c>
      <c r="AO185" s="100">
        <v>1</v>
      </c>
      <c r="AP185" s="100">
        <v>1</v>
      </c>
      <c r="AQ185" s="100">
        <v>0</v>
      </c>
      <c r="AR185" s="100">
        <v>0</v>
      </c>
      <c r="AS185" s="100">
        <v>0</v>
      </c>
      <c r="AT185" s="100">
        <v>1</v>
      </c>
      <c r="AU185" s="100">
        <v>0</v>
      </c>
      <c r="AV185" s="100">
        <v>0</v>
      </c>
      <c r="AW185" s="100">
        <v>0</v>
      </c>
      <c r="AX185" s="100">
        <v>0</v>
      </c>
      <c r="AY185" s="100">
        <v>0</v>
      </c>
      <c r="AZ185" s="100">
        <v>0</v>
      </c>
      <c r="BA185" s="100">
        <v>0</v>
      </c>
      <c r="BB185" s="100">
        <v>0</v>
      </c>
      <c r="BC185" s="100">
        <v>0</v>
      </c>
      <c r="BD185" s="100">
        <v>0</v>
      </c>
      <c r="BE185" s="100">
        <v>0</v>
      </c>
      <c r="BF185" s="100">
        <v>0</v>
      </c>
      <c r="BG185" s="100">
        <v>0</v>
      </c>
      <c r="BH185" s="100">
        <v>0</v>
      </c>
      <c r="BI185" s="100">
        <v>0</v>
      </c>
      <c r="BJ185" s="100">
        <v>2</v>
      </c>
      <c r="BK185" s="100">
        <v>0</v>
      </c>
      <c r="BL185" s="100">
        <v>1</v>
      </c>
      <c r="BM185" s="100">
        <v>0</v>
      </c>
      <c r="BN185" s="100">
        <v>1</v>
      </c>
      <c r="BO185" s="100">
        <v>0</v>
      </c>
      <c r="BP185" s="100">
        <v>0</v>
      </c>
      <c r="BQ185" s="100">
        <v>0</v>
      </c>
      <c r="BR185" s="100">
        <v>0</v>
      </c>
      <c r="BS185" s="100">
        <v>0</v>
      </c>
      <c r="BT185" s="100">
        <v>0</v>
      </c>
      <c r="BU185" s="100">
        <v>0</v>
      </c>
      <c r="BV185" s="100">
        <v>0</v>
      </c>
      <c r="BW185" s="100">
        <v>0</v>
      </c>
      <c r="BX185" s="100">
        <v>0</v>
      </c>
      <c r="BY185" s="100">
        <v>0</v>
      </c>
      <c r="BZ185" s="100">
        <v>0</v>
      </c>
      <c r="CA185" s="100">
        <v>0</v>
      </c>
      <c r="CB185" s="100" t="s">
        <v>2090</v>
      </c>
      <c r="CC185" s="100">
        <v>0</v>
      </c>
      <c r="CD185" s="100">
        <v>0</v>
      </c>
      <c r="CE185" s="100">
        <v>0</v>
      </c>
      <c r="CF185" s="100">
        <v>0</v>
      </c>
      <c r="CG185" s="103">
        <v>72558.218489999999</v>
      </c>
      <c r="CH185" s="103">
        <v>10.96</v>
      </c>
      <c r="CI185" s="103">
        <v>1260998.1225300001</v>
      </c>
      <c r="CJ185" s="103">
        <v>15.55</v>
      </c>
      <c r="CK185" s="103">
        <f t="shared" si="8"/>
        <v>170.42800000000003</v>
      </c>
      <c r="CL185" s="103">
        <v>6187.6</v>
      </c>
      <c r="CM185" s="103">
        <v>916911.7</v>
      </c>
      <c r="CN185" s="104">
        <v>6.7483052075788764E-3</v>
      </c>
      <c r="CO185" s="103">
        <v>15782.02872</v>
      </c>
      <c r="CP185" s="103">
        <v>1.79</v>
      </c>
      <c r="CQ185" s="103">
        <v>49065.571790000002</v>
      </c>
      <c r="CR185" s="103">
        <v>0</v>
      </c>
      <c r="CS185" s="103">
        <f t="shared" si="9"/>
        <v>0</v>
      </c>
      <c r="CT185" s="103">
        <v>5026.3</v>
      </c>
      <c r="CU185" s="103">
        <v>615735</v>
      </c>
      <c r="CV185" s="104">
        <v>8.1630896408357492E-3</v>
      </c>
      <c r="CW185" s="103">
        <v>204640.56237</v>
      </c>
      <c r="CX185" s="103">
        <v>21.74</v>
      </c>
      <c r="CY185" s="103">
        <v>1226299.4872699999</v>
      </c>
      <c r="CZ185" s="103">
        <v>28.849375080530859</v>
      </c>
      <c r="DA185" s="103">
        <f t="shared" si="10"/>
        <v>627.18541425074079</v>
      </c>
      <c r="DB185" s="103">
        <v>5287.7</v>
      </c>
      <c r="DC185" s="103">
        <v>786070.5</v>
      </c>
      <c r="DD185" s="104">
        <v>6.7267503360067572E-3</v>
      </c>
      <c r="DE185" s="103">
        <v>15541.134679999999</v>
      </c>
      <c r="DF185" s="103">
        <v>1.55</v>
      </c>
      <c r="DG185" s="103">
        <v>47911.667840000002</v>
      </c>
      <c r="DH185" s="103">
        <v>0.7</v>
      </c>
      <c r="DI185" s="103">
        <f t="shared" si="11"/>
        <v>1.085</v>
      </c>
      <c r="DJ185" s="103">
        <v>0</v>
      </c>
      <c r="DK185" s="103">
        <v>807702</v>
      </c>
      <c r="DL185" s="104">
        <v>0</v>
      </c>
    </row>
    <row r="186" spans="1:116" s="15" customFormat="1" ht="265.7" customHeight="1" x14ac:dyDescent="0.25">
      <c r="A186" s="100" t="s">
        <v>270</v>
      </c>
      <c r="B186" s="100" t="s">
        <v>2489</v>
      </c>
      <c r="C186" s="100" t="s">
        <v>87</v>
      </c>
      <c r="D186" s="101" t="str">
        <f>"Chemistry 251"</f>
        <v>Chemistry 251</v>
      </c>
      <c r="E186" s="102" t="s">
        <v>2490</v>
      </c>
      <c r="F186" s="100">
        <v>22</v>
      </c>
      <c r="G186" s="100">
        <v>6</v>
      </c>
      <c r="H186" s="100">
        <v>0.27</v>
      </c>
      <c r="I186" s="100">
        <v>30</v>
      </c>
      <c r="J186" s="100">
        <v>8</v>
      </c>
      <c r="K186" s="100">
        <v>5</v>
      </c>
      <c r="L186" s="100">
        <v>4</v>
      </c>
      <c r="M186" s="100">
        <v>3</v>
      </c>
      <c r="N186" s="100">
        <v>3</v>
      </c>
      <c r="O186" s="100">
        <v>1</v>
      </c>
      <c r="P186" s="100">
        <v>6.62</v>
      </c>
      <c r="Q186" s="100">
        <v>50.16</v>
      </c>
      <c r="R186" s="100">
        <v>4</v>
      </c>
      <c r="S186" s="100">
        <v>1</v>
      </c>
      <c r="T186" s="100">
        <v>0</v>
      </c>
      <c r="U186" s="100">
        <v>0</v>
      </c>
      <c r="V186" s="100">
        <v>1</v>
      </c>
      <c r="W186" s="100">
        <v>1</v>
      </c>
      <c r="X186" s="100">
        <v>0</v>
      </c>
      <c r="Y186" s="100">
        <v>0</v>
      </c>
      <c r="Z186" s="100">
        <v>1</v>
      </c>
      <c r="AA186" s="100">
        <v>0</v>
      </c>
      <c r="AB186" s="100">
        <v>0</v>
      </c>
      <c r="AC186" s="100">
        <v>1</v>
      </c>
      <c r="AD186" s="100">
        <v>0</v>
      </c>
      <c r="AE186" s="100">
        <v>0</v>
      </c>
      <c r="AF186" s="100">
        <v>0</v>
      </c>
      <c r="AG186" s="100">
        <v>1</v>
      </c>
      <c r="AH186" s="100">
        <v>0</v>
      </c>
      <c r="AI186" s="100">
        <v>0</v>
      </c>
      <c r="AJ186" s="100">
        <v>1</v>
      </c>
      <c r="AK186" s="100">
        <v>0</v>
      </c>
      <c r="AL186" s="100">
        <v>0</v>
      </c>
      <c r="AM186" s="100">
        <v>0</v>
      </c>
      <c r="AN186" s="100">
        <v>1</v>
      </c>
      <c r="AO186" s="100">
        <v>0</v>
      </c>
      <c r="AP186" s="100">
        <v>0</v>
      </c>
      <c r="AQ186" s="100">
        <v>0</v>
      </c>
      <c r="AR186" s="100">
        <v>0</v>
      </c>
      <c r="AS186" s="100">
        <v>0</v>
      </c>
      <c r="AT186" s="100">
        <v>1</v>
      </c>
      <c r="AU186" s="100">
        <v>0</v>
      </c>
      <c r="AV186" s="100">
        <v>0</v>
      </c>
      <c r="AW186" s="100">
        <v>0</v>
      </c>
      <c r="AX186" s="100">
        <v>0</v>
      </c>
      <c r="AY186" s="100">
        <v>0</v>
      </c>
      <c r="AZ186" s="100">
        <v>0</v>
      </c>
      <c r="BA186" s="100">
        <v>0</v>
      </c>
      <c r="BB186" s="100">
        <v>0</v>
      </c>
      <c r="BC186" s="100">
        <v>0</v>
      </c>
      <c r="BD186" s="100">
        <v>0</v>
      </c>
      <c r="BE186" s="100">
        <v>0</v>
      </c>
      <c r="BF186" s="100">
        <v>0</v>
      </c>
      <c r="BG186" s="100">
        <v>0</v>
      </c>
      <c r="BH186" s="100">
        <v>0</v>
      </c>
      <c r="BI186" s="100">
        <v>0</v>
      </c>
      <c r="BJ186" s="100">
        <v>1</v>
      </c>
      <c r="BK186" s="100">
        <v>0</v>
      </c>
      <c r="BL186" s="100">
        <v>1</v>
      </c>
      <c r="BM186" s="100">
        <v>0</v>
      </c>
      <c r="BN186" s="100">
        <v>0</v>
      </c>
      <c r="BO186" s="100">
        <v>0</v>
      </c>
      <c r="BP186" s="100">
        <v>0</v>
      </c>
      <c r="BQ186" s="100">
        <v>1</v>
      </c>
      <c r="BR186" s="100">
        <v>0</v>
      </c>
      <c r="BS186" s="100">
        <v>0</v>
      </c>
      <c r="BT186" s="100">
        <v>0</v>
      </c>
      <c r="BU186" s="100">
        <v>0</v>
      </c>
      <c r="BV186" s="100">
        <v>1</v>
      </c>
      <c r="BW186" s="100">
        <v>0</v>
      </c>
      <c r="BX186" s="100">
        <v>0</v>
      </c>
      <c r="BY186" s="100">
        <v>0</v>
      </c>
      <c r="BZ186" s="100">
        <v>0</v>
      </c>
      <c r="CA186" s="100">
        <v>0</v>
      </c>
      <c r="CB186" s="100" t="s">
        <v>2090</v>
      </c>
      <c r="CC186" s="100">
        <v>0</v>
      </c>
      <c r="CD186" s="100">
        <v>0</v>
      </c>
      <c r="CE186" s="100">
        <v>0</v>
      </c>
      <c r="CF186" s="100">
        <v>0</v>
      </c>
      <c r="CG186" s="103">
        <v>48370.421690000003</v>
      </c>
      <c r="CH186" s="103">
        <v>3.71</v>
      </c>
      <c r="CI186" s="103">
        <v>422354.32711999997</v>
      </c>
      <c r="CJ186" s="103">
        <v>6.48</v>
      </c>
      <c r="CK186" s="103">
        <f t="shared" si="8"/>
        <v>24.040800000000001</v>
      </c>
      <c r="CL186" s="103">
        <v>29111.200000000001</v>
      </c>
      <c r="CM186" s="103">
        <v>632681.19999999995</v>
      </c>
      <c r="CN186" s="104">
        <v>4.6012430905169939E-2</v>
      </c>
      <c r="CO186" s="103">
        <v>0</v>
      </c>
      <c r="CP186" s="103">
        <v>0</v>
      </c>
      <c r="CQ186" s="103">
        <v>9251.6538899999996</v>
      </c>
      <c r="CR186" s="103">
        <v>0</v>
      </c>
      <c r="CS186" s="103">
        <f t="shared" si="9"/>
        <v>0</v>
      </c>
      <c r="CT186" s="103">
        <v>0</v>
      </c>
      <c r="CU186" s="103">
        <v>723830.2</v>
      </c>
      <c r="CV186" s="104">
        <v>0</v>
      </c>
      <c r="CW186" s="103">
        <v>0</v>
      </c>
      <c r="CX186" s="103">
        <v>0</v>
      </c>
      <c r="CY186" s="103">
        <v>51771.243970000003</v>
      </c>
      <c r="CZ186" s="103">
        <v>0</v>
      </c>
      <c r="DA186" s="103">
        <f t="shared" si="10"/>
        <v>0</v>
      </c>
      <c r="DB186" s="103">
        <v>4628</v>
      </c>
      <c r="DC186" s="103">
        <v>315030</v>
      </c>
      <c r="DD186" s="104">
        <v>1.4690664381170048E-2</v>
      </c>
      <c r="DE186" s="103">
        <v>16195.352150000001</v>
      </c>
      <c r="DF186" s="103">
        <v>0.83</v>
      </c>
      <c r="DG186" s="103">
        <v>10054.71117</v>
      </c>
      <c r="DH186" s="103">
        <v>0</v>
      </c>
      <c r="DI186" s="103">
        <f t="shared" si="11"/>
        <v>0</v>
      </c>
      <c r="DJ186" s="103">
        <v>12607.1</v>
      </c>
      <c r="DK186" s="103">
        <v>588957.5</v>
      </c>
      <c r="DL186" s="104">
        <v>2.1405789042503068E-2</v>
      </c>
    </row>
    <row r="187" spans="1:116" s="15" customFormat="1" ht="165.95" customHeight="1" x14ac:dyDescent="0.25">
      <c r="A187" s="100" t="s">
        <v>271</v>
      </c>
      <c r="B187" s="100" t="s">
        <v>2491</v>
      </c>
      <c r="C187" s="100" t="s">
        <v>87</v>
      </c>
      <c r="D187" s="115" t="str">
        <f>"Chemistry 184"</f>
        <v>Chemistry 184</v>
      </c>
      <c r="E187" s="102" t="s">
        <v>2492</v>
      </c>
      <c r="F187" s="100">
        <v>22</v>
      </c>
      <c r="G187" s="100">
        <v>12</v>
      </c>
      <c r="H187" s="100">
        <v>0.55000000000000004</v>
      </c>
      <c r="I187" s="100">
        <v>29</v>
      </c>
      <c r="J187" s="100">
        <v>7</v>
      </c>
      <c r="K187" s="100">
        <v>6</v>
      </c>
      <c r="L187" s="100">
        <v>5</v>
      </c>
      <c r="M187" s="100">
        <v>3</v>
      </c>
      <c r="N187" s="100">
        <v>4</v>
      </c>
      <c r="O187" s="100">
        <v>0</v>
      </c>
      <c r="P187" s="100">
        <v>3.29</v>
      </c>
      <c r="Q187" s="100">
        <v>69.63</v>
      </c>
      <c r="R187" s="100">
        <v>4</v>
      </c>
      <c r="S187" s="100">
        <v>1</v>
      </c>
      <c r="T187" s="100">
        <v>0</v>
      </c>
      <c r="U187" s="100">
        <v>0</v>
      </c>
      <c r="V187" s="100">
        <v>1</v>
      </c>
      <c r="W187" s="100">
        <v>0</v>
      </c>
      <c r="X187" s="100">
        <v>0</v>
      </c>
      <c r="Y187" s="100">
        <v>0</v>
      </c>
      <c r="Z187" s="100">
        <v>0</v>
      </c>
      <c r="AA187" s="100">
        <v>1</v>
      </c>
      <c r="AB187" s="100">
        <v>1</v>
      </c>
      <c r="AC187" s="100">
        <v>0</v>
      </c>
      <c r="AD187" s="100">
        <v>0</v>
      </c>
      <c r="AE187" s="100">
        <v>0</v>
      </c>
      <c r="AF187" s="100">
        <v>0</v>
      </c>
      <c r="AG187" s="100">
        <v>1</v>
      </c>
      <c r="AH187" s="100">
        <v>0</v>
      </c>
      <c r="AI187" s="100">
        <v>0</v>
      </c>
      <c r="AJ187" s="100">
        <v>1</v>
      </c>
      <c r="AK187" s="100">
        <v>1</v>
      </c>
      <c r="AL187" s="100">
        <v>1</v>
      </c>
      <c r="AM187" s="100">
        <v>0</v>
      </c>
      <c r="AN187" s="100">
        <v>1</v>
      </c>
      <c r="AO187" s="100">
        <v>0</v>
      </c>
      <c r="AP187" s="100">
        <v>0</v>
      </c>
      <c r="AQ187" s="100">
        <v>0</v>
      </c>
      <c r="AR187" s="100">
        <v>0</v>
      </c>
      <c r="AS187" s="100">
        <v>0</v>
      </c>
      <c r="AT187" s="100">
        <v>0</v>
      </c>
      <c r="AU187" s="100">
        <v>0</v>
      </c>
      <c r="AV187" s="100">
        <v>0</v>
      </c>
      <c r="AW187" s="100">
        <v>0</v>
      </c>
      <c r="AX187" s="100">
        <v>0</v>
      </c>
      <c r="AY187" s="100">
        <v>0</v>
      </c>
      <c r="AZ187" s="100">
        <v>0</v>
      </c>
      <c r="BA187" s="100">
        <v>0</v>
      </c>
      <c r="BB187" s="100">
        <v>0</v>
      </c>
      <c r="BC187" s="100">
        <v>0</v>
      </c>
      <c r="BD187" s="100">
        <v>0</v>
      </c>
      <c r="BE187" s="100">
        <v>0</v>
      </c>
      <c r="BF187" s="100">
        <v>0</v>
      </c>
      <c r="BG187" s="100">
        <v>0</v>
      </c>
      <c r="BH187" s="100">
        <v>0</v>
      </c>
      <c r="BI187" s="100">
        <v>0</v>
      </c>
      <c r="BJ187" s="100">
        <v>0</v>
      </c>
      <c r="BK187" s="100">
        <v>0</v>
      </c>
      <c r="BL187" s="100">
        <v>0</v>
      </c>
      <c r="BM187" s="100">
        <v>0</v>
      </c>
      <c r="BN187" s="100">
        <v>0</v>
      </c>
      <c r="BO187" s="100">
        <v>0</v>
      </c>
      <c r="BP187" s="100">
        <v>0</v>
      </c>
      <c r="BQ187" s="100">
        <v>0</v>
      </c>
      <c r="BR187" s="100">
        <v>0</v>
      </c>
      <c r="BS187" s="100">
        <v>0</v>
      </c>
      <c r="BT187" s="100">
        <v>0</v>
      </c>
      <c r="BU187" s="100">
        <v>0</v>
      </c>
      <c r="BV187" s="100">
        <v>1</v>
      </c>
      <c r="BW187" s="100">
        <v>0</v>
      </c>
      <c r="BX187" s="100">
        <v>0</v>
      </c>
      <c r="BY187" s="100">
        <v>0</v>
      </c>
      <c r="BZ187" s="100">
        <v>0</v>
      </c>
      <c r="CA187" s="100">
        <v>0</v>
      </c>
      <c r="CB187" s="100" t="s">
        <v>2090</v>
      </c>
      <c r="CC187" s="100">
        <v>0</v>
      </c>
      <c r="CD187" s="100">
        <v>0</v>
      </c>
      <c r="CE187" s="100">
        <v>0</v>
      </c>
      <c r="CF187" s="100">
        <v>0</v>
      </c>
      <c r="CG187" s="103">
        <v>5827.6597499999998</v>
      </c>
      <c r="CH187" s="103">
        <v>0.86</v>
      </c>
      <c r="CI187" s="103">
        <v>262810.65837000002</v>
      </c>
      <c r="CJ187" s="103">
        <v>3.12</v>
      </c>
      <c r="CK187" s="103">
        <f t="shared" si="8"/>
        <v>2.6832000000000003</v>
      </c>
      <c r="CL187" s="103">
        <v>35680.9</v>
      </c>
      <c r="CM187" s="103">
        <v>317949.8</v>
      </c>
      <c r="CN187" s="104">
        <v>0.11222180356773302</v>
      </c>
      <c r="CO187" s="103">
        <v>5244.2511100000002</v>
      </c>
      <c r="CP187" s="103">
        <v>0.56000000000000005</v>
      </c>
      <c r="CQ187" s="103">
        <v>252340.32654000001</v>
      </c>
      <c r="CR187" s="103">
        <v>2.29</v>
      </c>
      <c r="CS187" s="103">
        <f t="shared" si="9"/>
        <v>1.2824000000000002</v>
      </c>
      <c r="CT187" s="103">
        <v>19215.8</v>
      </c>
      <c r="CU187" s="103">
        <v>329667.40000000002</v>
      </c>
      <c r="CV187" s="104">
        <v>5.8288444656644844E-2</v>
      </c>
      <c r="CW187" s="103">
        <v>0</v>
      </c>
      <c r="CX187" s="103">
        <v>0</v>
      </c>
      <c r="CY187" s="103">
        <v>19025.019069999998</v>
      </c>
      <c r="CZ187" s="103">
        <v>0</v>
      </c>
      <c r="DA187" s="103">
        <f t="shared" si="10"/>
        <v>0</v>
      </c>
      <c r="DB187" s="103">
        <v>2036.5</v>
      </c>
      <c r="DC187" s="103">
        <v>86242.5</v>
      </c>
      <c r="DD187" s="104">
        <v>2.3613647563556252E-2</v>
      </c>
      <c r="DE187" s="103">
        <v>15023.478349999999</v>
      </c>
      <c r="DF187" s="103">
        <v>1.32</v>
      </c>
      <c r="DG187" s="103">
        <v>454408.95804</v>
      </c>
      <c r="DH187" s="103">
        <v>3.3</v>
      </c>
      <c r="DI187" s="103">
        <f t="shared" si="11"/>
        <v>4.3559999999999999</v>
      </c>
      <c r="DJ187" s="103">
        <v>8024.5</v>
      </c>
      <c r="DK187" s="103">
        <v>58182.9</v>
      </c>
      <c r="DL187" s="104">
        <v>0.13791852932734533</v>
      </c>
    </row>
    <row r="188" spans="1:116" s="15" customFormat="1" ht="265.7" customHeight="1" x14ac:dyDescent="0.25">
      <c r="A188" s="100" t="s">
        <v>272</v>
      </c>
      <c r="B188" s="100" t="s">
        <v>2493</v>
      </c>
      <c r="C188" s="100" t="s">
        <v>87</v>
      </c>
      <c r="D188" s="101" t="str">
        <f>"Chemistry 341"</f>
        <v>Chemistry 341</v>
      </c>
      <c r="E188" s="102" t="s">
        <v>2494</v>
      </c>
      <c r="F188" s="100">
        <v>25</v>
      </c>
      <c r="G188" s="100">
        <v>7</v>
      </c>
      <c r="H188" s="100">
        <v>0.28000000000000003</v>
      </c>
      <c r="I188" s="100">
        <v>30</v>
      </c>
      <c r="J188" s="100">
        <v>5</v>
      </c>
      <c r="K188" s="100">
        <v>4</v>
      </c>
      <c r="L188" s="100">
        <v>1</v>
      </c>
      <c r="M188" s="100">
        <v>3</v>
      </c>
      <c r="N188" s="100">
        <v>4</v>
      </c>
      <c r="O188" s="100">
        <v>0</v>
      </c>
      <c r="P188" s="100">
        <v>6.91</v>
      </c>
      <c r="Q188" s="100">
        <v>48.42</v>
      </c>
      <c r="R188" s="100">
        <v>9</v>
      </c>
      <c r="S188" s="100">
        <v>1</v>
      </c>
      <c r="T188" s="100">
        <v>0</v>
      </c>
      <c r="U188" s="100">
        <v>0</v>
      </c>
      <c r="V188" s="100">
        <v>0</v>
      </c>
      <c r="W188" s="100">
        <v>0</v>
      </c>
      <c r="X188" s="100">
        <v>1</v>
      </c>
      <c r="Y188" s="100">
        <v>0</v>
      </c>
      <c r="Z188" s="100">
        <v>0</v>
      </c>
      <c r="AA188" s="100">
        <v>1</v>
      </c>
      <c r="AB188" s="100">
        <v>1</v>
      </c>
      <c r="AC188" s="100">
        <v>0</v>
      </c>
      <c r="AD188" s="100">
        <v>0</v>
      </c>
      <c r="AE188" s="100">
        <v>0</v>
      </c>
      <c r="AF188" s="100">
        <v>0</v>
      </c>
      <c r="AG188" s="100">
        <v>1</v>
      </c>
      <c r="AH188" s="100">
        <v>0</v>
      </c>
      <c r="AI188" s="100">
        <v>0</v>
      </c>
      <c r="AJ188" s="100">
        <v>1</v>
      </c>
      <c r="AK188" s="100">
        <v>0</v>
      </c>
      <c r="AL188" s="100">
        <v>0</v>
      </c>
      <c r="AM188" s="100">
        <v>0</v>
      </c>
      <c r="AN188" s="100">
        <v>0</v>
      </c>
      <c r="AO188" s="100">
        <v>1</v>
      </c>
      <c r="AP188" s="100">
        <v>0</v>
      </c>
      <c r="AQ188" s="100">
        <v>0</v>
      </c>
      <c r="AR188" s="100">
        <v>1</v>
      </c>
      <c r="AS188" s="100">
        <v>0</v>
      </c>
      <c r="AT188" s="100">
        <v>0</v>
      </c>
      <c r="AU188" s="100">
        <v>0</v>
      </c>
      <c r="AV188" s="100">
        <v>0</v>
      </c>
      <c r="AW188" s="100">
        <v>0</v>
      </c>
      <c r="AX188" s="100">
        <v>1</v>
      </c>
      <c r="AY188" s="100">
        <v>0</v>
      </c>
      <c r="AZ188" s="100">
        <v>0</v>
      </c>
      <c r="BA188" s="100">
        <v>0</v>
      </c>
      <c r="BB188" s="100">
        <v>0</v>
      </c>
      <c r="BC188" s="100">
        <v>0</v>
      </c>
      <c r="BD188" s="100">
        <v>0</v>
      </c>
      <c r="BE188" s="100">
        <v>0</v>
      </c>
      <c r="BF188" s="100">
        <v>0</v>
      </c>
      <c r="BG188" s="100">
        <v>0</v>
      </c>
      <c r="BH188" s="100">
        <v>0</v>
      </c>
      <c r="BI188" s="100">
        <v>0</v>
      </c>
      <c r="BJ188" s="100">
        <v>2</v>
      </c>
      <c r="BK188" s="100">
        <v>0</v>
      </c>
      <c r="BL188" s="100">
        <v>0</v>
      </c>
      <c r="BM188" s="100">
        <v>0</v>
      </c>
      <c r="BN188" s="100">
        <v>1</v>
      </c>
      <c r="BO188" s="100">
        <v>0</v>
      </c>
      <c r="BP188" s="100">
        <v>0</v>
      </c>
      <c r="BQ188" s="100">
        <v>0</v>
      </c>
      <c r="BR188" s="100">
        <v>0</v>
      </c>
      <c r="BS188" s="100">
        <v>0</v>
      </c>
      <c r="BT188" s="100">
        <v>0</v>
      </c>
      <c r="BU188" s="100">
        <v>0</v>
      </c>
      <c r="BV188" s="100">
        <v>0</v>
      </c>
      <c r="BW188" s="100">
        <v>0</v>
      </c>
      <c r="BX188" s="100">
        <v>0</v>
      </c>
      <c r="BY188" s="100">
        <v>0</v>
      </c>
      <c r="BZ188" s="100">
        <v>0</v>
      </c>
      <c r="CA188" s="100">
        <v>0</v>
      </c>
      <c r="CB188" s="100" t="s">
        <v>2090</v>
      </c>
      <c r="CC188" s="100">
        <v>0</v>
      </c>
      <c r="CD188" s="100">
        <v>0</v>
      </c>
      <c r="CE188" s="100">
        <v>0</v>
      </c>
      <c r="CF188" s="100">
        <v>0</v>
      </c>
      <c r="CG188" s="103">
        <v>845152.76725999999</v>
      </c>
      <c r="CH188" s="103">
        <v>54.63</v>
      </c>
      <c r="CI188" s="103">
        <v>3578689.92166</v>
      </c>
      <c r="CJ188" s="103">
        <v>37.4</v>
      </c>
      <c r="CK188" s="103">
        <f t="shared" si="8"/>
        <v>2043.162</v>
      </c>
      <c r="CL188" s="103">
        <v>825266.7</v>
      </c>
      <c r="CM188" s="103">
        <v>1045102</v>
      </c>
      <c r="CN188" s="104">
        <v>0.78965182345838014</v>
      </c>
      <c r="CO188" s="103">
        <v>577789.34481000004</v>
      </c>
      <c r="CP188" s="103">
        <v>22.72</v>
      </c>
      <c r="CQ188" s="103">
        <v>576854.25462000002</v>
      </c>
      <c r="CR188" s="103">
        <v>18.190000000000001</v>
      </c>
      <c r="CS188" s="103">
        <f t="shared" si="9"/>
        <v>413.27679999999998</v>
      </c>
      <c r="CT188" s="103">
        <v>30886.799999999999</v>
      </c>
      <c r="CU188" s="103">
        <v>982375.3</v>
      </c>
      <c r="CV188" s="104">
        <v>3.1440937083821223E-2</v>
      </c>
      <c r="CW188" s="103">
        <v>505475.63071</v>
      </c>
      <c r="CX188" s="103">
        <v>46.51</v>
      </c>
      <c r="CY188" s="103">
        <v>3501089.5392700001</v>
      </c>
      <c r="CZ188" s="103">
        <v>48.345942738466114</v>
      </c>
      <c r="DA188" s="103">
        <f t="shared" si="10"/>
        <v>2248.569796766059</v>
      </c>
      <c r="DB188" s="103">
        <v>388217.8</v>
      </c>
      <c r="DC188" s="103">
        <v>625116.5</v>
      </c>
      <c r="DD188" s="104">
        <v>0.62103271950108496</v>
      </c>
      <c r="DE188" s="103">
        <v>120436.28031</v>
      </c>
      <c r="DF188" s="103">
        <v>5.44</v>
      </c>
      <c r="DG188" s="103">
        <v>2205879.6767799999</v>
      </c>
      <c r="DH188" s="103">
        <v>5.82</v>
      </c>
      <c r="DI188" s="103">
        <f t="shared" si="11"/>
        <v>31.660800000000005</v>
      </c>
      <c r="DJ188" s="103">
        <v>44428</v>
      </c>
      <c r="DK188" s="103">
        <v>772450.6</v>
      </c>
      <c r="DL188" s="104">
        <v>5.751565213361217E-2</v>
      </c>
    </row>
    <row r="189" spans="1:116" s="15" customFormat="1" ht="265.7" customHeight="1" x14ac:dyDescent="0.25">
      <c r="A189" s="100" t="s">
        <v>273</v>
      </c>
      <c r="B189" s="100" t="s">
        <v>2495</v>
      </c>
      <c r="C189" s="100" t="s">
        <v>87</v>
      </c>
      <c r="D189" s="101" t="str">
        <f>"Chemistry 286"</f>
        <v>Chemistry 286</v>
      </c>
      <c r="E189" s="102" t="s">
        <v>2496</v>
      </c>
      <c r="F189" s="100">
        <v>19</v>
      </c>
      <c r="G189" s="100">
        <v>14</v>
      </c>
      <c r="H189" s="100">
        <v>0.74</v>
      </c>
      <c r="I189" s="100">
        <v>27</v>
      </c>
      <c r="J189" s="100">
        <v>8</v>
      </c>
      <c r="K189" s="100">
        <v>7</v>
      </c>
      <c r="L189" s="100">
        <v>3</v>
      </c>
      <c r="M189" s="100">
        <v>1</v>
      </c>
      <c r="N189" s="100">
        <v>4</v>
      </c>
      <c r="O189" s="100">
        <v>2</v>
      </c>
      <c r="P189" s="100">
        <v>1.29</v>
      </c>
      <c r="Q189" s="100">
        <v>82.53</v>
      </c>
      <c r="R189" s="100">
        <v>6</v>
      </c>
      <c r="S189" s="100">
        <v>1</v>
      </c>
      <c r="T189" s="100">
        <v>0</v>
      </c>
      <c r="U189" s="100">
        <v>0</v>
      </c>
      <c r="V189" s="100">
        <v>0</v>
      </c>
      <c r="W189" s="100">
        <v>0</v>
      </c>
      <c r="X189" s="100">
        <v>0</v>
      </c>
      <c r="Y189" s="100">
        <v>1</v>
      </c>
      <c r="Z189" s="100">
        <v>0</v>
      </c>
      <c r="AA189" s="100">
        <v>0</v>
      </c>
      <c r="AB189" s="100">
        <v>1</v>
      </c>
      <c r="AC189" s="100">
        <v>0</v>
      </c>
      <c r="AD189" s="100">
        <v>0</v>
      </c>
      <c r="AE189" s="100">
        <v>1</v>
      </c>
      <c r="AF189" s="100">
        <v>0</v>
      </c>
      <c r="AG189" s="100">
        <v>0</v>
      </c>
      <c r="AH189" s="100">
        <v>0</v>
      </c>
      <c r="AI189" s="100">
        <v>0</v>
      </c>
      <c r="AJ189" s="100">
        <v>1</v>
      </c>
      <c r="AK189" s="100">
        <v>0</v>
      </c>
      <c r="AL189" s="100">
        <v>0</v>
      </c>
      <c r="AM189" s="100">
        <v>0</v>
      </c>
      <c r="AN189" s="100">
        <v>1</v>
      </c>
      <c r="AO189" s="100">
        <v>0</v>
      </c>
      <c r="AP189" s="100">
        <v>1</v>
      </c>
      <c r="AQ189" s="100">
        <v>0</v>
      </c>
      <c r="AR189" s="100">
        <v>0</v>
      </c>
      <c r="AS189" s="100">
        <v>0</v>
      </c>
      <c r="AT189" s="100">
        <v>1</v>
      </c>
      <c r="AU189" s="100">
        <v>0</v>
      </c>
      <c r="AV189" s="100">
        <v>0</v>
      </c>
      <c r="AW189" s="100">
        <v>0</v>
      </c>
      <c r="AX189" s="100">
        <v>0</v>
      </c>
      <c r="AY189" s="100">
        <v>0</v>
      </c>
      <c r="AZ189" s="100">
        <v>0</v>
      </c>
      <c r="BA189" s="100">
        <v>0</v>
      </c>
      <c r="BB189" s="100">
        <v>0</v>
      </c>
      <c r="BC189" s="100">
        <v>0</v>
      </c>
      <c r="BD189" s="100">
        <v>0</v>
      </c>
      <c r="BE189" s="100">
        <v>0</v>
      </c>
      <c r="BF189" s="100">
        <v>0</v>
      </c>
      <c r="BG189" s="100">
        <v>0</v>
      </c>
      <c r="BH189" s="100">
        <v>0</v>
      </c>
      <c r="BI189" s="100">
        <v>0</v>
      </c>
      <c r="BJ189" s="100">
        <v>3</v>
      </c>
      <c r="BK189" s="100">
        <v>0</v>
      </c>
      <c r="BL189" s="100">
        <v>1</v>
      </c>
      <c r="BM189" s="100">
        <v>0</v>
      </c>
      <c r="BN189" s="100">
        <v>0</v>
      </c>
      <c r="BO189" s="100">
        <v>0</v>
      </c>
      <c r="BP189" s="100">
        <v>0</v>
      </c>
      <c r="BQ189" s="100">
        <v>0</v>
      </c>
      <c r="BR189" s="100">
        <v>0</v>
      </c>
      <c r="BS189" s="100">
        <v>0</v>
      </c>
      <c r="BT189" s="100">
        <v>0</v>
      </c>
      <c r="BU189" s="100">
        <v>0</v>
      </c>
      <c r="BV189" s="100">
        <v>1</v>
      </c>
      <c r="BW189" s="100">
        <v>0</v>
      </c>
      <c r="BX189" s="100">
        <v>0</v>
      </c>
      <c r="BY189" s="100">
        <v>0</v>
      </c>
      <c r="BZ189" s="100">
        <v>0</v>
      </c>
      <c r="CA189" s="100">
        <v>0</v>
      </c>
      <c r="CB189" s="100" t="s">
        <v>2090</v>
      </c>
      <c r="CC189" s="100">
        <v>0</v>
      </c>
      <c r="CD189" s="100">
        <v>0</v>
      </c>
      <c r="CE189" s="100">
        <v>0</v>
      </c>
      <c r="CF189" s="100">
        <v>0</v>
      </c>
      <c r="CG189" s="103">
        <v>71431.311979999999</v>
      </c>
      <c r="CH189" s="103">
        <v>9.65</v>
      </c>
      <c r="CI189" s="103">
        <v>82791.038230000006</v>
      </c>
      <c r="CJ189" s="103">
        <v>11.8</v>
      </c>
      <c r="CK189" s="103">
        <f t="shared" si="8"/>
        <v>113.87</v>
      </c>
      <c r="CL189" s="103">
        <v>1637.1</v>
      </c>
      <c r="CM189" s="103">
        <v>249657.1</v>
      </c>
      <c r="CN189" s="104">
        <v>6.5573941217774295E-3</v>
      </c>
      <c r="CO189" s="103">
        <v>96954.844729999997</v>
      </c>
      <c r="CP189" s="103">
        <v>9.7799999999999994</v>
      </c>
      <c r="CQ189" s="103">
        <v>70756.679359999995</v>
      </c>
      <c r="CR189" s="103">
        <v>14.41</v>
      </c>
      <c r="CS189" s="103">
        <f t="shared" si="9"/>
        <v>140.9298</v>
      </c>
      <c r="CT189" s="103">
        <v>5282.1</v>
      </c>
      <c r="CU189" s="103">
        <v>787479.3</v>
      </c>
      <c r="CV189" s="104">
        <v>6.7076048856141365E-3</v>
      </c>
      <c r="CW189" s="103">
        <v>0</v>
      </c>
      <c r="CX189" s="103">
        <v>0</v>
      </c>
      <c r="CY189" s="103">
        <v>3170.1230300000002</v>
      </c>
      <c r="CZ189" s="103">
        <v>0</v>
      </c>
      <c r="DA189" s="103">
        <f t="shared" si="10"/>
        <v>0</v>
      </c>
      <c r="DB189" s="103">
        <v>975.5</v>
      </c>
      <c r="DC189" s="103">
        <v>371731.8</v>
      </c>
      <c r="DD189" s="104">
        <v>2.6242037942409016E-3</v>
      </c>
      <c r="DE189" s="103">
        <v>34597.558210000003</v>
      </c>
      <c r="DF189" s="103">
        <v>2.82</v>
      </c>
      <c r="DG189" s="103">
        <v>123616.01225</v>
      </c>
      <c r="DH189" s="103">
        <v>6.16</v>
      </c>
      <c r="DI189" s="103">
        <f t="shared" si="11"/>
        <v>17.371199999999998</v>
      </c>
      <c r="DJ189" s="103">
        <v>6318</v>
      </c>
      <c r="DK189" s="103">
        <v>584676.30000000005</v>
      </c>
      <c r="DL189" s="104">
        <v>1.080597930855073E-2</v>
      </c>
    </row>
    <row r="190" spans="1:116" s="15" customFormat="1" ht="265.7" customHeight="1" x14ac:dyDescent="0.25">
      <c r="A190" s="100" t="s">
        <v>274</v>
      </c>
      <c r="B190" s="100" t="s">
        <v>2497</v>
      </c>
      <c r="C190" s="100" t="s">
        <v>87</v>
      </c>
      <c r="D190" s="101" t="str">
        <f>"Chemistry 192"</f>
        <v>Chemistry 192</v>
      </c>
      <c r="E190" s="102" t="s">
        <v>2498</v>
      </c>
      <c r="F190" s="100">
        <v>21</v>
      </c>
      <c r="G190" s="100">
        <v>5</v>
      </c>
      <c r="H190" s="100">
        <v>0.24</v>
      </c>
      <c r="I190" s="100">
        <v>30</v>
      </c>
      <c r="J190" s="100">
        <v>9</v>
      </c>
      <c r="K190" s="100">
        <v>8</v>
      </c>
      <c r="L190" s="100">
        <v>1</v>
      </c>
      <c r="M190" s="100">
        <v>2</v>
      </c>
      <c r="N190" s="100">
        <v>8</v>
      </c>
      <c r="O190" s="100">
        <v>0</v>
      </c>
      <c r="P190" s="100">
        <v>4.3600000000000003</v>
      </c>
      <c r="Q190" s="100">
        <v>83.53</v>
      </c>
      <c r="R190" s="100">
        <v>5</v>
      </c>
      <c r="S190" s="100">
        <v>1</v>
      </c>
      <c r="T190" s="100">
        <v>0</v>
      </c>
      <c r="U190" s="100">
        <v>0</v>
      </c>
      <c r="V190" s="100">
        <v>0</v>
      </c>
      <c r="W190" s="100">
        <v>0</v>
      </c>
      <c r="X190" s="100">
        <v>1</v>
      </c>
      <c r="Y190" s="100">
        <v>0</v>
      </c>
      <c r="Z190" s="100">
        <v>0</v>
      </c>
      <c r="AA190" s="100">
        <v>1</v>
      </c>
      <c r="AB190" s="100">
        <v>1</v>
      </c>
      <c r="AC190" s="100">
        <v>0</v>
      </c>
      <c r="AD190" s="100">
        <v>0</v>
      </c>
      <c r="AE190" s="100">
        <v>0</v>
      </c>
      <c r="AF190" s="100">
        <v>0</v>
      </c>
      <c r="AG190" s="100">
        <v>1</v>
      </c>
      <c r="AH190" s="100">
        <v>0</v>
      </c>
      <c r="AI190" s="100">
        <v>0</v>
      </c>
      <c r="AJ190" s="100">
        <v>1</v>
      </c>
      <c r="AK190" s="100">
        <v>1</v>
      </c>
      <c r="AL190" s="100">
        <v>1</v>
      </c>
      <c r="AM190" s="100">
        <v>0</v>
      </c>
      <c r="AN190" s="100">
        <v>0</v>
      </c>
      <c r="AO190" s="100">
        <v>0</v>
      </c>
      <c r="AP190" s="100">
        <v>0</v>
      </c>
      <c r="AQ190" s="100">
        <v>0</v>
      </c>
      <c r="AR190" s="100">
        <v>1</v>
      </c>
      <c r="AS190" s="100">
        <v>0</v>
      </c>
      <c r="AT190" s="100">
        <v>0</v>
      </c>
      <c r="AU190" s="100">
        <v>0</v>
      </c>
      <c r="AV190" s="100">
        <v>0</v>
      </c>
      <c r="AW190" s="100">
        <v>0</v>
      </c>
      <c r="AX190" s="100">
        <v>1</v>
      </c>
      <c r="AY190" s="100">
        <v>0</v>
      </c>
      <c r="AZ190" s="100">
        <v>0</v>
      </c>
      <c r="BA190" s="100">
        <v>1</v>
      </c>
      <c r="BB190" s="100">
        <v>0</v>
      </c>
      <c r="BC190" s="100">
        <v>0</v>
      </c>
      <c r="BD190" s="100">
        <v>0</v>
      </c>
      <c r="BE190" s="100">
        <v>0</v>
      </c>
      <c r="BF190" s="100">
        <v>0</v>
      </c>
      <c r="BG190" s="100">
        <v>0</v>
      </c>
      <c r="BH190" s="100">
        <v>0</v>
      </c>
      <c r="BI190" s="100">
        <v>0</v>
      </c>
      <c r="BJ190" s="100">
        <v>3</v>
      </c>
      <c r="BK190" s="100">
        <v>0</v>
      </c>
      <c r="BL190" s="100">
        <v>0</v>
      </c>
      <c r="BM190" s="100">
        <v>0</v>
      </c>
      <c r="BN190" s="100">
        <v>0</v>
      </c>
      <c r="BO190" s="100">
        <v>0</v>
      </c>
      <c r="BP190" s="100">
        <v>0</v>
      </c>
      <c r="BQ190" s="100">
        <v>0</v>
      </c>
      <c r="BR190" s="100">
        <v>0</v>
      </c>
      <c r="BS190" s="100">
        <v>0</v>
      </c>
      <c r="BT190" s="100">
        <v>0</v>
      </c>
      <c r="BU190" s="100">
        <v>0</v>
      </c>
      <c r="BV190" s="100">
        <v>0</v>
      </c>
      <c r="BW190" s="100">
        <v>0</v>
      </c>
      <c r="BX190" s="100">
        <v>0</v>
      </c>
      <c r="BY190" s="100">
        <v>0</v>
      </c>
      <c r="BZ190" s="100">
        <v>0</v>
      </c>
      <c r="CA190" s="100">
        <v>0</v>
      </c>
      <c r="CB190" s="100" t="s">
        <v>2090</v>
      </c>
      <c r="CC190" s="100">
        <v>0</v>
      </c>
      <c r="CD190" s="100">
        <v>0</v>
      </c>
      <c r="CE190" s="100">
        <v>0</v>
      </c>
      <c r="CF190" s="100">
        <v>0</v>
      </c>
      <c r="CG190" s="103">
        <v>110615.03559</v>
      </c>
      <c r="CH190" s="103">
        <v>6.96</v>
      </c>
      <c r="CI190" s="103">
        <v>632728.40595000004</v>
      </c>
      <c r="CJ190" s="103">
        <v>13.31</v>
      </c>
      <c r="CK190" s="103">
        <f t="shared" si="8"/>
        <v>92.637600000000006</v>
      </c>
      <c r="CL190" s="103">
        <v>0</v>
      </c>
      <c r="CM190" s="103">
        <v>361832.8</v>
      </c>
      <c r="CN190" s="104">
        <v>0</v>
      </c>
      <c r="CO190" s="103">
        <v>22069.19038</v>
      </c>
      <c r="CP190" s="103">
        <v>1.01</v>
      </c>
      <c r="CQ190" s="103">
        <v>107394.98011</v>
      </c>
      <c r="CR190" s="103">
        <v>0.56999999999999995</v>
      </c>
      <c r="CS190" s="103">
        <f t="shared" si="9"/>
        <v>0.57569999999999999</v>
      </c>
      <c r="CT190" s="103">
        <v>0</v>
      </c>
      <c r="CU190" s="103">
        <v>174909</v>
      </c>
      <c r="CV190" s="104">
        <v>0</v>
      </c>
      <c r="CW190" s="103">
        <v>0</v>
      </c>
      <c r="CX190" s="103">
        <v>0</v>
      </c>
      <c r="CY190" s="103">
        <v>18890.963899999999</v>
      </c>
      <c r="CZ190" s="103">
        <v>0</v>
      </c>
      <c r="DA190" s="103">
        <f t="shared" si="10"/>
        <v>0</v>
      </c>
      <c r="DB190" s="103">
        <v>0</v>
      </c>
      <c r="DC190" s="103">
        <v>132132.5</v>
      </c>
      <c r="DD190" s="104">
        <v>0</v>
      </c>
      <c r="DE190" s="103">
        <v>39047.201849999998</v>
      </c>
      <c r="DF190" s="103">
        <v>1.53</v>
      </c>
      <c r="DG190" s="103">
        <v>307264.31326999998</v>
      </c>
      <c r="DH190" s="103">
        <v>5.12</v>
      </c>
      <c r="DI190" s="103">
        <f t="shared" si="11"/>
        <v>7.8336000000000006</v>
      </c>
      <c r="DJ190" s="103">
        <v>0</v>
      </c>
      <c r="DK190" s="103">
        <v>472942.5</v>
      </c>
      <c r="DL190" s="104">
        <v>0</v>
      </c>
    </row>
    <row r="191" spans="1:116" s="15" customFormat="1" ht="265.7" customHeight="1" x14ac:dyDescent="0.25">
      <c r="A191" s="100" t="s">
        <v>275</v>
      </c>
      <c r="B191" s="100" t="s">
        <v>2499</v>
      </c>
      <c r="C191" s="100" t="s">
        <v>87</v>
      </c>
      <c r="D191" s="101" t="str">
        <f>"Chemistry 212"</f>
        <v>Chemistry 212</v>
      </c>
      <c r="E191" s="102" t="s">
        <v>2500</v>
      </c>
      <c r="F191" s="100">
        <v>16</v>
      </c>
      <c r="G191" s="100">
        <v>6</v>
      </c>
      <c r="H191" s="100">
        <v>0.38</v>
      </c>
      <c r="I191" s="100">
        <v>25</v>
      </c>
      <c r="J191" s="100">
        <v>9</v>
      </c>
      <c r="K191" s="100">
        <v>8</v>
      </c>
      <c r="L191" s="100">
        <v>2</v>
      </c>
      <c r="M191" s="100">
        <v>2</v>
      </c>
      <c r="N191" s="100">
        <v>7</v>
      </c>
      <c r="O191" s="100">
        <v>0</v>
      </c>
      <c r="P191" s="100">
        <v>3.42</v>
      </c>
      <c r="Q191" s="100">
        <v>87.61</v>
      </c>
      <c r="R191" s="100">
        <v>7</v>
      </c>
      <c r="S191" s="100">
        <v>1</v>
      </c>
      <c r="T191" s="100">
        <v>0</v>
      </c>
      <c r="U191" s="100">
        <v>0</v>
      </c>
      <c r="V191" s="100">
        <v>0</v>
      </c>
      <c r="W191" s="100">
        <v>0</v>
      </c>
      <c r="X191" s="100">
        <v>0</v>
      </c>
      <c r="Y191" s="100">
        <v>0</v>
      </c>
      <c r="Z191" s="100">
        <v>0</v>
      </c>
      <c r="AA191" s="100">
        <v>1</v>
      </c>
      <c r="AB191" s="100">
        <v>1</v>
      </c>
      <c r="AC191" s="100">
        <v>0</v>
      </c>
      <c r="AD191" s="100">
        <v>0</v>
      </c>
      <c r="AE191" s="100">
        <v>0</v>
      </c>
      <c r="AF191" s="100">
        <v>0</v>
      </c>
      <c r="AG191" s="100">
        <v>1</v>
      </c>
      <c r="AH191" s="100">
        <v>0</v>
      </c>
      <c r="AI191" s="100">
        <v>0</v>
      </c>
      <c r="AJ191" s="100">
        <v>1</v>
      </c>
      <c r="AK191" s="100">
        <v>1</v>
      </c>
      <c r="AL191" s="100">
        <v>1</v>
      </c>
      <c r="AM191" s="100">
        <v>0</v>
      </c>
      <c r="AN191" s="100">
        <v>1</v>
      </c>
      <c r="AO191" s="100">
        <v>1</v>
      </c>
      <c r="AP191" s="100">
        <v>0</v>
      </c>
      <c r="AQ191" s="100">
        <v>0</v>
      </c>
      <c r="AR191" s="100">
        <v>0</v>
      </c>
      <c r="AS191" s="100">
        <v>0</v>
      </c>
      <c r="AT191" s="100">
        <v>0</v>
      </c>
      <c r="AU191" s="100">
        <v>0</v>
      </c>
      <c r="AV191" s="100">
        <v>0</v>
      </c>
      <c r="AW191" s="100">
        <v>0</v>
      </c>
      <c r="AX191" s="100">
        <v>1</v>
      </c>
      <c r="AY191" s="100">
        <v>0</v>
      </c>
      <c r="AZ191" s="100">
        <v>0</v>
      </c>
      <c r="BA191" s="100">
        <v>0</v>
      </c>
      <c r="BB191" s="100">
        <v>0</v>
      </c>
      <c r="BC191" s="100">
        <v>0</v>
      </c>
      <c r="BD191" s="100">
        <v>0</v>
      </c>
      <c r="BE191" s="100">
        <v>0</v>
      </c>
      <c r="BF191" s="100">
        <v>0</v>
      </c>
      <c r="BG191" s="100">
        <v>0</v>
      </c>
      <c r="BH191" s="100">
        <v>0</v>
      </c>
      <c r="BI191" s="100">
        <v>0</v>
      </c>
      <c r="BJ191" s="100">
        <v>2</v>
      </c>
      <c r="BK191" s="100">
        <v>0</v>
      </c>
      <c r="BL191" s="100">
        <v>0</v>
      </c>
      <c r="BM191" s="100">
        <v>0</v>
      </c>
      <c r="BN191" s="100">
        <v>1</v>
      </c>
      <c r="BO191" s="100">
        <v>0</v>
      </c>
      <c r="BP191" s="100">
        <v>0</v>
      </c>
      <c r="BQ191" s="100">
        <v>0</v>
      </c>
      <c r="BR191" s="100">
        <v>0</v>
      </c>
      <c r="BS191" s="100">
        <v>0</v>
      </c>
      <c r="BT191" s="100">
        <v>0</v>
      </c>
      <c r="BU191" s="100">
        <v>0</v>
      </c>
      <c r="BV191" s="100">
        <v>1</v>
      </c>
      <c r="BW191" s="100">
        <v>0</v>
      </c>
      <c r="BX191" s="100">
        <v>0</v>
      </c>
      <c r="BY191" s="100">
        <v>0</v>
      </c>
      <c r="BZ191" s="100">
        <v>0</v>
      </c>
      <c r="CA191" s="100">
        <v>0</v>
      </c>
      <c r="CB191" s="100" t="s">
        <v>2090</v>
      </c>
      <c r="CC191" s="100">
        <v>0</v>
      </c>
      <c r="CD191" s="100">
        <v>0</v>
      </c>
      <c r="CE191" s="100">
        <v>0</v>
      </c>
      <c r="CF191" s="100">
        <v>0</v>
      </c>
      <c r="CG191" s="103">
        <v>11633.95167</v>
      </c>
      <c r="CH191" s="103">
        <v>0.73</v>
      </c>
      <c r="CI191" s="103">
        <v>302840.42177000002</v>
      </c>
      <c r="CJ191" s="103">
        <v>0</v>
      </c>
      <c r="CK191" s="103">
        <f t="shared" si="8"/>
        <v>0</v>
      </c>
      <c r="CL191" s="103">
        <v>40895.699999999997</v>
      </c>
      <c r="CM191" s="103">
        <v>608612.5</v>
      </c>
      <c r="CN191" s="104">
        <v>6.71949721703054E-2</v>
      </c>
      <c r="CO191" s="103">
        <v>0</v>
      </c>
      <c r="CP191" s="103">
        <v>0</v>
      </c>
      <c r="CQ191" s="103">
        <v>11007.564410000001</v>
      </c>
      <c r="CR191" s="103">
        <v>0</v>
      </c>
      <c r="CS191" s="103">
        <f t="shared" si="9"/>
        <v>0</v>
      </c>
      <c r="CT191" s="103">
        <v>0</v>
      </c>
      <c r="CU191" s="103">
        <v>147220.70000000001</v>
      </c>
      <c r="CV191" s="104">
        <v>0</v>
      </c>
      <c r="CW191" s="103">
        <v>0</v>
      </c>
      <c r="CX191" s="103">
        <v>0</v>
      </c>
      <c r="CY191" s="103">
        <v>0</v>
      </c>
      <c r="CZ191" s="103">
        <v>0</v>
      </c>
      <c r="DA191" s="103">
        <f t="shared" si="10"/>
        <v>0</v>
      </c>
      <c r="DB191" s="103">
        <v>615.20000000000005</v>
      </c>
      <c r="DC191" s="103">
        <v>270774.3</v>
      </c>
      <c r="DD191" s="104">
        <v>2.2720029190362603E-3</v>
      </c>
      <c r="DE191" s="103">
        <v>0</v>
      </c>
      <c r="DF191" s="103">
        <v>0</v>
      </c>
      <c r="DG191" s="103">
        <v>18219.565559999999</v>
      </c>
      <c r="DH191" s="103">
        <v>0</v>
      </c>
      <c r="DI191" s="103">
        <f t="shared" si="11"/>
        <v>0</v>
      </c>
      <c r="DJ191" s="103">
        <v>0</v>
      </c>
      <c r="DK191" s="103">
        <v>287114.2</v>
      </c>
      <c r="DL191" s="104">
        <v>0</v>
      </c>
    </row>
    <row r="192" spans="1:116" s="15" customFormat="1" ht="265.7" customHeight="1" x14ac:dyDescent="0.25">
      <c r="A192" s="100" t="s">
        <v>276</v>
      </c>
      <c r="B192" s="100" t="s">
        <v>2501</v>
      </c>
      <c r="C192" s="100" t="s">
        <v>87</v>
      </c>
      <c r="D192" s="101" t="str">
        <f>"Chemistry 282"</f>
        <v>Chemistry 282</v>
      </c>
      <c r="E192" s="102" t="s">
        <v>2502</v>
      </c>
      <c r="F192" s="100">
        <v>22</v>
      </c>
      <c r="G192" s="100">
        <v>8</v>
      </c>
      <c r="H192" s="100">
        <v>0.36</v>
      </c>
      <c r="I192" s="100">
        <v>32</v>
      </c>
      <c r="J192" s="100">
        <v>10</v>
      </c>
      <c r="K192" s="100">
        <v>7</v>
      </c>
      <c r="L192" s="100">
        <v>5</v>
      </c>
      <c r="M192" s="100">
        <v>3</v>
      </c>
      <c r="N192" s="100">
        <v>6</v>
      </c>
      <c r="O192" s="100">
        <v>2</v>
      </c>
      <c r="P192" s="100">
        <v>5.69</v>
      </c>
      <c r="Q192" s="100">
        <v>89.03</v>
      </c>
      <c r="R192" s="100">
        <v>9</v>
      </c>
      <c r="S192" s="100">
        <v>1</v>
      </c>
      <c r="T192" s="100">
        <v>0</v>
      </c>
      <c r="U192" s="100">
        <v>0</v>
      </c>
      <c r="V192" s="100">
        <v>1</v>
      </c>
      <c r="W192" s="100">
        <v>0</v>
      </c>
      <c r="X192" s="100">
        <v>0</v>
      </c>
      <c r="Y192" s="100">
        <v>1</v>
      </c>
      <c r="Z192" s="100">
        <v>0</v>
      </c>
      <c r="AA192" s="100">
        <v>0</v>
      </c>
      <c r="AB192" s="100">
        <v>1</v>
      </c>
      <c r="AC192" s="100">
        <v>0</v>
      </c>
      <c r="AD192" s="100">
        <v>0</v>
      </c>
      <c r="AE192" s="100">
        <v>0</v>
      </c>
      <c r="AF192" s="100">
        <v>0</v>
      </c>
      <c r="AG192" s="100">
        <v>1</v>
      </c>
      <c r="AH192" s="100">
        <v>0</v>
      </c>
      <c r="AI192" s="100">
        <v>0</v>
      </c>
      <c r="AJ192" s="100">
        <v>1</v>
      </c>
      <c r="AK192" s="100">
        <v>0</v>
      </c>
      <c r="AL192" s="100">
        <v>0</v>
      </c>
      <c r="AM192" s="100">
        <v>0</v>
      </c>
      <c r="AN192" s="100">
        <v>0</v>
      </c>
      <c r="AO192" s="100">
        <v>1</v>
      </c>
      <c r="AP192" s="100">
        <v>0</v>
      </c>
      <c r="AQ192" s="100">
        <v>0</v>
      </c>
      <c r="AR192" s="100">
        <v>0</v>
      </c>
      <c r="AS192" s="100">
        <v>0</v>
      </c>
      <c r="AT192" s="100">
        <v>0</v>
      </c>
      <c r="AU192" s="100">
        <v>1</v>
      </c>
      <c r="AV192" s="100">
        <v>1</v>
      </c>
      <c r="AW192" s="100">
        <v>0</v>
      </c>
      <c r="AX192" s="100">
        <v>0</v>
      </c>
      <c r="AY192" s="100">
        <v>0</v>
      </c>
      <c r="AZ192" s="100">
        <v>0</v>
      </c>
      <c r="BA192" s="100">
        <v>0</v>
      </c>
      <c r="BB192" s="100">
        <v>0</v>
      </c>
      <c r="BC192" s="100">
        <v>0</v>
      </c>
      <c r="BD192" s="100">
        <v>0</v>
      </c>
      <c r="BE192" s="100">
        <v>0</v>
      </c>
      <c r="BF192" s="100">
        <v>0</v>
      </c>
      <c r="BG192" s="100">
        <v>0</v>
      </c>
      <c r="BH192" s="100">
        <v>0</v>
      </c>
      <c r="BI192" s="100">
        <v>0</v>
      </c>
      <c r="BJ192" s="100">
        <v>2</v>
      </c>
      <c r="BK192" s="100">
        <v>0</v>
      </c>
      <c r="BL192" s="100">
        <v>0</v>
      </c>
      <c r="BM192" s="100">
        <v>1</v>
      </c>
      <c r="BN192" s="100">
        <v>1</v>
      </c>
      <c r="BO192" s="100">
        <v>0</v>
      </c>
      <c r="BP192" s="100">
        <v>0</v>
      </c>
      <c r="BQ192" s="100">
        <v>0</v>
      </c>
      <c r="BR192" s="100">
        <v>0</v>
      </c>
      <c r="BS192" s="100">
        <v>0</v>
      </c>
      <c r="BT192" s="100">
        <v>0</v>
      </c>
      <c r="BU192" s="100">
        <v>0</v>
      </c>
      <c r="BV192" s="100">
        <v>0</v>
      </c>
      <c r="BW192" s="100">
        <v>0</v>
      </c>
      <c r="BX192" s="100">
        <v>0</v>
      </c>
      <c r="BY192" s="100">
        <v>0</v>
      </c>
      <c r="BZ192" s="100">
        <v>0</v>
      </c>
      <c r="CA192" s="100">
        <v>0</v>
      </c>
      <c r="CB192" s="100" t="s">
        <v>2090</v>
      </c>
      <c r="CC192" s="100">
        <v>0</v>
      </c>
      <c r="CD192" s="100">
        <v>0</v>
      </c>
      <c r="CE192" s="100">
        <v>0</v>
      </c>
      <c r="CF192" s="100">
        <v>0</v>
      </c>
      <c r="CG192" s="103">
        <v>0</v>
      </c>
      <c r="CH192" s="103">
        <v>0</v>
      </c>
      <c r="CI192" s="103">
        <v>39651.607259999997</v>
      </c>
      <c r="CJ192" s="103">
        <v>0</v>
      </c>
      <c r="CK192" s="103">
        <f t="shared" si="8"/>
        <v>0</v>
      </c>
      <c r="CL192" s="103">
        <v>9796.5</v>
      </c>
      <c r="CM192" s="103">
        <v>92075.199999999997</v>
      </c>
      <c r="CN192" s="104">
        <v>0.10639672789198394</v>
      </c>
      <c r="CO192" s="103">
        <v>18326.36018</v>
      </c>
      <c r="CP192" s="103">
        <v>0.7</v>
      </c>
      <c r="CQ192" s="103">
        <v>351915.32734999998</v>
      </c>
      <c r="CR192" s="103">
        <v>3.02</v>
      </c>
      <c r="CS192" s="103">
        <f t="shared" si="9"/>
        <v>2.1139999999999999</v>
      </c>
      <c r="CT192" s="103">
        <v>8643.4</v>
      </c>
      <c r="CU192" s="103">
        <v>399893.3</v>
      </c>
      <c r="CV192" s="104">
        <v>2.1614265605350225E-2</v>
      </c>
      <c r="CW192" s="103">
        <v>806593.62424999999</v>
      </c>
      <c r="CX192" s="103">
        <v>46.83</v>
      </c>
      <c r="CY192" s="103">
        <v>2997051.55094</v>
      </c>
      <c r="CZ192" s="103">
        <v>26.49085037674919</v>
      </c>
      <c r="DA192" s="103">
        <f t="shared" si="10"/>
        <v>1240.5665231431644</v>
      </c>
      <c r="DB192" s="103">
        <v>12215.1</v>
      </c>
      <c r="DC192" s="103">
        <v>18005.3</v>
      </c>
      <c r="DD192" s="104">
        <v>0.67841691057633036</v>
      </c>
      <c r="DE192" s="103">
        <v>52096.100050000001</v>
      </c>
      <c r="DF192" s="103">
        <v>1.98</v>
      </c>
      <c r="DG192" s="103">
        <v>760492.13555000001</v>
      </c>
      <c r="DH192" s="103">
        <v>4.07</v>
      </c>
      <c r="DI192" s="103">
        <f t="shared" si="11"/>
        <v>8.0586000000000002</v>
      </c>
      <c r="DJ192" s="103">
        <v>21756.400000000001</v>
      </c>
      <c r="DK192" s="103">
        <v>416176.6</v>
      </c>
      <c r="DL192" s="104">
        <v>5.227684593511505E-2</v>
      </c>
    </row>
    <row r="193" spans="1:116" s="15" customFormat="1" ht="265.7" customHeight="1" x14ac:dyDescent="0.25">
      <c r="A193" s="100" t="s">
        <v>277</v>
      </c>
      <c r="B193" s="100" t="s">
        <v>2503</v>
      </c>
      <c r="C193" s="100" t="s">
        <v>87</v>
      </c>
      <c r="D193" s="101" t="str">
        <f>"Chemistry 329"</f>
        <v>Chemistry 329</v>
      </c>
      <c r="E193" s="102" t="s">
        <v>2504</v>
      </c>
      <c r="F193" s="100">
        <v>22</v>
      </c>
      <c r="G193" s="100">
        <v>4</v>
      </c>
      <c r="H193" s="100">
        <v>0.18</v>
      </c>
      <c r="I193" s="100">
        <v>33</v>
      </c>
      <c r="J193" s="100">
        <v>11</v>
      </c>
      <c r="K193" s="100">
        <v>7</v>
      </c>
      <c r="L193" s="100">
        <v>5</v>
      </c>
      <c r="M193" s="100">
        <v>4</v>
      </c>
      <c r="N193" s="100">
        <v>6</v>
      </c>
      <c r="O193" s="100">
        <v>2</v>
      </c>
      <c r="P193" s="100">
        <v>4.55</v>
      </c>
      <c r="Q193" s="100">
        <v>83.82</v>
      </c>
      <c r="R193" s="100">
        <v>6</v>
      </c>
      <c r="S193" s="100">
        <v>1</v>
      </c>
      <c r="T193" s="100">
        <v>0</v>
      </c>
      <c r="U193" s="100">
        <v>0</v>
      </c>
      <c r="V193" s="100">
        <v>1</v>
      </c>
      <c r="W193" s="100">
        <v>0</v>
      </c>
      <c r="X193" s="100">
        <v>0</v>
      </c>
      <c r="Y193" s="100">
        <v>1</v>
      </c>
      <c r="Z193" s="100">
        <v>0</v>
      </c>
      <c r="AA193" s="100">
        <v>0</v>
      </c>
      <c r="AB193" s="100">
        <v>1</v>
      </c>
      <c r="AC193" s="100">
        <v>0</v>
      </c>
      <c r="AD193" s="100">
        <v>0</v>
      </c>
      <c r="AE193" s="100">
        <v>0</v>
      </c>
      <c r="AF193" s="100">
        <v>0</v>
      </c>
      <c r="AG193" s="100">
        <v>1</v>
      </c>
      <c r="AH193" s="100">
        <v>0</v>
      </c>
      <c r="AI193" s="100">
        <v>0</v>
      </c>
      <c r="AJ193" s="100">
        <v>1</v>
      </c>
      <c r="AK193" s="100">
        <v>0</v>
      </c>
      <c r="AL193" s="100">
        <v>0</v>
      </c>
      <c r="AM193" s="100">
        <v>0</v>
      </c>
      <c r="AN193" s="100">
        <v>1</v>
      </c>
      <c r="AO193" s="100">
        <v>1</v>
      </c>
      <c r="AP193" s="100">
        <v>1</v>
      </c>
      <c r="AQ193" s="100">
        <v>0</v>
      </c>
      <c r="AR193" s="100">
        <v>0</v>
      </c>
      <c r="AS193" s="100">
        <v>0</v>
      </c>
      <c r="AT193" s="100">
        <v>0</v>
      </c>
      <c r="AU193" s="100">
        <v>1</v>
      </c>
      <c r="AV193" s="100">
        <v>0</v>
      </c>
      <c r="AW193" s="100">
        <v>0</v>
      </c>
      <c r="AX193" s="100">
        <v>0</v>
      </c>
      <c r="AY193" s="100">
        <v>0</v>
      </c>
      <c r="AZ193" s="100">
        <v>0</v>
      </c>
      <c r="BA193" s="100">
        <v>0</v>
      </c>
      <c r="BB193" s="100">
        <v>0</v>
      </c>
      <c r="BC193" s="100">
        <v>0</v>
      </c>
      <c r="BD193" s="100">
        <v>0</v>
      </c>
      <c r="BE193" s="100">
        <v>0</v>
      </c>
      <c r="BF193" s="100">
        <v>0</v>
      </c>
      <c r="BG193" s="100">
        <v>0</v>
      </c>
      <c r="BH193" s="100">
        <v>0</v>
      </c>
      <c r="BI193" s="100">
        <v>0</v>
      </c>
      <c r="BJ193" s="100">
        <v>2</v>
      </c>
      <c r="BK193" s="100">
        <v>0</v>
      </c>
      <c r="BL193" s="100">
        <v>0</v>
      </c>
      <c r="BM193" s="100">
        <v>1</v>
      </c>
      <c r="BN193" s="100">
        <v>1</v>
      </c>
      <c r="BO193" s="100">
        <v>1</v>
      </c>
      <c r="BP193" s="100">
        <v>0</v>
      </c>
      <c r="BQ193" s="100">
        <v>0</v>
      </c>
      <c r="BR193" s="100">
        <v>0</v>
      </c>
      <c r="BS193" s="100">
        <v>0</v>
      </c>
      <c r="BT193" s="100">
        <v>0</v>
      </c>
      <c r="BU193" s="100">
        <v>0</v>
      </c>
      <c r="BV193" s="100">
        <v>1</v>
      </c>
      <c r="BW193" s="100">
        <v>0</v>
      </c>
      <c r="BX193" s="100">
        <v>0</v>
      </c>
      <c r="BY193" s="100">
        <v>0</v>
      </c>
      <c r="BZ193" s="100">
        <v>0</v>
      </c>
      <c r="CA193" s="100">
        <v>0</v>
      </c>
      <c r="CB193" s="100" t="s">
        <v>2090</v>
      </c>
      <c r="CC193" s="100">
        <v>0</v>
      </c>
      <c r="CD193" s="100">
        <v>0</v>
      </c>
      <c r="CE193" s="100">
        <v>0</v>
      </c>
      <c r="CF193" s="100">
        <v>0</v>
      </c>
      <c r="CG193" s="103">
        <v>449193.11098</v>
      </c>
      <c r="CH193" s="103">
        <v>32.44</v>
      </c>
      <c r="CI193" s="103">
        <v>1976702.2101700001</v>
      </c>
      <c r="CJ193" s="103">
        <v>19.04</v>
      </c>
      <c r="CK193" s="103">
        <f t="shared" si="8"/>
        <v>617.65759999999989</v>
      </c>
      <c r="CL193" s="103">
        <v>233276.1</v>
      </c>
      <c r="CM193" s="103">
        <v>903770.9</v>
      </c>
      <c r="CN193" s="104">
        <v>0.25811419686117354</v>
      </c>
      <c r="CO193" s="103">
        <v>51736.735970000002</v>
      </c>
      <c r="CP193" s="103">
        <v>2.09</v>
      </c>
      <c r="CQ193" s="103">
        <v>583350.33068000001</v>
      </c>
      <c r="CR193" s="103">
        <v>1.06</v>
      </c>
      <c r="CS193" s="103">
        <f t="shared" si="9"/>
        <v>2.2153999999999998</v>
      </c>
      <c r="CT193" s="103">
        <v>4290.3999999999996</v>
      </c>
      <c r="CU193" s="103">
        <v>315825.7</v>
      </c>
      <c r="CV193" s="104">
        <v>1.3584708274215807E-2</v>
      </c>
      <c r="CW193" s="103">
        <v>114488.95385000001</v>
      </c>
      <c r="CX193" s="103">
        <v>9.39</v>
      </c>
      <c r="CY193" s="103">
        <v>493826.50222000002</v>
      </c>
      <c r="CZ193" s="103">
        <v>12.422360248447205</v>
      </c>
      <c r="DA193" s="103">
        <f t="shared" si="10"/>
        <v>116.64596273291926</v>
      </c>
      <c r="DB193" s="103">
        <v>16909.8</v>
      </c>
      <c r="DC193" s="103">
        <v>642702.69999999995</v>
      </c>
      <c r="DD193" s="104">
        <v>2.6310454273803425E-2</v>
      </c>
      <c r="DE193" s="103">
        <v>48859.083310000002</v>
      </c>
      <c r="DF193" s="103">
        <v>1.84</v>
      </c>
      <c r="DG193" s="103">
        <v>350209.88331</v>
      </c>
      <c r="DH193" s="103">
        <v>1.55</v>
      </c>
      <c r="DI193" s="103">
        <f t="shared" si="11"/>
        <v>2.8520000000000003</v>
      </c>
      <c r="DJ193" s="103">
        <v>5394.3</v>
      </c>
      <c r="DK193" s="103">
        <v>299124.7</v>
      </c>
      <c r="DL193" s="104">
        <v>1.8033616080517591E-2</v>
      </c>
    </row>
    <row r="194" spans="1:116" s="15" customFormat="1" ht="163.69999999999999" customHeight="1" x14ac:dyDescent="0.25">
      <c r="A194" s="100" t="s">
        <v>278</v>
      </c>
      <c r="B194" s="100" t="s">
        <v>2505</v>
      </c>
      <c r="C194" s="100" t="s">
        <v>279</v>
      </c>
      <c r="D194" s="101" t="str">
        <f>"Chemistry 108"</f>
        <v>Chemistry 108</v>
      </c>
      <c r="E194" s="102" t="s">
        <v>2506</v>
      </c>
      <c r="F194" s="100">
        <v>7</v>
      </c>
      <c r="G194" s="100">
        <v>7</v>
      </c>
      <c r="H194" s="100">
        <v>1</v>
      </c>
      <c r="I194" s="100">
        <v>12</v>
      </c>
      <c r="J194" s="100">
        <v>5</v>
      </c>
      <c r="K194" s="100">
        <v>5</v>
      </c>
      <c r="L194" s="100">
        <v>2</v>
      </c>
      <c r="M194" s="100">
        <v>0</v>
      </c>
      <c r="N194" s="100">
        <v>3</v>
      </c>
      <c r="O194" s="100">
        <v>1</v>
      </c>
      <c r="P194" s="100">
        <v>0.43</v>
      </c>
      <c r="Q194" s="100">
        <v>49.41</v>
      </c>
      <c r="R194" s="100">
        <v>2</v>
      </c>
      <c r="S194" s="100">
        <v>0</v>
      </c>
      <c r="T194" s="100">
        <v>0</v>
      </c>
      <c r="U194" s="100">
        <v>1</v>
      </c>
      <c r="V194" s="100">
        <v>0</v>
      </c>
      <c r="W194" s="100">
        <v>1</v>
      </c>
      <c r="X194" s="100">
        <v>0</v>
      </c>
      <c r="Y194" s="100">
        <v>0</v>
      </c>
      <c r="Z194" s="100">
        <v>1</v>
      </c>
      <c r="AA194" s="100">
        <v>0</v>
      </c>
      <c r="AB194" s="100">
        <v>0</v>
      </c>
      <c r="AC194" s="100">
        <v>1</v>
      </c>
      <c r="AD194" s="100">
        <v>0</v>
      </c>
      <c r="AE194" s="100">
        <v>0</v>
      </c>
      <c r="AF194" s="100">
        <v>1</v>
      </c>
      <c r="AG194" s="100">
        <v>0</v>
      </c>
      <c r="AH194" s="100">
        <v>0</v>
      </c>
      <c r="AI194" s="100">
        <v>0</v>
      </c>
      <c r="AJ194" s="100">
        <v>1</v>
      </c>
      <c r="AK194" s="100">
        <v>0</v>
      </c>
      <c r="AL194" s="100">
        <v>0</v>
      </c>
      <c r="AM194" s="100">
        <v>0</v>
      </c>
      <c r="AN194" s="100">
        <v>0</v>
      </c>
      <c r="AO194" s="100">
        <v>0</v>
      </c>
      <c r="AP194" s="100">
        <v>0</v>
      </c>
      <c r="AQ194" s="100">
        <v>0</v>
      </c>
      <c r="AR194" s="100">
        <v>0</v>
      </c>
      <c r="AS194" s="100">
        <v>0</v>
      </c>
      <c r="AT194" s="100">
        <v>0</v>
      </c>
      <c r="AU194" s="100">
        <v>0</v>
      </c>
      <c r="AV194" s="100">
        <v>0</v>
      </c>
      <c r="AW194" s="100">
        <v>0</v>
      </c>
      <c r="AX194" s="100">
        <v>0</v>
      </c>
      <c r="AY194" s="100">
        <v>0</v>
      </c>
      <c r="AZ194" s="100">
        <v>0</v>
      </c>
      <c r="BA194" s="100">
        <v>0</v>
      </c>
      <c r="BB194" s="100">
        <v>0</v>
      </c>
      <c r="BC194" s="100">
        <v>0</v>
      </c>
      <c r="BD194" s="100">
        <v>0</v>
      </c>
      <c r="BE194" s="100">
        <v>0</v>
      </c>
      <c r="BF194" s="100">
        <v>1</v>
      </c>
      <c r="BG194" s="100">
        <v>0</v>
      </c>
      <c r="BH194" s="100">
        <v>0</v>
      </c>
      <c r="BI194" s="100">
        <v>0</v>
      </c>
      <c r="BJ194" s="100">
        <v>1</v>
      </c>
      <c r="BK194" s="100">
        <v>0</v>
      </c>
      <c r="BL194" s="100">
        <v>0</v>
      </c>
      <c r="BM194" s="100">
        <v>0</v>
      </c>
      <c r="BN194" s="100">
        <v>0</v>
      </c>
      <c r="BO194" s="100">
        <v>0</v>
      </c>
      <c r="BP194" s="100">
        <v>0</v>
      </c>
      <c r="BQ194" s="100">
        <v>0</v>
      </c>
      <c r="BR194" s="100">
        <v>0</v>
      </c>
      <c r="BS194" s="100">
        <v>0</v>
      </c>
      <c r="BT194" s="100">
        <v>0</v>
      </c>
      <c r="BU194" s="100">
        <v>0</v>
      </c>
      <c r="BV194" s="100">
        <v>0</v>
      </c>
      <c r="BW194" s="100">
        <v>0</v>
      </c>
      <c r="BX194" s="100">
        <v>1</v>
      </c>
      <c r="BY194" s="100">
        <v>0</v>
      </c>
      <c r="BZ194" s="100">
        <v>0</v>
      </c>
      <c r="CA194" s="100">
        <v>0</v>
      </c>
      <c r="CB194" s="100" t="s">
        <v>2090</v>
      </c>
      <c r="CC194" s="100">
        <v>0</v>
      </c>
      <c r="CD194" s="100">
        <v>1</v>
      </c>
      <c r="CE194" s="100">
        <v>0</v>
      </c>
      <c r="CF194" s="100">
        <v>0</v>
      </c>
      <c r="CG194" s="103">
        <v>55149.002540000001</v>
      </c>
      <c r="CH194" s="103">
        <v>4.0199999999999996</v>
      </c>
      <c r="CI194" s="103">
        <v>1273672.5855099999</v>
      </c>
      <c r="CJ194" s="103">
        <v>25.2</v>
      </c>
      <c r="CK194" s="103">
        <f t="shared" si="8"/>
        <v>101.30399999999999</v>
      </c>
      <c r="CL194" s="103">
        <v>251005.7</v>
      </c>
      <c r="CM194" s="103">
        <v>738308.6</v>
      </c>
      <c r="CN194" s="104">
        <v>0.33997396210744396</v>
      </c>
      <c r="CO194" s="103">
        <v>221266.08692</v>
      </c>
      <c r="CP194" s="103">
        <v>15.01</v>
      </c>
      <c r="CQ194" s="103">
        <v>2027139.9774</v>
      </c>
      <c r="CR194" s="103">
        <v>35.56</v>
      </c>
      <c r="CS194" s="103">
        <f t="shared" si="9"/>
        <v>533.75560000000007</v>
      </c>
      <c r="CT194" s="103">
        <v>220971.2</v>
      </c>
      <c r="CU194" s="103">
        <v>501515.9</v>
      </c>
      <c r="CV194" s="104">
        <v>0.4406065690040934</v>
      </c>
      <c r="CW194" s="103">
        <v>1127316.3603999999</v>
      </c>
      <c r="CX194" s="103">
        <v>77.47</v>
      </c>
      <c r="CY194" s="103">
        <v>3821140.4789999998</v>
      </c>
      <c r="CZ194" s="103">
        <v>64.9770697562153</v>
      </c>
      <c r="DA194" s="103">
        <f t="shared" si="10"/>
        <v>5033.7735940139992</v>
      </c>
      <c r="DB194" s="103">
        <v>560317.30000000005</v>
      </c>
      <c r="DC194" s="103">
        <v>380909.6</v>
      </c>
      <c r="DD194" s="104">
        <v>1.4709981055872576</v>
      </c>
      <c r="DE194" s="103">
        <v>513960.62417000002</v>
      </c>
      <c r="DF194" s="103">
        <v>29.06</v>
      </c>
      <c r="DG194" s="103">
        <v>3385184.8465200001</v>
      </c>
      <c r="DH194" s="103">
        <v>35.770000000000003</v>
      </c>
      <c r="DI194" s="103">
        <f t="shared" si="11"/>
        <v>1039.4762000000001</v>
      </c>
      <c r="DJ194" s="103">
        <v>512899.4</v>
      </c>
      <c r="DK194" s="103">
        <v>469082.2</v>
      </c>
      <c r="DL194" s="104">
        <v>1.0934104939390155</v>
      </c>
    </row>
    <row r="195" spans="1:116" s="15" customFormat="1" ht="213.95" customHeight="1" x14ac:dyDescent="0.25">
      <c r="A195" s="100" t="s">
        <v>280</v>
      </c>
      <c r="B195" s="100" t="s">
        <v>2507</v>
      </c>
      <c r="C195" s="100" t="s">
        <v>279</v>
      </c>
      <c r="D195" s="101" t="str">
        <f>"Chemistry 126"</f>
        <v>Chemistry 126</v>
      </c>
      <c r="E195" s="102" t="s">
        <v>2508</v>
      </c>
      <c r="F195" s="100">
        <v>12</v>
      </c>
      <c r="G195" s="100">
        <v>4</v>
      </c>
      <c r="H195" s="100">
        <v>0.33</v>
      </c>
      <c r="I195" s="100">
        <v>16</v>
      </c>
      <c r="J195" s="100">
        <v>4</v>
      </c>
      <c r="K195" s="100">
        <v>4</v>
      </c>
      <c r="L195" s="100">
        <v>4</v>
      </c>
      <c r="M195" s="100">
        <v>2</v>
      </c>
      <c r="N195" s="100">
        <v>3</v>
      </c>
      <c r="O195" s="100">
        <v>1</v>
      </c>
      <c r="P195" s="100">
        <v>-0.01</v>
      </c>
      <c r="Q195" s="100">
        <v>42.74</v>
      </c>
      <c r="R195" s="100">
        <v>2</v>
      </c>
      <c r="S195" s="100">
        <v>0</v>
      </c>
      <c r="T195" s="100">
        <v>1</v>
      </c>
      <c r="U195" s="100">
        <v>0</v>
      </c>
      <c r="V195" s="100">
        <v>1</v>
      </c>
      <c r="W195" s="100">
        <v>1</v>
      </c>
      <c r="X195" s="100">
        <v>0</v>
      </c>
      <c r="Y195" s="100">
        <v>0</v>
      </c>
      <c r="Z195" s="100">
        <v>1</v>
      </c>
      <c r="AA195" s="100">
        <v>0</v>
      </c>
      <c r="AB195" s="100">
        <v>0</v>
      </c>
      <c r="AC195" s="100">
        <v>1</v>
      </c>
      <c r="AD195" s="100">
        <v>0</v>
      </c>
      <c r="AE195" s="100">
        <v>1</v>
      </c>
      <c r="AF195" s="100">
        <v>0</v>
      </c>
      <c r="AG195" s="100">
        <v>0</v>
      </c>
      <c r="AH195" s="100">
        <v>0</v>
      </c>
      <c r="AI195" s="100">
        <v>1</v>
      </c>
      <c r="AJ195" s="100">
        <v>0</v>
      </c>
      <c r="AK195" s="100">
        <v>0</v>
      </c>
      <c r="AL195" s="100">
        <v>0</v>
      </c>
      <c r="AM195" s="100">
        <v>0</v>
      </c>
      <c r="AN195" s="100">
        <v>1</v>
      </c>
      <c r="AO195" s="100">
        <v>0</v>
      </c>
      <c r="AP195" s="100">
        <v>0</v>
      </c>
      <c r="AQ195" s="100">
        <v>0</v>
      </c>
      <c r="AR195" s="100">
        <v>0</v>
      </c>
      <c r="AS195" s="100">
        <v>0</v>
      </c>
      <c r="AT195" s="100">
        <v>0</v>
      </c>
      <c r="AU195" s="100">
        <v>0</v>
      </c>
      <c r="AV195" s="100">
        <v>0</v>
      </c>
      <c r="AW195" s="100">
        <v>0</v>
      </c>
      <c r="AX195" s="100">
        <v>0</v>
      </c>
      <c r="AY195" s="100">
        <v>0</v>
      </c>
      <c r="AZ195" s="100">
        <v>0</v>
      </c>
      <c r="BA195" s="100">
        <v>0</v>
      </c>
      <c r="BB195" s="100">
        <v>0</v>
      </c>
      <c r="BC195" s="100">
        <v>0</v>
      </c>
      <c r="BD195" s="100">
        <v>0</v>
      </c>
      <c r="BE195" s="100">
        <v>0</v>
      </c>
      <c r="BF195" s="100">
        <v>0</v>
      </c>
      <c r="BG195" s="100">
        <v>0</v>
      </c>
      <c r="BH195" s="100">
        <v>0</v>
      </c>
      <c r="BI195" s="100">
        <v>0</v>
      </c>
      <c r="BJ195" s="100">
        <v>0</v>
      </c>
      <c r="BK195" s="100">
        <v>0</v>
      </c>
      <c r="BL195" s="100">
        <v>0</v>
      </c>
      <c r="BM195" s="100">
        <v>0</v>
      </c>
      <c r="BN195" s="100">
        <v>0</v>
      </c>
      <c r="BO195" s="100">
        <v>0</v>
      </c>
      <c r="BP195" s="100">
        <v>0</v>
      </c>
      <c r="BQ195" s="100">
        <v>0</v>
      </c>
      <c r="BR195" s="100">
        <v>0</v>
      </c>
      <c r="BS195" s="100">
        <v>0</v>
      </c>
      <c r="BT195" s="100">
        <v>0</v>
      </c>
      <c r="BU195" s="100">
        <v>0</v>
      </c>
      <c r="BV195" s="100">
        <v>1</v>
      </c>
      <c r="BW195" s="100">
        <v>0</v>
      </c>
      <c r="BX195" s="100">
        <v>1</v>
      </c>
      <c r="BY195" s="100">
        <v>0</v>
      </c>
      <c r="BZ195" s="100">
        <v>1</v>
      </c>
      <c r="CA195" s="100">
        <v>0</v>
      </c>
      <c r="CB195" s="100" t="s">
        <v>2090</v>
      </c>
      <c r="CC195" s="100">
        <v>0</v>
      </c>
      <c r="CD195" s="100">
        <v>0</v>
      </c>
      <c r="CE195" s="100">
        <v>1</v>
      </c>
      <c r="CF195" s="100">
        <v>0</v>
      </c>
      <c r="CG195" s="103">
        <v>0</v>
      </c>
      <c r="CH195" s="103">
        <v>0</v>
      </c>
      <c r="CI195" s="103">
        <v>144294.21296</v>
      </c>
      <c r="CJ195" s="103">
        <v>1.87</v>
      </c>
      <c r="CK195" s="103">
        <f t="shared" ref="CK195:CK258" si="12">CJ195*CH195</f>
        <v>0</v>
      </c>
      <c r="CL195" s="103">
        <v>17498.7</v>
      </c>
      <c r="CM195" s="103">
        <v>790918.5</v>
      </c>
      <c r="CN195" s="104">
        <v>2.2124529897833974E-2</v>
      </c>
      <c r="CO195" s="103">
        <v>532127.94272000005</v>
      </c>
      <c r="CP195" s="103">
        <v>28.16</v>
      </c>
      <c r="CQ195" s="103">
        <v>2658111.2020200002</v>
      </c>
      <c r="CR195" s="103">
        <v>30.18</v>
      </c>
      <c r="CS195" s="103">
        <f t="shared" ref="CS195:CS258" si="13">CR195*CP195</f>
        <v>849.86879999999996</v>
      </c>
      <c r="CT195" s="103">
        <v>875221.6</v>
      </c>
      <c r="CU195" s="103">
        <v>666325.69999999995</v>
      </c>
      <c r="CV195" s="104">
        <v>1.3135041917188546</v>
      </c>
      <c r="CW195" s="103">
        <v>1188987.4308499999</v>
      </c>
      <c r="CX195" s="103">
        <v>69.45</v>
      </c>
      <c r="CY195" s="103">
        <v>3397048.0600399999</v>
      </c>
      <c r="CZ195" s="103">
        <v>51.645804357904495</v>
      </c>
      <c r="DA195" s="103">
        <f t="shared" ref="DA195:DA258" si="14">CZ195*CX195</f>
        <v>3586.8011126564675</v>
      </c>
      <c r="DB195" s="103">
        <v>1001629</v>
      </c>
      <c r="DC195" s="103">
        <v>712961.4</v>
      </c>
      <c r="DD195" s="104">
        <v>1.4048853135667654</v>
      </c>
      <c r="DE195" s="103">
        <v>460362.89900999999</v>
      </c>
      <c r="DF195" s="103">
        <v>22.22</v>
      </c>
      <c r="DG195" s="103">
        <v>2006783.72322</v>
      </c>
      <c r="DH195" s="103">
        <v>20.34</v>
      </c>
      <c r="DI195" s="103">
        <f t="shared" ref="DI195:DI258" si="15">DH195*DF195</f>
        <v>451.95479999999998</v>
      </c>
      <c r="DJ195" s="103">
        <v>412360.5</v>
      </c>
      <c r="DK195" s="103">
        <v>556073.9</v>
      </c>
      <c r="DL195" s="104">
        <v>0.74155701247621941</v>
      </c>
    </row>
    <row r="196" spans="1:116" s="15" customFormat="1" ht="246.2" customHeight="1" x14ac:dyDescent="0.25">
      <c r="A196" s="100" t="s">
        <v>281</v>
      </c>
      <c r="B196" s="100" t="s">
        <v>2509</v>
      </c>
      <c r="C196" s="100" t="s">
        <v>279</v>
      </c>
      <c r="D196" s="101" t="str">
        <f>"Chemistry 120"</f>
        <v>Chemistry 120</v>
      </c>
      <c r="E196" s="102" t="s">
        <v>2510</v>
      </c>
      <c r="F196" s="100">
        <v>12</v>
      </c>
      <c r="G196" s="100">
        <v>5</v>
      </c>
      <c r="H196" s="100">
        <v>0.42</v>
      </c>
      <c r="I196" s="100">
        <v>15</v>
      </c>
      <c r="J196" s="100">
        <v>3</v>
      </c>
      <c r="K196" s="100">
        <v>3</v>
      </c>
      <c r="L196" s="100">
        <v>2</v>
      </c>
      <c r="M196" s="100">
        <v>1</v>
      </c>
      <c r="N196" s="100">
        <v>2</v>
      </c>
      <c r="O196" s="100">
        <v>1</v>
      </c>
      <c r="P196" s="100">
        <v>1.42</v>
      </c>
      <c r="Q196" s="100">
        <v>32.340000000000003</v>
      </c>
      <c r="R196" s="100">
        <v>0</v>
      </c>
      <c r="S196" s="100">
        <v>0</v>
      </c>
      <c r="T196" s="100">
        <v>1</v>
      </c>
      <c r="U196" s="100">
        <v>0</v>
      </c>
      <c r="V196" s="100">
        <v>0</v>
      </c>
      <c r="W196" s="100">
        <v>1</v>
      </c>
      <c r="X196" s="100">
        <v>0</v>
      </c>
      <c r="Y196" s="100">
        <v>0</v>
      </c>
      <c r="Z196" s="100">
        <v>1</v>
      </c>
      <c r="AA196" s="100">
        <v>0</v>
      </c>
      <c r="AB196" s="100">
        <v>0</v>
      </c>
      <c r="AC196" s="100">
        <v>1</v>
      </c>
      <c r="AD196" s="100">
        <v>0</v>
      </c>
      <c r="AE196" s="100">
        <v>0</v>
      </c>
      <c r="AF196" s="100">
        <v>1</v>
      </c>
      <c r="AG196" s="100">
        <v>0</v>
      </c>
      <c r="AH196" s="100">
        <v>0</v>
      </c>
      <c r="AI196" s="100">
        <v>1</v>
      </c>
      <c r="AJ196" s="100">
        <v>0</v>
      </c>
      <c r="AK196" s="100">
        <v>0</v>
      </c>
      <c r="AL196" s="100">
        <v>0</v>
      </c>
      <c r="AM196" s="100">
        <v>0</v>
      </c>
      <c r="AN196" s="100">
        <v>0</v>
      </c>
      <c r="AO196" s="100">
        <v>0</v>
      </c>
      <c r="AP196" s="100">
        <v>0</v>
      </c>
      <c r="AQ196" s="100">
        <v>0</v>
      </c>
      <c r="AR196" s="100">
        <v>0</v>
      </c>
      <c r="AS196" s="100">
        <v>0</v>
      </c>
      <c r="AT196" s="100">
        <v>1</v>
      </c>
      <c r="AU196" s="100">
        <v>0</v>
      </c>
      <c r="AV196" s="100">
        <v>0</v>
      </c>
      <c r="AW196" s="100">
        <v>0</v>
      </c>
      <c r="AX196" s="100">
        <v>0</v>
      </c>
      <c r="AY196" s="100">
        <v>0</v>
      </c>
      <c r="AZ196" s="100">
        <v>0</v>
      </c>
      <c r="BA196" s="100">
        <v>0</v>
      </c>
      <c r="BB196" s="100">
        <v>0</v>
      </c>
      <c r="BC196" s="100">
        <v>0</v>
      </c>
      <c r="BD196" s="100">
        <v>0</v>
      </c>
      <c r="BE196" s="100">
        <v>0</v>
      </c>
      <c r="BF196" s="100">
        <v>0</v>
      </c>
      <c r="BG196" s="100">
        <v>0</v>
      </c>
      <c r="BH196" s="100">
        <v>0</v>
      </c>
      <c r="BI196" s="100">
        <v>0</v>
      </c>
      <c r="BJ196" s="100">
        <v>1</v>
      </c>
      <c r="BK196" s="100">
        <v>0</v>
      </c>
      <c r="BL196" s="100">
        <v>0</v>
      </c>
      <c r="BM196" s="100">
        <v>0</v>
      </c>
      <c r="BN196" s="100">
        <v>0</v>
      </c>
      <c r="BO196" s="100">
        <v>0</v>
      </c>
      <c r="BP196" s="100">
        <v>0</v>
      </c>
      <c r="BQ196" s="100">
        <v>0</v>
      </c>
      <c r="BR196" s="100">
        <v>0</v>
      </c>
      <c r="BS196" s="100">
        <v>0</v>
      </c>
      <c r="BT196" s="100">
        <v>0</v>
      </c>
      <c r="BU196" s="100">
        <v>0</v>
      </c>
      <c r="BV196" s="100">
        <v>0</v>
      </c>
      <c r="BW196" s="100">
        <v>0</v>
      </c>
      <c r="BX196" s="100">
        <v>1</v>
      </c>
      <c r="BY196" s="100">
        <v>0</v>
      </c>
      <c r="BZ196" s="100">
        <v>1</v>
      </c>
      <c r="CA196" s="100">
        <v>0</v>
      </c>
      <c r="CB196" s="100" t="s">
        <v>2090</v>
      </c>
      <c r="CC196" s="100">
        <v>1</v>
      </c>
      <c r="CD196" s="100">
        <v>0</v>
      </c>
      <c r="CE196" s="100">
        <v>0</v>
      </c>
      <c r="CF196" s="100">
        <v>0</v>
      </c>
      <c r="CG196" s="103">
        <v>90791.090960000001</v>
      </c>
      <c r="CH196" s="103">
        <v>4.99</v>
      </c>
      <c r="CI196" s="103">
        <v>1369079.14142</v>
      </c>
      <c r="CJ196" s="103">
        <v>14.44</v>
      </c>
      <c r="CK196" s="103">
        <f t="shared" si="12"/>
        <v>72.055599999999998</v>
      </c>
      <c r="CL196" s="103">
        <v>52677.9</v>
      </c>
      <c r="CM196" s="103">
        <v>494432.4</v>
      </c>
      <c r="CN196" s="104">
        <v>0.10654216835304482</v>
      </c>
      <c r="CO196" s="103">
        <v>220650.26991</v>
      </c>
      <c r="CP196" s="103">
        <v>10.83</v>
      </c>
      <c r="CQ196" s="103">
        <v>2173882.1797099998</v>
      </c>
      <c r="CR196" s="103">
        <v>25.62</v>
      </c>
      <c r="CS196" s="103">
        <f t="shared" si="13"/>
        <v>277.46460000000002</v>
      </c>
      <c r="CT196" s="103">
        <v>256726.5</v>
      </c>
      <c r="CU196" s="103">
        <v>478157.9</v>
      </c>
      <c r="CV196" s="104">
        <v>0.53690736888379342</v>
      </c>
      <c r="CW196" s="103">
        <v>1541121.2185899999</v>
      </c>
      <c r="CX196" s="103">
        <v>79.989999999999995</v>
      </c>
      <c r="CY196" s="103">
        <v>4047496.2949399999</v>
      </c>
      <c r="CZ196" s="103">
        <v>59.043468287647663</v>
      </c>
      <c r="DA196" s="103">
        <f t="shared" si="14"/>
        <v>4722.8870283289361</v>
      </c>
      <c r="DB196" s="103">
        <v>118993.5</v>
      </c>
      <c r="DC196" s="103">
        <v>78379.600000000006</v>
      </c>
      <c r="DD196" s="104">
        <v>1.5181692685341592</v>
      </c>
      <c r="DE196" s="103">
        <v>597170.07535000006</v>
      </c>
      <c r="DF196" s="103">
        <v>26.21</v>
      </c>
      <c r="DG196" s="103">
        <v>3210487.4172899998</v>
      </c>
      <c r="DH196" s="103">
        <v>27.52</v>
      </c>
      <c r="DI196" s="103">
        <f t="shared" si="15"/>
        <v>721.29920000000004</v>
      </c>
      <c r="DJ196" s="103">
        <v>656804.69999999995</v>
      </c>
      <c r="DK196" s="103">
        <v>766293.1</v>
      </c>
      <c r="DL196" s="104">
        <v>0.85711942336424529</v>
      </c>
    </row>
    <row r="197" spans="1:116" s="15" customFormat="1" ht="196.7" customHeight="1" x14ac:dyDescent="0.25">
      <c r="A197" s="100" t="s">
        <v>282</v>
      </c>
      <c r="B197" s="100" t="s">
        <v>2511</v>
      </c>
      <c r="C197" s="100" t="s">
        <v>279</v>
      </c>
      <c r="D197" s="101" t="str">
        <f>"Chemistry 49"</f>
        <v>Chemistry 49</v>
      </c>
      <c r="E197" s="102" t="s">
        <v>2512</v>
      </c>
      <c r="F197" s="100">
        <v>8</v>
      </c>
      <c r="G197" s="100">
        <v>6</v>
      </c>
      <c r="H197" s="100">
        <v>0.75</v>
      </c>
      <c r="I197" s="100">
        <v>15</v>
      </c>
      <c r="J197" s="100">
        <v>7</v>
      </c>
      <c r="K197" s="100">
        <v>4</v>
      </c>
      <c r="L197" s="100">
        <v>4</v>
      </c>
      <c r="M197" s="100">
        <v>1</v>
      </c>
      <c r="N197" s="100">
        <v>3</v>
      </c>
      <c r="O197" s="100">
        <v>1</v>
      </c>
      <c r="P197" s="100">
        <v>0.19</v>
      </c>
      <c r="Q197" s="100">
        <v>42.74</v>
      </c>
      <c r="R197" s="100">
        <v>1</v>
      </c>
      <c r="S197" s="100">
        <v>0</v>
      </c>
      <c r="T197" s="100">
        <v>1</v>
      </c>
      <c r="U197" s="100">
        <v>0</v>
      </c>
      <c r="V197" s="100">
        <v>1</v>
      </c>
      <c r="W197" s="100">
        <v>1</v>
      </c>
      <c r="X197" s="100">
        <v>0</v>
      </c>
      <c r="Y197" s="100">
        <v>0</v>
      </c>
      <c r="Z197" s="100">
        <v>1</v>
      </c>
      <c r="AA197" s="100">
        <v>0</v>
      </c>
      <c r="AB197" s="100">
        <v>0</v>
      </c>
      <c r="AC197" s="100">
        <v>1</v>
      </c>
      <c r="AD197" s="100">
        <v>0</v>
      </c>
      <c r="AE197" s="100">
        <v>1</v>
      </c>
      <c r="AF197" s="100">
        <v>0</v>
      </c>
      <c r="AG197" s="100">
        <v>0</v>
      </c>
      <c r="AH197" s="100">
        <v>0</v>
      </c>
      <c r="AI197" s="100">
        <v>1</v>
      </c>
      <c r="AJ197" s="100">
        <v>0</v>
      </c>
      <c r="AK197" s="100">
        <v>0</v>
      </c>
      <c r="AL197" s="100">
        <v>0</v>
      </c>
      <c r="AM197" s="100">
        <v>0</v>
      </c>
      <c r="AN197" s="100">
        <v>1</v>
      </c>
      <c r="AO197" s="100">
        <v>0</v>
      </c>
      <c r="AP197" s="100">
        <v>0</v>
      </c>
      <c r="AQ197" s="100">
        <v>0</v>
      </c>
      <c r="AR197" s="100">
        <v>0</v>
      </c>
      <c r="AS197" s="100">
        <v>0</v>
      </c>
      <c r="AT197" s="100">
        <v>0</v>
      </c>
      <c r="AU197" s="100">
        <v>0</v>
      </c>
      <c r="AV197" s="100">
        <v>0</v>
      </c>
      <c r="AW197" s="100">
        <v>0</v>
      </c>
      <c r="AX197" s="100">
        <v>0</v>
      </c>
      <c r="AY197" s="100">
        <v>0</v>
      </c>
      <c r="AZ197" s="100">
        <v>0</v>
      </c>
      <c r="BA197" s="100">
        <v>0</v>
      </c>
      <c r="BB197" s="100">
        <v>0</v>
      </c>
      <c r="BC197" s="100">
        <v>0</v>
      </c>
      <c r="BD197" s="100">
        <v>0</v>
      </c>
      <c r="BE197" s="100">
        <v>0</v>
      </c>
      <c r="BF197" s="100">
        <v>0</v>
      </c>
      <c r="BG197" s="100">
        <v>0</v>
      </c>
      <c r="BH197" s="100">
        <v>0</v>
      </c>
      <c r="BI197" s="100">
        <v>0</v>
      </c>
      <c r="BJ197" s="100">
        <v>0</v>
      </c>
      <c r="BK197" s="100">
        <v>0</v>
      </c>
      <c r="BL197" s="100">
        <v>0</v>
      </c>
      <c r="BM197" s="100">
        <v>0</v>
      </c>
      <c r="BN197" s="100">
        <v>0</v>
      </c>
      <c r="BO197" s="100">
        <v>0</v>
      </c>
      <c r="BP197" s="100">
        <v>0</v>
      </c>
      <c r="BQ197" s="100">
        <v>0</v>
      </c>
      <c r="BR197" s="100">
        <v>0</v>
      </c>
      <c r="BS197" s="100">
        <v>0</v>
      </c>
      <c r="BT197" s="100">
        <v>0</v>
      </c>
      <c r="BU197" s="100">
        <v>0</v>
      </c>
      <c r="BV197" s="100">
        <v>1</v>
      </c>
      <c r="BW197" s="100">
        <v>0</v>
      </c>
      <c r="BX197" s="100">
        <v>1</v>
      </c>
      <c r="BY197" s="100">
        <v>0</v>
      </c>
      <c r="BZ197" s="100">
        <v>1</v>
      </c>
      <c r="CA197" s="100">
        <v>0</v>
      </c>
      <c r="CB197" s="100" t="s">
        <v>2090</v>
      </c>
      <c r="CC197" s="100">
        <v>0</v>
      </c>
      <c r="CD197" s="100">
        <v>0</v>
      </c>
      <c r="CE197" s="100">
        <v>1</v>
      </c>
      <c r="CF197" s="100">
        <v>0</v>
      </c>
      <c r="CG197" s="103">
        <v>21873.482739999999</v>
      </c>
      <c r="CH197" s="103">
        <v>1.5699999999999998</v>
      </c>
      <c r="CI197" s="103">
        <v>447037.73622999998</v>
      </c>
      <c r="CJ197" s="103">
        <v>5.03</v>
      </c>
      <c r="CK197" s="103">
        <f t="shared" si="12"/>
        <v>7.8971</v>
      </c>
      <c r="CL197" s="103">
        <v>15092.8</v>
      </c>
      <c r="CM197" s="103">
        <v>717343.3</v>
      </c>
      <c r="CN197" s="104">
        <v>2.1039856370025339E-2</v>
      </c>
      <c r="CO197" s="103">
        <v>9045.4246700000003</v>
      </c>
      <c r="CP197" s="103">
        <v>0.56999999999999995</v>
      </c>
      <c r="CQ197" s="103">
        <v>108612.29522</v>
      </c>
      <c r="CR197" s="103">
        <v>3.75</v>
      </c>
      <c r="CS197" s="103">
        <f t="shared" si="13"/>
        <v>2.1374999999999997</v>
      </c>
      <c r="CT197" s="103">
        <v>6182.8</v>
      </c>
      <c r="CU197" s="103">
        <v>453673.9</v>
      </c>
      <c r="CV197" s="104">
        <v>1.3628291158032234E-2</v>
      </c>
      <c r="CW197" s="103">
        <v>1160331.2188899999</v>
      </c>
      <c r="CX197" s="103">
        <v>68.13</v>
      </c>
      <c r="CY197" s="103">
        <v>3824741.6272399998</v>
      </c>
      <c r="CZ197" s="103">
        <v>39.027335602151716</v>
      </c>
      <c r="DA197" s="103">
        <f t="shared" si="14"/>
        <v>2658.9323745745965</v>
      </c>
      <c r="DB197" s="103">
        <v>25832.799999999999</v>
      </c>
      <c r="DC197" s="103">
        <v>54843.4</v>
      </c>
      <c r="DD197" s="104">
        <v>0.47102841909874293</v>
      </c>
      <c r="DE197" s="103">
        <v>19581.35742</v>
      </c>
      <c r="DF197" s="103">
        <v>1.22</v>
      </c>
      <c r="DG197" s="103">
        <v>261561.95410999999</v>
      </c>
      <c r="DH197" s="103">
        <v>3.27</v>
      </c>
      <c r="DI197" s="103">
        <f t="shared" si="15"/>
        <v>3.9893999999999998</v>
      </c>
      <c r="DJ197" s="103">
        <v>22900.799999999999</v>
      </c>
      <c r="DK197" s="103">
        <v>762434.5</v>
      </c>
      <c r="DL197" s="104">
        <v>3.0036416242969068E-2</v>
      </c>
    </row>
    <row r="198" spans="1:116" s="15" customFormat="1" ht="238.7" customHeight="1" x14ac:dyDescent="0.25">
      <c r="A198" s="100" t="s">
        <v>283</v>
      </c>
      <c r="B198" s="100" t="s">
        <v>2513</v>
      </c>
      <c r="C198" s="100" t="s">
        <v>279</v>
      </c>
      <c r="D198" s="101" t="str">
        <f>"Chemistry 164"</f>
        <v>Chemistry 164</v>
      </c>
      <c r="E198" s="102" t="s">
        <v>2514</v>
      </c>
      <c r="F198" s="100">
        <v>10</v>
      </c>
      <c r="G198" s="100">
        <v>4</v>
      </c>
      <c r="H198" s="100">
        <v>0.4</v>
      </c>
      <c r="I198" s="100">
        <v>12</v>
      </c>
      <c r="J198" s="100">
        <v>2</v>
      </c>
      <c r="K198" s="100">
        <v>2</v>
      </c>
      <c r="L198" s="100">
        <v>1</v>
      </c>
      <c r="M198" s="100">
        <v>1</v>
      </c>
      <c r="N198" s="100">
        <v>2</v>
      </c>
      <c r="O198" s="100">
        <v>1</v>
      </c>
      <c r="P198" s="100">
        <v>1.1499999999999999</v>
      </c>
      <c r="Q198" s="100">
        <v>21.26</v>
      </c>
      <c r="R198" s="100">
        <v>1</v>
      </c>
      <c r="S198" s="100">
        <v>0</v>
      </c>
      <c r="T198" s="100">
        <v>0</v>
      </c>
      <c r="U198" s="100">
        <v>1</v>
      </c>
      <c r="V198" s="100">
        <v>0</v>
      </c>
      <c r="W198" s="100">
        <v>0</v>
      </c>
      <c r="X198" s="100">
        <v>1</v>
      </c>
      <c r="Y198" s="100">
        <v>0</v>
      </c>
      <c r="Z198" s="100">
        <v>1</v>
      </c>
      <c r="AA198" s="100">
        <v>0</v>
      </c>
      <c r="AB198" s="100">
        <v>0</v>
      </c>
      <c r="AC198" s="100">
        <v>1</v>
      </c>
      <c r="AD198" s="100">
        <v>0</v>
      </c>
      <c r="AE198" s="100">
        <v>0</v>
      </c>
      <c r="AF198" s="100">
        <v>1</v>
      </c>
      <c r="AG198" s="100">
        <v>0</v>
      </c>
      <c r="AH198" s="100">
        <v>1</v>
      </c>
      <c r="AI198" s="100">
        <v>0</v>
      </c>
      <c r="AJ198" s="100">
        <v>0</v>
      </c>
      <c r="AK198" s="100">
        <v>0</v>
      </c>
      <c r="AL198" s="100">
        <v>0</v>
      </c>
      <c r="AM198" s="100">
        <v>0</v>
      </c>
      <c r="AN198" s="100">
        <v>0</v>
      </c>
      <c r="AO198" s="100">
        <v>0</v>
      </c>
      <c r="AP198" s="100">
        <v>0</v>
      </c>
      <c r="AQ198" s="100">
        <v>0</v>
      </c>
      <c r="AR198" s="100">
        <v>0</v>
      </c>
      <c r="AS198" s="100">
        <v>0</v>
      </c>
      <c r="AT198" s="100">
        <v>0</v>
      </c>
      <c r="AU198" s="100">
        <v>0</v>
      </c>
      <c r="AV198" s="100">
        <v>0</v>
      </c>
      <c r="AW198" s="100">
        <v>0</v>
      </c>
      <c r="AX198" s="100">
        <v>0</v>
      </c>
      <c r="AY198" s="100">
        <v>0</v>
      </c>
      <c r="AZ198" s="100">
        <v>0</v>
      </c>
      <c r="BA198" s="100">
        <v>0</v>
      </c>
      <c r="BB198" s="100">
        <v>0</v>
      </c>
      <c r="BC198" s="100">
        <v>0</v>
      </c>
      <c r="BD198" s="100">
        <v>0</v>
      </c>
      <c r="BE198" s="100">
        <v>0</v>
      </c>
      <c r="BF198" s="100">
        <v>0</v>
      </c>
      <c r="BG198" s="100">
        <v>0</v>
      </c>
      <c r="BH198" s="100">
        <v>0</v>
      </c>
      <c r="BI198" s="100">
        <v>0</v>
      </c>
      <c r="BJ198" s="100">
        <v>0</v>
      </c>
      <c r="BK198" s="100">
        <v>0</v>
      </c>
      <c r="BL198" s="100">
        <v>0</v>
      </c>
      <c r="BM198" s="100">
        <v>0</v>
      </c>
      <c r="BN198" s="100">
        <v>0</v>
      </c>
      <c r="BO198" s="100">
        <v>0</v>
      </c>
      <c r="BP198" s="100">
        <v>0</v>
      </c>
      <c r="BQ198" s="100">
        <v>0</v>
      </c>
      <c r="BR198" s="100">
        <v>0</v>
      </c>
      <c r="BS198" s="100">
        <v>0</v>
      </c>
      <c r="BT198" s="100">
        <v>0</v>
      </c>
      <c r="BU198" s="100">
        <v>0</v>
      </c>
      <c r="BV198" s="100">
        <v>0</v>
      </c>
      <c r="BW198" s="100">
        <v>0</v>
      </c>
      <c r="BX198" s="100">
        <v>0</v>
      </c>
      <c r="BY198" s="100">
        <v>1</v>
      </c>
      <c r="BZ198" s="100">
        <v>1</v>
      </c>
      <c r="CA198" s="100">
        <v>0</v>
      </c>
      <c r="CB198" s="100" t="s">
        <v>2090</v>
      </c>
      <c r="CC198" s="100">
        <v>0</v>
      </c>
      <c r="CD198" s="100">
        <v>0</v>
      </c>
      <c r="CE198" s="100">
        <v>0</v>
      </c>
      <c r="CF198" s="100">
        <v>0</v>
      </c>
      <c r="CG198" s="103">
        <v>238908.51818000001</v>
      </c>
      <c r="CH198" s="103">
        <v>15.84</v>
      </c>
      <c r="CI198" s="103">
        <v>3173998.47487</v>
      </c>
      <c r="CJ198" s="103">
        <v>27.21</v>
      </c>
      <c r="CK198" s="103">
        <f t="shared" si="12"/>
        <v>431.00639999999999</v>
      </c>
      <c r="CL198" s="103">
        <v>201331.5</v>
      </c>
      <c r="CM198" s="103">
        <v>369987</v>
      </c>
      <c r="CN198" s="104">
        <v>0.54415830826488498</v>
      </c>
      <c r="CO198" s="103">
        <v>706859.97256999998</v>
      </c>
      <c r="CP198" s="103">
        <v>40.9</v>
      </c>
      <c r="CQ198" s="103">
        <v>4650478.9652300002</v>
      </c>
      <c r="CR198" s="103">
        <v>35.619999999999997</v>
      </c>
      <c r="CS198" s="103">
        <f t="shared" si="13"/>
        <v>1456.8579999999999</v>
      </c>
      <c r="CT198" s="103">
        <v>737768.1</v>
      </c>
      <c r="CU198" s="103">
        <v>675585.6</v>
      </c>
      <c r="CV198" s="104">
        <v>1.0920423703524764</v>
      </c>
      <c r="CW198" s="103">
        <v>883561.22514999995</v>
      </c>
      <c r="CX198" s="103">
        <v>62.78</v>
      </c>
      <c r="CY198" s="103">
        <v>4937004.5661800001</v>
      </c>
      <c r="CZ198" s="103">
        <v>52.864642775622002</v>
      </c>
      <c r="DA198" s="103">
        <f t="shared" si="14"/>
        <v>3318.8422734535493</v>
      </c>
      <c r="DB198" s="103">
        <v>383737.1</v>
      </c>
      <c r="DC198" s="103">
        <v>217443.20000000001</v>
      </c>
      <c r="DD198" s="104">
        <v>1.7647693742549777</v>
      </c>
      <c r="DE198" s="103">
        <v>1048996.23444</v>
      </c>
      <c r="DF198" s="103">
        <v>50.58</v>
      </c>
      <c r="DG198" s="103">
        <v>5350322.5764199998</v>
      </c>
      <c r="DH198" s="103">
        <v>35.380000000000003</v>
      </c>
      <c r="DI198" s="103">
        <f t="shared" si="15"/>
        <v>1789.5204000000001</v>
      </c>
      <c r="DJ198" s="103">
        <v>503729</v>
      </c>
      <c r="DK198" s="103">
        <v>405852.9</v>
      </c>
      <c r="DL198" s="104">
        <v>1.2411615144304746</v>
      </c>
    </row>
    <row r="199" spans="1:116" s="15" customFormat="1" ht="265.7" customHeight="1" x14ac:dyDescent="0.25">
      <c r="A199" s="100" t="s">
        <v>284</v>
      </c>
      <c r="B199" s="100" t="s">
        <v>2515</v>
      </c>
      <c r="C199" s="100" t="s">
        <v>279</v>
      </c>
      <c r="D199" s="101" t="str">
        <f>"Chemistry 166"</f>
        <v>Chemistry 166</v>
      </c>
      <c r="E199" s="102" t="s">
        <v>2516</v>
      </c>
      <c r="F199" s="100">
        <v>10</v>
      </c>
      <c r="G199" s="100">
        <v>7</v>
      </c>
      <c r="H199" s="100">
        <v>0.7</v>
      </c>
      <c r="I199" s="100">
        <v>16</v>
      </c>
      <c r="J199" s="100">
        <v>6</v>
      </c>
      <c r="K199" s="100">
        <v>6</v>
      </c>
      <c r="L199" s="100">
        <v>5</v>
      </c>
      <c r="M199" s="100">
        <v>1</v>
      </c>
      <c r="N199" s="100">
        <v>4</v>
      </c>
      <c r="O199" s="100">
        <v>2</v>
      </c>
      <c r="P199" s="100">
        <v>-0.54</v>
      </c>
      <c r="Q199" s="100">
        <v>71.84</v>
      </c>
      <c r="R199" s="100">
        <v>2</v>
      </c>
      <c r="S199" s="100">
        <v>0</v>
      </c>
      <c r="T199" s="100">
        <v>1</v>
      </c>
      <c r="U199" s="100">
        <v>0</v>
      </c>
      <c r="V199" s="100">
        <v>1</v>
      </c>
      <c r="W199" s="100">
        <v>0</v>
      </c>
      <c r="X199" s="100">
        <v>0</v>
      </c>
      <c r="Y199" s="100">
        <v>1</v>
      </c>
      <c r="Z199" s="100">
        <v>0</v>
      </c>
      <c r="AA199" s="100">
        <v>0</v>
      </c>
      <c r="AB199" s="100">
        <v>1</v>
      </c>
      <c r="AC199" s="100">
        <v>0</v>
      </c>
      <c r="AD199" s="100">
        <v>0</v>
      </c>
      <c r="AE199" s="100">
        <v>1</v>
      </c>
      <c r="AF199" s="100">
        <v>0</v>
      </c>
      <c r="AG199" s="100">
        <v>0</v>
      </c>
      <c r="AH199" s="100">
        <v>0</v>
      </c>
      <c r="AI199" s="100">
        <v>0</v>
      </c>
      <c r="AJ199" s="100">
        <v>1</v>
      </c>
      <c r="AK199" s="100">
        <v>0</v>
      </c>
      <c r="AL199" s="100">
        <v>0</v>
      </c>
      <c r="AM199" s="100">
        <v>0</v>
      </c>
      <c r="AN199" s="100">
        <v>1</v>
      </c>
      <c r="AO199" s="100">
        <v>0</v>
      </c>
      <c r="AP199" s="100">
        <v>0</v>
      </c>
      <c r="AQ199" s="100">
        <v>0</v>
      </c>
      <c r="AR199" s="100">
        <v>0</v>
      </c>
      <c r="AS199" s="100">
        <v>0</v>
      </c>
      <c r="AT199" s="100">
        <v>1</v>
      </c>
      <c r="AU199" s="100">
        <v>0</v>
      </c>
      <c r="AV199" s="100">
        <v>0</v>
      </c>
      <c r="AW199" s="100">
        <v>0</v>
      </c>
      <c r="AX199" s="100">
        <v>0</v>
      </c>
      <c r="AY199" s="100">
        <v>0</v>
      </c>
      <c r="AZ199" s="100">
        <v>0</v>
      </c>
      <c r="BA199" s="100">
        <v>0</v>
      </c>
      <c r="BB199" s="100">
        <v>0</v>
      </c>
      <c r="BC199" s="100">
        <v>0</v>
      </c>
      <c r="BD199" s="100">
        <v>0</v>
      </c>
      <c r="BE199" s="100">
        <v>0</v>
      </c>
      <c r="BF199" s="100">
        <v>0</v>
      </c>
      <c r="BG199" s="100">
        <v>0</v>
      </c>
      <c r="BH199" s="100">
        <v>0</v>
      </c>
      <c r="BI199" s="100">
        <v>0</v>
      </c>
      <c r="BJ199" s="100">
        <v>1</v>
      </c>
      <c r="BK199" s="100">
        <v>0</v>
      </c>
      <c r="BL199" s="100">
        <v>1</v>
      </c>
      <c r="BM199" s="100">
        <v>0</v>
      </c>
      <c r="BN199" s="100">
        <v>0</v>
      </c>
      <c r="BO199" s="100">
        <v>0</v>
      </c>
      <c r="BP199" s="100">
        <v>0</v>
      </c>
      <c r="BQ199" s="100">
        <v>0</v>
      </c>
      <c r="BR199" s="100">
        <v>0</v>
      </c>
      <c r="BS199" s="100">
        <v>0</v>
      </c>
      <c r="BT199" s="100">
        <v>0</v>
      </c>
      <c r="BU199" s="100">
        <v>0</v>
      </c>
      <c r="BV199" s="100">
        <v>1</v>
      </c>
      <c r="BW199" s="100">
        <v>0</v>
      </c>
      <c r="BX199" s="100">
        <v>1</v>
      </c>
      <c r="BY199" s="100">
        <v>0</v>
      </c>
      <c r="BZ199" s="100">
        <v>1</v>
      </c>
      <c r="CA199" s="100">
        <v>0</v>
      </c>
      <c r="CB199" s="100" t="s">
        <v>2090</v>
      </c>
      <c r="CC199" s="100">
        <v>0</v>
      </c>
      <c r="CD199" s="100">
        <v>0</v>
      </c>
      <c r="CE199" s="100">
        <v>1</v>
      </c>
      <c r="CF199" s="100">
        <v>0</v>
      </c>
      <c r="CG199" s="103">
        <v>263776.82354999997</v>
      </c>
      <c r="CH199" s="103">
        <v>15.52</v>
      </c>
      <c r="CI199" s="103">
        <v>1491103.5639299999</v>
      </c>
      <c r="CJ199" s="103">
        <v>13.41</v>
      </c>
      <c r="CK199" s="103">
        <f t="shared" si="12"/>
        <v>208.1232</v>
      </c>
      <c r="CL199" s="103">
        <v>270369.3</v>
      </c>
      <c r="CM199" s="103">
        <v>802248.3</v>
      </c>
      <c r="CN199" s="104">
        <v>0.33701448790854399</v>
      </c>
      <c r="CO199" s="103">
        <v>421838.67488000001</v>
      </c>
      <c r="CP199" s="103">
        <v>18.489999999999998</v>
      </c>
      <c r="CQ199" s="103">
        <v>2052259.80247</v>
      </c>
      <c r="CR199" s="103">
        <v>21.74</v>
      </c>
      <c r="CS199" s="103">
        <f t="shared" si="13"/>
        <v>401.97259999999994</v>
      </c>
      <c r="CT199" s="103">
        <v>330336</v>
      </c>
      <c r="CU199" s="103">
        <v>673110.4</v>
      </c>
      <c r="CV199" s="104">
        <v>0.49076050526035547</v>
      </c>
      <c r="CW199" s="103">
        <v>1738530.00553</v>
      </c>
      <c r="CX199" s="103">
        <v>84.38</v>
      </c>
      <c r="CY199" s="103">
        <v>3277518.4761600001</v>
      </c>
      <c r="CZ199" s="103">
        <v>39.89239926739927</v>
      </c>
      <c r="DA199" s="103">
        <f t="shared" si="14"/>
        <v>3366.1206501831502</v>
      </c>
      <c r="DB199" s="103">
        <v>482545.9</v>
      </c>
      <c r="DC199" s="103">
        <v>549681.69999999995</v>
      </c>
      <c r="DD199" s="104">
        <v>0.87786422578739676</v>
      </c>
      <c r="DE199" s="103">
        <v>527215.80177000002</v>
      </c>
      <c r="DF199" s="103">
        <v>22.78</v>
      </c>
      <c r="DG199" s="103">
        <v>2212274.6581600001</v>
      </c>
      <c r="DH199" s="103">
        <v>19.93</v>
      </c>
      <c r="DI199" s="103">
        <f t="shared" si="15"/>
        <v>454.00540000000001</v>
      </c>
      <c r="DJ199" s="103">
        <v>534964</v>
      </c>
      <c r="DK199" s="103">
        <v>802660.2</v>
      </c>
      <c r="DL199" s="104">
        <v>0.66648875825660725</v>
      </c>
    </row>
    <row r="200" spans="1:116" s="15" customFormat="1" ht="215.45" customHeight="1" x14ac:dyDescent="0.25">
      <c r="A200" s="100" t="s">
        <v>285</v>
      </c>
      <c r="B200" s="100" t="s">
        <v>2517</v>
      </c>
      <c r="C200" s="100" t="s">
        <v>279</v>
      </c>
      <c r="D200" s="101" t="str">
        <f>"Chemistry 150"</f>
        <v>Chemistry 150</v>
      </c>
      <c r="E200" s="102" t="s">
        <v>2518</v>
      </c>
      <c r="F200" s="100">
        <v>12</v>
      </c>
      <c r="G200" s="100">
        <v>5</v>
      </c>
      <c r="H200" s="100">
        <v>0.42</v>
      </c>
      <c r="I200" s="100">
        <v>15</v>
      </c>
      <c r="J200" s="100">
        <v>3</v>
      </c>
      <c r="K200" s="100">
        <v>3</v>
      </c>
      <c r="L200" s="100">
        <v>1</v>
      </c>
      <c r="M200" s="100">
        <v>1</v>
      </c>
      <c r="N200" s="100">
        <v>3</v>
      </c>
      <c r="O200" s="100">
        <v>1</v>
      </c>
      <c r="P200" s="100">
        <v>0.37</v>
      </c>
      <c r="Q200" s="100">
        <v>38.33</v>
      </c>
      <c r="R200" s="100">
        <v>0</v>
      </c>
      <c r="S200" s="100">
        <v>0</v>
      </c>
      <c r="T200" s="100">
        <v>1</v>
      </c>
      <c r="U200" s="100">
        <v>0</v>
      </c>
      <c r="V200" s="100">
        <v>0</v>
      </c>
      <c r="W200" s="100">
        <v>0</v>
      </c>
      <c r="X200" s="100">
        <v>1</v>
      </c>
      <c r="Y200" s="100">
        <v>0</v>
      </c>
      <c r="Z200" s="100">
        <v>1</v>
      </c>
      <c r="AA200" s="100">
        <v>0</v>
      </c>
      <c r="AB200" s="100">
        <v>0</v>
      </c>
      <c r="AC200" s="100">
        <v>1</v>
      </c>
      <c r="AD200" s="100">
        <v>0</v>
      </c>
      <c r="AE200" s="100">
        <v>0</v>
      </c>
      <c r="AF200" s="100">
        <v>1</v>
      </c>
      <c r="AG200" s="100">
        <v>0</v>
      </c>
      <c r="AH200" s="100">
        <v>0</v>
      </c>
      <c r="AI200" s="100">
        <v>1</v>
      </c>
      <c r="AJ200" s="100">
        <v>0</v>
      </c>
      <c r="AK200" s="100">
        <v>0</v>
      </c>
      <c r="AL200" s="100">
        <v>0</v>
      </c>
      <c r="AM200" s="100">
        <v>0</v>
      </c>
      <c r="AN200" s="100">
        <v>0</v>
      </c>
      <c r="AO200" s="100">
        <v>0</v>
      </c>
      <c r="AP200" s="100">
        <v>0</v>
      </c>
      <c r="AQ200" s="100">
        <v>0</v>
      </c>
      <c r="AR200" s="100">
        <v>0</v>
      </c>
      <c r="AS200" s="100">
        <v>0</v>
      </c>
      <c r="AT200" s="100">
        <v>0</v>
      </c>
      <c r="AU200" s="100">
        <v>0</v>
      </c>
      <c r="AV200" s="100">
        <v>0</v>
      </c>
      <c r="AW200" s="100">
        <v>0</v>
      </c>
      <c r="AX200" s="100">
        <v>1</v>
      </c>
      <c r="AY200" s="100">
        <v>0</v>
      </c>
      <c r="AZ200" s="100">
        <v>0</v>
      </c>
      <c r="BA200" s="100">
        <v>0</v>
      </c>
      <c r="BB200" s="100">
        <v>0</v>
      </c>
      <c r="BC200" s="100">
        <v>0</v>
      </c>
      <c r="BD200" s="100">
        <v>0</v>
      </c>
      <c r="BE200" s="100">
        <v>0</v>
      </c>
      <c r="BF200" s="100">
        <v>0</v>
      </c>
      <c r="BG200" s="100">
        <v>0</v>
      </c>
      <c r="BH200" s="100">
        <v>0</v>
      </c>
      <c r="BI200" s="100">
        <v>0</v>
      </c>
      <c r="BJ200" s="100">
        <v>1</v>
      </c>
      <c r="BK200" s="100">
        <v>0</v>
      </c>
      <c r="BL200" s="100">
        <v>0</v>
      </c>
      <c r="BM200" s="100">
        <v>0</v>
      </c>
      <c r="BN200" s="100">
        <v>0</v>
      </c>
      <c r="BO200" s="100">
        <v>0</v>
      </c>
      <c r="BP200" s="100">
        <v>0</v>
      </c>
      <c r="BQ200" s="100">
        <v>0</v>
      </c>
      <c r="BR200" s="100">
        <v>0</v>
      </c>
      <c r="BS200" s="100">
        <v>0</v>
      </c>
      <c r="BT200" s="100">
        <v>0</v>
      </c>
      <c r="BU200" s="100">
        <v>0</v>
      </c>
      <c r="BV200" s="100">
        <v>0</v>
      </c>
      <c r="BW200" s="100">
        <v>1</v>
      </c>
      <c r="BX200" s="100">
        <v>0</v>
      </c>
      <c r="BY200" s="100">
        <v>0</v>
      </c>
      <c r="BZ200" s="100">
        <v>0</v>
      </c>
      <c r="CA200" s="100">
        <v>1</v>
      </c>
      <c r="CB200" s="100" t="s">
        <v>2090</v>
      </c>
      <c r="CC200" s="100">
        <v>0</v>
      </c>
      <c r="CD200" s="100">
        <v>0</v>
      </c>
      <c r="CE200" s="100">
        <v>0</v>
      </c>
      <c r="CF200" s="100">
        <v>0</v>
      </c>
      <c r="CG200" s="103">
        <v>184501.60990000001</v>
      </c>
      <c r="CH200" s="103">
        <v>9.76</v>
      </c>
      <c r="CI200" s="103">
        <v>2218193.1744200001</v>
      </c>
      <c r="CJ200" s="103">
        <v>23.98</v>
      </c>
      <c r="CK200" s="103">
        <f t="shared" si="12"/>
        <v>234.04480000000001</v>
      </c>
      <c r="CL200" s="103">
        <v>448363.1</v>
      </c>
      <c r="CM200" s="103">
        <v>950703.9</v>
      </c>
      <c r="CN200" s="104">
        <v>0.47161171843304733</v>
      </c>
      <c r="CO200" s="103">
        <v>238974.04453000001</v>
      </c>
      <c r="CP200" s="103">
        <v>10.98</v>
      </c>
      <c r="CQ200" s="103">
        <v>2525200.0363799999</v>
      </c>
      <c r="CR200" s="103">
        <v>25.94</v>
      </c>
      <c r="CS200" s="103">
        <f t="shared" si="13"/>
        <v>284.82120000000003</v>
      </c>
      <c r="CT200" s="103">
        <v>415195.4</v>
      </c>
      <c r="CU200" s="103">
        <v>700508.7</v>
      </c>
      <c r="CV200" s="104">
        <v>0.5927055581179792</v>
      </c>
      <c r="CW200" s="103">
        <v>1088070.57702</v>
      </c>
      <c r="CX200" s="103">
        <v>52.74</v>
      </c>
      <c r="CY200" s="103">
        <v>4368739.4077099999</v>
      </c>
      <c r="CZ200" s="103">
        <v>46.424822115945403</v>
      </c>
      <c r="DA200" s="103">
        <f t="shared" si="14"/>
        <v>2448.4451183949604</v>
      </c>
      <c r="DB200" s="103">
        <v>479160.6</v>
      </c>
      <c r="DC200" s="103">
        <v>371876.3</v>
      </c>
      <c r="DD200" s="104">
        <v>1.2884945881197591</v>
      </c>
      <c r="DE200" s="103">
        <v>586702.46903000004</v>
      </c>
      <c r="DF200" s="103">
        <v>22.93</v>
      </c>
      <c r="DG200" s="103">
        <v>3588488.2215399998</v>
      </c>
      <c r="DH200" s="103">
        <v>23.85</v>
      </c>
      <c r="DI200" s="103">
        <f t="shared" si="15"/>
        <v>546.88049999999998</v>
      </c>
      <c r="DJ200" s="103">
        <v>343798.8</v>
      </c>
      <c r="DK200" s="103">
        <v>439603.9</v>
      </c>
      <c r="DL200" s="104">
        <v>0.78206494528369741</v>
      </c>
    </row>
    <row r="201" spans="1:116" s="15" customFormat="1" ht="174.95" customHeight="1" x14ac:dyDescent="0.25">
      <c r="A201" s="100" t="s">
        <v>286</v>
      </c>
      <c r="B201" s="100" t="s">
        <v>2519</v>
      </c>
      <c r="C201" s="100" t="s">
        <v>279</v>
      </c>
      <c r="D201" s="101" t="str">
        <f>"Chemistry 83"</f>
        <v>Chemistry 83</v>
      </c>
      <c r="E201" s="102" t="s">
        <v>2010</v>
      </c>
      <c r="F201" s="100">
        <v>8</v>
      </c>
      <c r="G201" s="100">
        <v>6</v>
      </c>
      <c r="H201" s="100">
        <v>0.75</v>
      </c>
      <c r="I201" s="100">
        <v>12</v>
      </c>
      <c r="J201" s="100">
        <v>4</v>
      </c>
      <c r="K201" s="100">
        <v>4</v>
      </c>
      <c r="L201" s="100">
        <v>4</v>
      </c>
      <c r="M201" s="100">
        <v>1</v>
      </c>
      <c r="N201" s="100">
        <v>3</v>
      </c>
      <c r="O201" s="100">
        <v>1</v>
      </c>
      <c r="P201" s="100">
        <v>-0.65</v>
      </c>
      <c r="Q201" s="100">
        <v>42.74</v>
      </c>
      <c r="R201" s="100">
        <v>1</v>
      </c>
      <c r="S201" s="100">
        <v>0</v>
      </c>
      <c r="T201" s="100">
        <v>0</v>
      </c>
      <c r="U201" s="100">
        <v>1</v>
      </c>
      <c r="V201" s="100">
        <v>1</v>
      </c>
      <c r="W201" s="100">
        <v>1</v>
      </c>
      <c r="X201" s="100">
        <v>0</v>
      </c>
      <c r="Y201" s="100">
        <v>0</v>
      </c>
      <c r="Z201" s="100">
        <v>1</v>
      </c>
      <c r="AA201" s="100">
        <v>0</v>
      </c>
      <c r="AB201" s="100">
        <v>0</v>
      </c>
      <c r="AC201" s="100">
        <v>1</v>
      </c>
      <c r="AD201" s="100">
        <v>0</v>
      </c>
      <c r="AE201" s="100">
        <v>1</v>
      </c>
      <c r="AF201" s="100">
        <v>0</v>
      </c>
      <c r="AG201" s="100">
        <v>0</v>
      </c>
      <c r="AH201" s="100">
        <v>0</v>
      </c>
      <c r="AI201" s="100">
        <v>1</v>
      </c>
      <c r="AJ201" s="100">
        <v>0</v>
      </c>
      <c r="AK201" s="100">
        <v>0</v>
      </c>
      <c r="AL201" s="100">
        <v>0</v>
      </c>
      <c r="AM201" s="100">
        <v>0</v>
      </c>
      <c r="AN201" s="100">
        <v>1</v>
      </c>
      <c r="AO201" s="100">
        <v>0</v>
      </c>
      <c r="AP201" s="100">
        <v>0</v>
      </c>
      <c r="AQ201" s="100">
        <v>0</v>
      </c>
      <c r="AR201" s="100">
        <v>0</v>
      </c>
      <c r="AS201" s="100">
        <v>0</v>
      </c>
      <c r="AT201" s="100">
        <v>0</v>
      </c>
      <c r="AU201" s="100">
        <v>0</v>
      </c>
      <c r="AV201" s="100">
        <v>0</v>
      </c>
      <c r="AW201" s="100">
        <v>0</v>
      </c>
      <c r="AX201" s="100">
        <v>0</v>
      </c>
      <c r="AY201" s="100">
        <v>0</v>
      </c>
      <c r="AZ201" s="100">
        <v>0</v>
      </c>
      <c r="BA201" s="100">
        <v>0</v>
      </c>
      <c r="BB201" s="100">
        <v>0</v>
      </c>
      <c r="BC201" s="100">
        <v>0</v>
      </c>
      <c r="BD201" s="100">
        <v>0</v>
      </c>
      <c r="BE201" s="100">
        <v>0</v>
      </c>
      <c r="BF201" s="100">
        <v>0</v>
      </c>
      <c r="BG201" s="100">
        <v>0</v>
      </c>
      <c r="BH201" s="100">
        <v>0</v>
      </c>
      <c r="BI201" s="100">
        <v>0</v>
      </c>
      <c r="BJ201" s="100">
        <v>0</v>
      </c>
      <c r="BK201" s="100">
        <v>0</v>
      </c>
      <c r="BL201" s="100">
        <v>0</v>
      </c>
      <c r="BM201" s="100">
        <v>0</v>
      </c>
      <c r="BN201" s="100">
        <v>0</v>
      </c>
      <c r="BO201" s="100">
        <v>0</v>
      </c>
      <c r="BP201" s="100">
        <v>0</v>
      </c>
      <c r="BQ201" s="100">
        <v>0</v>
      </c>
      <c r="BR201" s="100">
        <v>0</v>
      </c>
      <c r="BS201" s="100">
        <v>0</v>
      </c>
      <c r="BT201" s="100">
        <v>0</v>
      </c>
      <c r="BU201" s="100">
        <v>0</v>
      </c>
      <c r="BV201" s="100">
        <v>1</v>
      </c>
      <c r="BW201" s="100">
        <v>0</v>
      </c>
      <c r="BX201" s="100">
        <v>1</v>
      </c>
      <c r="BY201" s="100">
        <v>0</v>
      </c>
      <c r="BZ201" s="100">
        <v>1</v>
      </c>
      <c r="CA201" s="100">
        <v>0</v>
      </c>
      <c r="CB201" s="100" t="s">
        <v>2090</v>
      </c>
      <c r="CC201" s="100">
        <v>0</v>
      </c>
      <c r="CD201" s="100">
        <v>0</v>
      </c>
      <c r="CE201" s="100">
        <v>1</v>
      </c>
      <c r="CF201" s="100">
        <v>0</v>
      </c>
      <c r="CG201" s="103">
        <v>19669.37844</v>
      </c>
      <c r="CH201" s="103">
        <v>1.38</v>
      </c>
      <c r="CI201" s="103">
        <v>414597.77279000002</v>
      </c>
      <c r="CJ201" s="103">
        <v>7.33</v>
      </c>
      <c r="CK201" s="103">
        <f t="shared" si="12"/>
        <v>10.115399999999999</v>
      </c>
      <c r="CL201" s="103">
        <v>192278.39999999999</v>
      </c>
      <c r="CM201" s="103">
        <v>979083.8</v>
      </c>
      <c r="CN201" s="104">
        <v>0.19638604989685254</v>
      </c>
      <c r="CO201" s="103">
        <v>24723.92944</v>
      </c>
      <c r="CP201" s="103">
        <v>1.55</v>
      </c>
      <c r="CQ201" s="103">
        <v>381853.91168999998</v>
      </c>
      <c r="CR201" s="103">
        <v>6.82</v>
      </c>
      <c r="CS201" s="103">
        <f t="shared" si="13"/>
        <v>10.571000000000002</v>
      </c>
      <c r="CT201" s="103">
        <v>282964.7</v>
      </c>
      <c r="CU201" s="103">
        <v>919542.6</v>
      </c>
      <c r="CV201" s="104">
        <v>0.30772331809314762</v>
      </c>
      <c r="CW201" s="103">
        <v>872257.05438999995</v>
      </c>
      <c r="CX201" s="103">
        <v>65.010000000000005</v>
      </c>
      <c r="CY201" s="103">
        <v>3221147.94869</v>
      </c>
      <c r="CZ201" s="103">
        <v>64.239223873265388</v>
      </c>
      <c r="DA201" s="103">
        <f t="shared" si="14"/>
        <v>4176.1919440009833</v>
      </c>
      <c r="DB201" s="103">
        <v>898898.2</v>
      </c>
      <c r="DC201" s="103">
        <v>455277.7</v>
      </c>
      <c r="DD201" s="104">
        <v>1.9743954074623025</v>
      </c>
      <c r="DE201" s="103">
        <v>164113.04869</v>
      </c>
      <c r="DF201" s="103">
        <v>9.66</v>
      </c>
      <c r="DG201" s="103">
        <v>1725680.6997799999</v>
      </c>
      <c r="DH201" s="103">
        <v>21.58</v>
      </c>
      <c r="DI201" s="103">
        <f t="shared" si="15"/>
        <v>208.46279999999999</v>
      </c>
      <c r="DJ201" s="103">
        <v>386902</v>
      </c>
      <c r="DK201" s="103">
        <v>570454.80000000005</v>
      </c>
      <c r="DL201" s="104">
        <v>0.6782342790349033</v>
      </c>
    </row>
    <row r="202" spans="1:116" s="15" customFormat="1" ht="163.69999999999999" customHeight="1" x14ac:dyDescent="0.25">
      <c r="A202" s="100" t="s">
        <v>287</v>
      </c>
      <c r="B202" s="100" t="s">
        <v>2520</v>
      </c>
      <c r="C202" s="100" t="s">
        <v>279</v>
      </c>
      <c r="D202" s="101" t="str">
        <f>"Chemistry 24"</f>
        <v>Chemistry 24</v>
      </c>
      <c r="E202" s="102" t="s">
        <v>2521</v>
      </c>
      <c r="F202" s="100">
        <v>8</v>
      </c>
      <c r="G202" s="100">
        <v>4</v>
      </c>
      <c r="H202" s="100">
        <v>0.5</v>
      </c>
      <c r="I202" s="100">
        <v>11</v>
      </c>
      <c r="J202" s="100">
        <v>3</v>
      </c>
      <c r="K202" s="100">
        <v>3</v>
      </c>
      <c r="L202" s="100">
        <v>2</v>
      </c>
      <c r="M202" s="100">
        <v>1</v>
      </c>
      <c r="N202" s="100">
        <v>2</v>
      </c>
      <c r="O202" s="100">
        <v>1</v>
      </c>
      <c r="P202" s="100">
        <v>1.86</v>
      </c>
      <c r="Q202" s="100">
        <v>15.27</v>
      </c>
      <c r="R202" s="100">
        <v>1</v>
      </c>
      <c r="S202" s="100">
        <v>0</v>
      </c>
      <c r="T202" s="100">
        <v>0</v>
      </c>
      <c r="U202" s="100">
        <v>1</v>
      </c>
      <c r="V202" s="100">
        <v>0</v>
      </c>
      <c r="W202" s="100">
        <v>1</v>
      </c>
      <c r="X202" s="100">
        <v>0</v>
      </c>
      <c r="Y202" s="100">
        <v>0</v>
      </c>
      <c r="Z202" s="100">
        <v>1</v>
      </c>
      <c r="AA202" s="100">
        <v>0</v>
      </c>
      <c r="AB202" s="100">
        <v>0</v>
      </c>
      <c r="AC202" s="100">
        <v>1</v>
      </c>
      <c r="AD202" s="100">
        <v>0</v>
      </c>
      <c r="AE202" s="100">
        <v>0</v>
      </c>
      <c r="AF202" s="100">
        <v>0</v>
      </c>
      <c r="AG202" s="100">
        <v>1</v>
      </c>
      <c r="AH202" s="100">
        <v>1</v>
      </c>
      <c r="AI202" s="100">
        <v>0</v>
      </c>
      <c r="AJ202" s="100">
        <v>0</v>
      </c>
      <c r="AK202" s="100">
        <v>0</v>
      </c>
      <c r="AL202" s="100">
        <v>0</v>
      </c>
      <c r="AM202" s="100">
        <v>0</v>
      </c>
      <c r="AN202" s="100">
        <v>1</v>
      </c>
      <c r="AO202" s="100">
        <v>0</v>
      </c>
      <c r="AP202" s="100">
        <v>0</v>
      </c>
      <c r="AQ202" s="100">
        <v>0</v>
      </c>
      <c r="AR202" s="100">
        <v>0</v>
      </c>
      <c r="AS202" s="100">
        <v>0</v>
      </c>
      <c r="AT202" s="100">
        <v>0</v>
      </c>
      <c r="AU202" s="100">
        <v>1</v>
      </c>
      <c r="AV202" s="100">
        <v>0</v>
      </c>
      <c r="AW202" s="100">
        <v>0</v>
      </c>
      <c r="AX202" s="100">
        <v>0</v>
      </c>
      <c r="AY202" s="100">
        <v>0</v>
      </c>
      <c r="AZ202" s="100">
        <v>0</v>
      </c>
      <c r="BA202" s="100">
        <v>0</v>
      </c>
      <c r="BB202" s="100">
        <v>0</v>
      </c>
      <c r="BC202" s="100">
        <v>0</v>
      </c>
      <c r="BD202" s="100">
        <v>0</v>
      </c>
      <c r="BE202" s="100">
        <v>0</v>
      </c>
      <c r="BF202" s="100">
        <v>0</v>
      </c>
      <c r="BG202" s="100">
        <v>0</v>
      </c>
      <c r="BH202" s="100">
        <v>0</v>
      </c>
      <c r="BI202" s="100">
        <v>0</v>
      </c>
      <c r="BJ202" s="100">
        <v>1</v>
      </c>
      <c r="BK202" s="100">
        <v>0</v>
      </c>
      <c r="BL202" s="100">
        <v>0</v>
      </c>
      <c r="BM202" s="100">
        <v>0</v>
      </c>
      <c r="BN202" s="100">
        <v>0</v>
      </c>
      <c r="BO202" s="100">
        <v>0</v>
      </c>
      <c r="BP202" s="100">
        <v>0</v>
      </c>
      <c r="BQ202" s="100">
        <v>0</v>
      </c>
      <c r="BR202" s="100">
        <v>0</v>
      </c>
      <c r="BS202" s="100">
        <v>0</v>
      </c>
      <c r="BT202" s="100">
        <v>0</v>
      </c>
      <c r="BU202" s="100">
        <v>0</v>
      </c>
      <c r="BV202" s="100">
        <v>1</v>
      </c>
      <c r="BW202" s="100">
        <v>0</v>
      </c>
      <c r="BX202" s="100">
        <v>1</v>
      </c>
      <c r="BY202" s="100">
        <v>0</v>
      </c>
      <c r="BZ202" s="100">
        <v>0</v>
      </c>
      <c r="CA202" s="100">
        <v>0</v>
      </c>
      <c r="CB202" s="100" t="s">
        <v>2090</v>
      </c>
      <c r="CC202" s="100">
        <v>0</v>
      </c>
      <c r="CD202" s="100">
        <v>0</v>
      </c>
      <c r="CE202" s="100">
        <v>0</v>
      </c>
      <c r="CF202" s="100">
        <v>1</v>
      </c>
      <c r="CG202" s="103">
        <v>154491.69459</v>
      </c>
      <c r="CH202" s="103">
        <v>10.96</v>
      </c>
      <c r="CI202" s="103">
        <v>2515393.2653399999</v>
      </c>
      <c r="CJ202" s="103">
        <v>27.48</v>
      </c>
      <c r="CK202" s="103">
        <f t="shared" si="12"/>
        <v>301.18080000000003</v>
      </c>
      <c r="CL202" s="103">
        <v>33774.300000000003</v>
      </c>
      <c r="CM202" s="103">
        <v>221498.8</v>
      </c>
      <c r="CN202" s="104">
        <v>0.15248073578728194</v>
      </c>
      <c r="CO202" s="103">
        <v>0</v>
      </c>
      <c r="CP202" s="103">
        <v>0</v>
      </c>
      <c r="CQ202" s="103">
        <v>206894.62646</v>
      </c>
      <c r="CR202" s="103">
        <v>3.72</v>
      </c>
      <c r="CS202" s="103">
        <f t="shared" si="13"/>
        <v>0</v>
      </c>
      <c r="CT202" s="103">
        <v>36005.4</v>
      </c>
      <c r="CU202" s="103">
        <v>982931.9</v>
      </c>
      <c r="CV202" s="104">
        <v>3.6630614999879442E-2</v>
      </c>
      <c r="CW202" s="103">
        <v>715597.67714000004</v>
      </c>
      <c r="CX202" s="103">
        <v>46.85</v>
      </c>
      <c r="CY202" s="103">
        <v>4125533.2445299998</v>
      </c>
      <c r="CZ202" s="103">
        <v>38.908335156420911</v>
      </c>
      <c r="DA202" s="103">
        <f t="shared" si="14"/>
        <v>1822.8555020783197</v>
      </c>
      <c r="DB202" s="103">
        <v>33943.300000000003</v>
      </c>
      <c r="DC202" s="103">
        <v>284200.8</v>
      </c>
      <c r="DD202" s="104">
        <v>0.11943421693394249</v>
      </c>
      <c r="DE202" s="103">
        <v>32549.681530000002</v>
      </c>
      <c r="DF202" s="103">
        <v>2.12</v>
      </c>
      <c r="DG202" s="103">
        <v>803222.24792999995</v>
      </c>
      <c r="DH202" s="103">
        <v>13.95</v>
      </c>
      <c r="DI202" s="103">
        <f t="shared" si="15"/>
        <v>29.574000000000002</v>
      </c>
      <c r="DJ202" s="103">
        <v>12087.7</v>
      </c>
      <c r="DK202" s="103">
        <v>240733.9</v>
      </c>
      <c r="DL202" s="104">
        <v>5.0211872943528107E-2</v>
      </c>
    </row>
    <row r="203" spans="1:116" s="15" customFormat="1" ht="243.95" customHeight="1" x14ac:dyDescent="0.25">
      <c r="A203" s="100" t="s">
        <v>288</v>
      </c>
      <c r="B203" s="100" t="s">
        <v>2522</v>
      </c>
      <c r="C203" s="100" t="s">
        <v>279</v>
      </c>
      <c r="D203" s="101" t="str">
        <f>"Chemistry 145"</f>
        <v>Chemistry 145</v>
      </c>
      <c r="E203" s="102" t="s">
        <v>1993</v>
      </c>
      <c r="F203" s="100">
        <v>14</v>
      </c>
      <c r="G203" s="100">
        <v>8</v>
      </c>
      <c r="H203" s="100">
        <v>0.56999999999999995</v>
      </c>
      <c r="I203" s="100">
        <v>16</v>
      </c>
      <c r="J203" s="100">
        <v>2</v>
      </c>
      <c r="K203" s="100">
        <v>2</v>
      </c>
      <c r="L203" s="100">
        <v>2</v>
      </c>
      <c r="M203" s="100">
        <v>1</v>
      </c>
      <c r="N203" s="100">
        <v>2</v>
      </c>
      <c r="O203" s="100">
        <v>1</v>
      </c>
      <c r="P203" s="100">
        <v>2.92</v>
      </c>
      <c r="Q203" s="100">
        <v>15.27</v>
      </c>
      <c r="R203" s="100">
        <v>0</v>
      </c>
      <c r="S203" s="100">
        <v>0</v>
      </c>
      <c r="T203" s="100">
        <v>1</v>
      </c>
      <c r="U203" s="100">
        <v>0</v>
      </c>
      <c r="V203" s="100">
        <v>0</v>
      </c>
      <c r="W203" s="100">
        <v>1</v>
      </c>
      <c r="X203" s="100">
        <v>0</v>
      </c>
      <c r="Y203" s="100">
        <v>0</v>
      </c>
      <c r="Z203" s="100">
        <v>1</v>
      </c>
      <c r="AA203" s="100">
        <v>0</v>
      </c>
      <c r="AB203" s="100">
        <v>0</v>
      </c>
      <c r="AC203" s="100">
        <v>1</v>
      </c>
      <c r="AD203" s="100">
        <v>0</v>
      </c>
      <c r="AE203" s="100">
        <v>0</v>
      </c>
      <c r="AF203" s="100">
        <v>0</v>
      </c>
      <c r="AG203" s="100">
        <v>1</v>
      </c>
      <c r="AH203" s="100">
        <v>1</v>
      </c>
      <c r="AI203" s="100">
        <v>0</v>
      </c>
      <c r="AJ203" s="100">
        <v>0</v>
      </c>
      <c r="AK203" s="100">
        <v>0</v>
      </c>
      <c r="AL203" s="100">
        <v>0</v>
      </c>
      <c r="AM203" s="100">
        <v>0</v>
      </c>
      <c r="AN203" s="100">
        <v>0</v>
      </c>
      <c r="AO203" s="100">
        <v>0</v>
      </c>
      <c r="AP203" s="100">
        <v>0</v>
      </c>
      <c r="AQ203" s="100">
        <v>0</v>
      </c>
      <c r="AR203" s="100">
        <v>0</v>
      </c>
      <c r="AS203" s="100">
        <v>0</v>
      </c>
      <c r="AT203" s="100">
        <v>0</v>
      </c>
      <c r="AU203" s="100">
        <v>0</v>
      </c>
      <c r="AV203" s="100">
        <v>0</v>
      </c>
      <c r="AW203" s="100">
        <v>0</v>
      </c>
      <c r="AX203" s="100">
        <v>0</v>
      </c>
      <c r="AY203" s="100">
        <v>0</v>
      </c>
      <c r="AZ203" s="100">
        <v>0</v>
      </c>
      <c r="BA203" s="100">
        <v>0</v>
      </c>
      <c r="BB203" s="100">
        <v>0</v>
      </c>
      <c r="BC203" s="100">
        <v>0</v>
      </c>
      <c r="BD203" s="100">
        <v>0</v>
      </c>
      <c r="BE203" s="100">
        <v>0</v>
      </c>
      <c r="BF203" s="100">
        <v>0</v>
      </c>
      <c r="BG203" s="100">
        <v>0</v>
      </c>
      <c r="BH203" s="100">
        <v>1</v>
      </c>
      <c r="BI203" s="100">
        <v>0</v>
      </c>
      <c r="BJ203" s="100">
        <v>1</v>
      </c>
      <c r="BK203" s="100">
        <v>0</v>
      </c>
      <c r="BL203" s="100">
        <v>0</v>
      </c>
      <c r="BM203" s="100">
        <v>0</v>
      </c>
      <c r="BN203" s="100">
        <v>0</v>
      </c>
      <c r="BO203" s="100">
        <v>0</v>
      </c>
      <c r="BP203" s="100">
        <v>0</v>
      </c>
      <c r="BQ203" s="100">
        <v>0</v>
      </c>
      <c r="BR203" s="100">
        <v>0</v>
      </c>
      <c r="BS203" s="100">
        <v>0</v>
      </c>
      <c r="BT203" s="100">
        <v>0</v>
      </c>
      <c r="BU203" s="100">
        <v>0</v>
      </c>
      <c r="BV203" s="100">
        <v>0</v>
      </c>
      <c r="BW203" s="100">
        <v>0</v>
      </c>
      <c r="BX203" s="100">
        <v>1</v>
      </c>
      <c r="BY203" s="100">
        <v>0</v>
      </c>
      <c r="BZ203" s="100">
        <v>1</v>
      </c>
      <c r="CA203" s="100">
        <v>0</v>
      </c>
      <c r="CB203" s="100" t="s">
        <v>2090</v>
      </c>
      <c r="CC203" s="100">
        <v>1</v>
      </c>
      <c r="CD203" s="100">
        <v>0</v>
      </c>
      <c r="CE203" s="100">
        <v>0</v>
      </c>
      <c r="CF203" s="100">
        <v>0</v>
      </c>
      <c r="CG203" s="103">
        <v>526060.03367999999</v>
      </c>
      <c r="CH203" s="103">
        <v>31.4</v>
      </c>
      <c r="CI203" s="103">
        <v>4399355.3301200001</v>
      </c>
      <c r="CJ203" s="103">
        <v>25.14</v>
      </c>
      <c r="CK203" s="103">
        <f t="shared" si="12"/>
        <v>789.39599999999996</v>
      </c>
      <c r="CL203" s="103">
        <v>303162.90000000002</v>
      </c>
      <c r="CM203" s="103">
        <v>172186.9</v>
      </c>
      <c r="CN203" s="104">
        <v>1.7606618157362728</v>
      </c>
      <c r="CO203" s="103">
        <v>0</v>
      </c>
      <c r="CP203" s="103">
        <v>0</v>
      </c>
      <c r="CQ203" s="103">
        <v>27202.283619999998</v>
      </c>
      <c r="CR203" s="103">
        <v>0</v>
      </c>
      <c r="CS203" s="103">
        <f t="shared" si="13"/>
        <v>0</v>
      </c>
      <c r="CT203" s="103">
        <v>25151.599999999999</v>
      </c>
      <c r="CU203" s="103">
        <v>451002.6</v>
      </c>
      <c r="CV203" s="104">
        <v>5.5768192910639537E-2</v>
      </c>
      <c r="CW203" s="103">
        <v>771479.26199999999</v>
      </c>
      <c r="CX203" s="103">
        <v>52.34</v>
      </c>
      <c r="CY203" s="103">
        <v>4947875.45732</v>
      </c>
      <c r="CZ203" s="103">
        <v>37.817796610169495</v>
      </c>
      <c r="DA203" s="103">
        <f t="shared" si="14"/>
        <v>1979.3834745762715</v>
      </c>
      <c r="DB203" s="103">
        <v>506322.2</v>
      </c>
      <c r="DC203" s="103">
        <v>249415.6</v>
      </c>
      <c r="DD203" s="104">
        <v>2.0300342079645377</v>
      </c>
      <c r="DE203" s="103">
        <v>12831.62797</v>
      </c>
      <c r="DF203" s="103">
        <v>0.74</v>
      </c>
      <c r="DG203" s="103">
        <v>77468.496159999995</v>
      </c>
      <c r="DH203" s="103">
        <v>1.27</v>
      </c>
      <c r="DI203" s="103">
        <f t="shared" si="15"/>
        <v>0.93979999999999997</v>
      </c>
      <c r="DJ203" s="103">
        <v>3090.8</v>
      </c>
      <c r="DK203" s="103">
        <v>290712.40000000002</v>
      </c>
      <c r="DL203" s="104">
        <v>1.0631813434858644E-2</v>
      </c>
    </row>
    <row r="204" spans="1:116" s="15" customFormat="1" ht="153.94999999999999" customHeight="1" x14ac:dyDescent="0.25">
      <c r="A204" s="100" t="s">
        <v>289</v>
      </c>
      <c r="B204" s="100" t="s">
        <v>2523</v>
      </c>
      <c r="C204" s="100" t="s">
        <v>279</v>
      </c>
      <c r="D204" s="101" t="str">
        <f>"Chemistry 154"</f>
        <v>Chemistry 154</v>
      </c>
      <c r="E204" s="102" t="s">
        <v>2008</v>
      </c>
      <c r="F204" s="100">
        <v>8</v>
      </c>
      <c r="G204" s="100">
        <v>5</v>
      </c>
      <c r="H204" s="100">
        <v>0.63</v>
      </c>
      <c r="I204" s="100">
        <v>11</v>
      </c>
      <c r="J204" s="100">
        <v>3</v>
      </c>
      <c r="K204" s="100">
        <v>3</v>
      </c>
      <c r="L204" s="100">
        <v>3</v>
      </c>
      <c r="M204" s="100">
        <v>1</v>
      </c>
      <c r="N204" s="100">
        <v>2</v>
      </c>
      <c r="O204" s="100">
        <v>1</v>
      </c>
      <c r="P204" s="100">
        <v>0.02</v>
      </c>
      <c r="Q204" s="100">
        <v>29.85</v>
      </c>
      <c r="R204" s="100">
        <v>1</v>
      </c>
      <c r="S204" s="100">
        <v>0</v>
      </c>
      <c r="T204" s="100">
        <v>0</v>
      </c>
      <c r="U204" s="100">
        <v>1</v>
      </c>
      <c r="V204" s="100">
        <v>0</v>
      </c>
      <c r="W204" s="100">
        <v>1</v>
      </c>
      <c r="X204" s="100">
        <v>0</v>
      </c>
      <c r="Y204" s="100">
        <v>0</v>
      </c>
      <c r="Z204" s="100">
        <v>1</v>
      </c>
      <c r="AA204" s="100">
        <v>0</v>
      </c>
      <c r="AB204" s="100">
        <v>0</v>
      </c>
      <c r="AC204" s="100">
        <v>1</v>
      </c>
      <c r="AD204" s="100">
        <v>0</v>
      </c>
      <c r="AE204" s="100">
        <v>1</v>
      </c>
      <c r="AF204" s="100">
        <v>0</v>
      </c>
      <c r="AG204" s="100">
        <v>0</v>
      </c>
      <c r="AH204" s="100">
        <v>0</v>
      </c>
      <c r="AI204" s="100">
        <v>1</v>
      </c>
      <c r="AJ204" s="100">
        <v>0</v>
      </c>
      <c r="AK204" s="100">
        <v>0</v>
      </c>
      <c r="AL204" s="100">
        <v>0</v>
      </c>
      <c r="AM204" s="100">
        <v>0</v>
      </c>
      <c r="AN204" s="100">
        <v>1</v>
      </c>
      <c r="AO204" s="100">
        <v>0</v>
      </c>
      <c r="AP204" s="100">
        <v>0</v>
      </c>
      <c r="AQ204" s="100">
        <v>0</v>
      </c>
      <c r="AR204" s="100">
        <v>0</v>
      </c>
      <c r="AS204" s="100">
        <v>0</v>
      </c>
      <c r="AT204" s="100">
        <v>0</v>
      </c>
      <c r="AU204" s="100">
        <v>0</v>
      </c>
      <c r="AV204" s="100">
        <v>0</v>
      </c>
      <c r="AW204" s="100">
        <v>0</v>
      </c>
      <c r="AX204" s="100">
        <v>0</v>
      </c>
      <c r="AY204" s="100">
        <v>0</v>
      </c>
      <c r="AZ204" s="100">
        <v>0</v>
      </c>
      <c r="BA204" s="100">
        <v>0</v>
      </c>
      <c r="BB204" s="100">
        <v>0</v>
      </c>
      <c r="BC204" s="100">
        <v>0</v>
      </c>
      <c r="BD204" s="100">
        <v>0</v>
      </c>
      <c r="BE204" s="100">
        <v>0</v>
      </c>
      <c r="BF204" s="100">
        <v>0</v>
      </c>
      <c r="BG204" s="100">
        <v>0</v>
      </c>
      <c r="BH204" s="100">
        <v>0</v>
      </c>
      <c r="BI204" s="100">
        <v>0</v>
      </c>
      <c r="BJ204" s="100">
        <v>0</v>
      </c>
      <c r="BK204" s="100">
        <v>0</v>
      </c>
      <c r="BL204" s="100">
        <v>0</v>
      </c>
      <c r="BM204" s="100">
        <v>0</v>
      </c>
      <c r="BN204" s="100">
        <v>0</v>
      </c>
      <c r="BO204" s="100">
        <v>0</v>
      </c>
      <c r="BP204" s="100">
        <v>0</v>
      </c>
      <c r="BQ204" s="100">
        <v>0</v>
      </c>
      <c r="BR204" s="100">
        <v>0</v>
      </c>
      <c r="BS204" s="100">
        <v>0</v>
      </c>
      <c r="BT204" s="100">
        <v>0</v>
      </c>
      <c r="BU204" s="100">
        <v>0</v>
      </c>
      <c r="BV204" s="100">
        <v>1</v>
      </c>
      <c r="BW204" s="100">
        <v>0</v>
      </c>
      <c r="BX204" s="100">
        <v>1</v>
      </c>
      <c r="BY204" s="100">
        <v>0</v>
      </c>
      <c r="BZ204" s="100">
        <v>1</v>
      </c>
      <c r="CA204" s="100">
        <v>0</v>
      </c>
      <c r="CB204" s="100" t="s">
        <v>2090</v>
      </c>
      <c r="CC204" s="100">
        <v>0</v>
      </c>
      <c r="CD204" s="100">
        <v>0</v>
      </c>
      <c r="CE204" s="100">
        <v>1</v>
      </c>
      <c r="CF204" s="100">
        <v>0</v>
      </c>
      <c r="CG204" s="103">
        <v>66792.611040000003</v>
      </c>
      <c r="CH204" s="103">
        <v>4.5600000000000005</v>
      </c>
      <c r="CI204" s="103">
        <v>1657253.8457200001</v>
      </c>
      <c r="CJ204" s="103">
        <v>22.12</v>
      </c>
      <c r="CK204" s="103">
        <f t="shared" si="12"/>
        <v>100.86720000000001</v>
      </c>
      <c r="CL204" s="103">
        <v>612498.1</v>
      </c>
      <c r="CM204" s="103">
        <v>677034.3</v>
      </c>
      <c r="CN204" s="104">
        <v>0.90467809385728304</v>
      </c>
      <c r="CO204" s="103">
        <v>304526.52149000001</v>
      </c>
      <c r="CP204" s="103">
        <v>18.350000000000001</v>
      </c>
      <c r="CQ204" s="103">
        <v>2612118.6100699999</v>
      </c>
      <c r="CR204" s="103">
        <v>40.98</v>
      </c>
      <c r="CS204" s="103">
        <f t="shared" si="13"/>
        <v>751.98299999999995</v>
      </c>
      <c r="CT204" s="103">
        <v>780199.9</v>
      </c>
      <c r="CU204" s="103">
        <v>700629.5</v>
      </c>
      <c r="CV204" s="104">
        <v>1.1135698682399187</v>
      </c>
      <c r="CW204" s="103">
        <v>1007450.63515</v>
      </c>
      <c r="CX204" s="103">
        <v>64.62</v>
      </c>
      <c r="CY204" s="103">
        <v>4820878.7663799999</v>
      </c>
      <c r="CZ204" s="103">
        <v>66.168539325842701</v>
      </c>
      <c r="DA204" s="103">
        <f t="shared" si="14"/>
        <v>4275.8110112359554</v>
      </c>
      <c r="DB204" s="103">
        <v>907212</v>
      </c>
      <c r="DC204" s="103">
        <v>169509.5</v>
      </c>
      <c r="DD204" s="104">
        <v>5.351983222179288</v>
      </c>
      <c r="DE204" s="103">
        <v>39878.563719999998</v>
      </c>
      <c r="DF204" s="103">
        <v>2.34</v>
      </c>
      <c r="DG204" s="103">
        <v>49044.962520000001</v>
      </c>
      <c r="DH204" s="103">
        <v>0</v>
      </c>
      <c r="DI204" s="103">
        <f t="shared" si="15"/>
        <v>0</v>
      </c>
      <c r="DJ204" s="103">
        <v>70482.399999999994</v>
      </c>
      <c r="DK204" s="103">
        <v>548103.5</v>
      </c>
      <c r="DL204" s="104">
        <v>0.12859323102297285</v>
      </c>
    </row>
    <row r="205" spans="1:116" s="15" customFormat="1" ht="174.2" customHeight="1" x14ac:dyDescent="0.25">
      <c r="A205" s="100" t="s">
        <v>290</v>
      </c>
      <c r="B205" s="100" t="s">
        <v>2524</v>
      </c>
      <c r="C205" s="100" t="s">
        <v>279</v>
      </c>
      <c r="D205" s="101" t="str">
        <f>"Chemistry 127"</f>
        <v>Chemistry 127</v>
      </c>
      <c r="E205" s="102" t="s">
        <v>2009</v>
      </c>
      <c r="F205" s="100">
        <v>9</v>
      </c>
      <c r="G205" s="100">
        <v>6</v>
      </c>
      <c r="H205" s="100">
        <v>0.67</v>
      </c>
      <c r="I205" s="100">
        <v>12</v>
      </c>
      <c r="J205" s="100">
        <v>3</v>
      </c>
      <c r="K205" s="100">
        <v>3</v>
      </c>
      <c r="L205" s="100">
        <v>3</v>
      </c>
      <c r="M205" s="100">
        <v>1</v>
      </c>
      <c r="N205" s="100">
        <v>2</v>
      </c>
      <c r="O205" s="100">
        <v>1</v>
      </c>
      <c r="P205" s="100">
        <v>0.42</v>
      </c>
      <c r="Q205" s="100">
        <v>29.85</v>
      </c>
      <c r="R205" s="100">
        <v>1</v>
      </c>
      <c r="S205" s="100">
        <v>0</v>
      </c>
      <c r="T205" s="100">
        <v>0</v>
      </c>
      <c r="U205" s="100">
        <v>1</v>
      </c>
      <c r="V205" s="100">
        <v>0</v>
      </c>
      <c r="W205" s="100">
        <v>1</v>
      </c>
      <c r="X205" s="100">
        <v>0</v>
      </c>
      <c r="Y205" s="100">
        <v>0</v>
      </c>
      <c r="Z205" s="100">
        <v>1</v>
      </c>
      <c r="AA205" s="100">
        <v>0</v>
      </c>
      <c r="AB205" s="100">
        <v>0</v>
      </c>
      <c r="AC205" s="100">
        <v>1</v>
      </c>
      <c r="AD205" s="100">
        <v>0</v>
      </c>
      <c r="AE205" s="100">
        <v>0</v>
      </c>
      <c r="AF205" s="100">
        <v>1</v>
      </c>
      <c r="AG205" s="100">
        <v>0</v>
      </c>
      <c r="AH205" s="100">
        <v>0</v>
      </c>
      <c r="AI205" s="100">
        <v>1</v>
      </c>
      <c r="AJ205" s="100">
        <v>0</v>
      </c>
      <c r="AK205" s="100">
        <v>0</v>
      </c>
      <c r="AL205" s="100">
        <v>0</v>
      </c>
      <c r="AM205" s="100">
        <v>0</v>
      </c>
      <c r="AN205" s="100">
        <v>1</v>
      </c>
      <c r="AO205" s="100">
        <v>0</v>
      </c>
      <c r="AP205" s="100">
        <v>0</v>
      </c>
      <c r="AQ205" s="100">
        <v>0</v>
      </c>
      <c r="AR205" s="100">
        <v>0</v>
      </c>
      <c r="AS205" s="100">
        <v>0</v>
      </c>
      <c r="AT205" s="100">
        <v>0</v>
      </c>
      <c r="AU205" s="100">
        <v>0</v>
      </c>
      <c r="AV205" s="100">
        <v>0</v>
      </c>
      <c r="AW205" s="100">
        <v>0</v>
      </c>
      <c r="AX205" s="100">
        <v>0</v>
      </c>
      <c r="AY205" s="100">
        <v>0</v>
      </c>
      <c r="AZ205" s="100">
        <v>0</v>
      </c>
      <c r="BA205" s="100">
        <v>0</v>
      </c>
      <c r="BB205" s="100">
        <v>0</v>
      </c>
      <c r="BC205" s="100">
        <v>0</v>
      </c>
      <c r="BD205" s="100">
        <v>0</v>
      </c>
      <c r="BE205" s="100">
        <v>0</v>
      </c>
      <c r="BF205" s="100">
        <v>0</v>
      </c>
      <c r="BG205" s="100">
        <v>0</v>
      </c>
      <c r="BH205" s="100">
        <v>0</v>
      </c>
      <c r="BI205" s="100">
        <v>0</v>
      </c>
      <c r="BJ205" s="100">
        <v>0</v>
      </c>
      <c r="BK205" s="100">
        <v>0</v>
      </c>
      <c r="BL205" s="100">
        <v>0</v>
      </c>
      <c r="BM205" s="100">
        <v>0</v>
      </c>
      <c r="BN205" s="100">
        <v>0</v>
      </c>
      <c r="BO205" s="100">
        <v>0</v>
      </c>
      <c r="BP205" s="100">
        <v>0</v>
      </c>
      <c r="BQ205" s="100">
        <v>0</v>
      </c>
      <c r="BR205" s="100">
        <v>0</v>
      </c>
      <c r="BS205" s="100">
        <v>0</v>
      </c>
      <c r="BT205" s="100">
        <v>0</v>
      </c>
      <c r="BU205" s="100">
        <v>0</v>
      </c>
      <c r="BV205" s="100">
        <v>1</v>
      </c>
      <c r="BW205" s="100">
        <v>0</v>
      </c>
      <c r="BX205" s="100">
        <v>1</v>
      </c>
      <c r="BY205" s="100">
        <v>0</v>
      </c>
      <c r="BZ205" s="100">
        <v>1</v>
      </c>
      <c r="CA205" s="100">
        <v>0</v>
      </c>
      <c r="CB205" s="100" t="s">
        <v>2090</v>
      </c>
      <c r="CC205" s="100">
        <v>0</v>
      </c>
      <c r="CD205" s="100">
        <v>0</v>
      </c>
      <c r="CE205" s="100">
        <v>1</v>
      </c>
      <c r="CF205" s="100">
        <v>0</v>
      </c>
      <c r="CG205" s="103">
        <v>51617.434009999997</v>
      </c>
      <c r="CH205" s="103">
        <v>3.57</v>
      </c>
      <c r="CI205" s="103">
        <v>1614398.4199300001</v>
      </c>
      <c r="CJ205" s="103">
        <v>24.03</v>
      </c>
      <c r="CK205" s="103">
        <f t="shared" si="12"/>
        <v>85.787099999999995</v>
      </c>
      <c r="CL205" s="103">
        <v>265033.40000000002</v>
      </c>
      <c r="CM205" s="103">
        <v>364939.1</v>
      </c>
      <c r="CN205" s="104">
        <v>0.7262400767689734</v>
      </c>
      <c r="CO205" s="103">
        <v>357926.75546999997</v>
      </c>
      <c r="CP205" s="103">
        <v>18.190000000000001</v>
      </c>
      <c r="CQ205" s="103">
        <v>1694949.79953</v>
      </c>
      <c r="CR205" s="103">
        <v>12.35</v>
      </c>
      <c r="CS205" s="103">
        <f t="shared" si="13"/>
        <v>224.6465</v>
      </c>
      <c r="CT205" s="103">
        <v>295118.8</v>
      </c>
      <c r="CU205" s="103">
        <v>237338.6</v>
      </c>
      <c r="CV205" s="104">
        <v>1.2434504964637021</v>
      </c>
      <c r="CW205" s="103">
        <v>1355542.7224999999</v>
      </c>
      <c r="CX205" s="103">
        <v>77.34</v>
      </c>
      <c r="CY205" s="103">
        <v>5539425.86216</v>
      </c>
      <c r="CZ205" s="103">
        <v>75.050212006248614</v>
      </c>
      <c r="DA205" s="103">
        <f t="shared" si="14"/>
        <v>5804.3833965632684</v>
      </c>
      <c r="DB205" s="103">
        <v>386298.1</v>
      </c>
      <c r="DC205" s="103">
        <v>75683.5</v>
      </c>
      <c r="DD205" s="104">
        <v>5.104125734142845</v>
      </c>
      <c r="DE205" s="103">
        <v>38812.680079999998</v>
      </c>
      <c r="DF205" s="103">
        <v>1.99</v>
      </c>
      <c r="DG205" s="103">
        <v>102137.16494</v>
      </c>
      <c r="DH205" s="103">
        <v>0</v>
      </c>
      <c r="DI205" s="103">
        <f t="shared" si="15"/>
        <v>0</v>
      </c>
      <c r="DJ205" s="103">
        <v>52795.3</v>
      </c>
      <c r="DK205" s="103">
        <v>365425.2</v>
      </c>
      <c r="DL205" s="104">
        <v>0.14447635247924884</v>
      </c>
    </row>
    <row r="206" spans="1:116" s="15" customFormat="1" ht="188.45" customHeight="1" x14ac:dyDescent="0.25">
      <c r="A206" s="100" t="s">
        <v>291</v>
      </c>
      <c r="B206" s="100" t="s">
        <v>2525</v>
      </c>
      <c r="C206" s="100" t="s">
        <v>279</v>
      </c>
      <c r="D206" s="101" t="str">
        <f>"Chemistry 121"</f>
        <v>Chemistry 121</v>
      </c>
      <c r="E206" s="102" t="s">
        <v>2526</v>
      </c>
      <c r="F206" s="100">
        <v>12</v>
      </c>
      <c r="G206" s="100">
        <v>5</v>
      </c>
      <c r="H206" s="100">
        <v>0.42</v>
      </c>
      <c r="I206" s="100">
        <v>15</v>
      </c>
      <c r="J206" s="100">
        <v>3</v>
      </c>
      <c r="K206" s="100">
        <v>3</v>
      </c>
      <c r="L206" s="100">
        <v>1</v>
      </c>
      <c r="M206" s="100">
        <v>1</v>
      </c>
      <c r="N206" s="100">
        <v>3</v>
      </c>
      <c r="O206" s="100">
        <v>1</v>
      </c>
      <c r="P206" s="100">
        <v>1.78</v>
      </c>
      <c r="Q206" s="100">
        <v>38.33</v>
      </c>
      <c r="R206" s="100">
        <v>3</v>
      </c>
      <c r="S206" s="100">
        <v>0</v>
      </c>
      <c r="T206" s="100">
        <v>1</v>
      </c>
      <c r="U206" s="100">
        <v>0</v>
      </c>
      <c r="V206" s="100">
        <v>0</v>
      </c>
      <c r="W206" s="100">
        <v>0</v>
      </c>
      <c r="X206" s="100">
        <v>1</v>
      </c>
      <c r="Y206" s="100">
        <v>0</v>
      </c>
      <c r="Z206" s="100">
        <v>1</v>
      </c>
      <c r="AA206" s="100">
        <v>0</v>
      </c>
      <c r="AB206" s="100">
        <v>0</v>
      </c>
      <c r="AC206" s="100">
        <v>1</v>
      </c>
      <c r="AD206" s="100">
        <v>0</v>
      </c>
      <c r="AE206" s="100">
        <v>0</v>
      </c>
      <c r="AF206" s="100">
        <v>0</v>
      </c>
      <c r="AG206" s="100">
        <v>1</v>
      </c>
      <c r="AH206" s="100">
        <v>0</v>
      </c>
      <c r="AI206" s="100">
        <v>1</v>
      </c>
      <c r="AJ206" s="100">
        <v>0</v>
      </c>
      <c r="AK206" s="100">
        <v>0</v>
      </c>
      <c r="AL206" s="100">
        <v>0</v>
      </c>
      <c r="AM206" s="100">
        <v>0</v>
      </c>
      <c r="AN206" s="100">
        <v>0</v>
      </c>
      <c r="AO206" s="100">
        <v>0</v>
      </c>
      <c r="AP206" s="100">
        <v>0</v>
      </c>
      <c r="AQ206" s="100">
        <v>0</v>
      </c>
      <c r="AR206" s="100">
        <v>0</v>
      </c>
      <c r="AS206" s="100">
        <v>0</v>
      </c>
      <c r="AT206" s="100">
        <v>0</v>
      </c>
      <c r="AU206" s="100">
        <v>0</v>
      </c>
      <c r="AV206" s="100">
        <v>0</v>
      </c>
      <c r="AW206" s="100">
        <v>0</v>
      </c>
      <c r="AX206" s="100">
        <v>1</v>
      </c>
      <c r="AY206" s="100">
        <v>0</v>
      </c>
      <c r="AZ206" s="100">
        <v>0</v>
      </c>
      <c r="BA206" s="100">
        <v>0</v>
      </c>
      <c r="BB206" s="100">
        <v>0</v>
      </c>
      <c r="BC206" s="100">
        <v>0</v>
      </c>
      <c r="BD206" s="100">
        <v>0</v>
      </c>
      <c r="BE206" s="100">
        <v>0</v>
      </c>
      <c r="BF206" s="100">
        <v>0</v>
      </c>
      <c r="BG206" s="100">
        <v>0</v>
      </c>
      <c r="BH206" s="100">
        <v>0</v>
      </c>
      <c r="BI206" s="100">
        <v>0</v>
      </c>
      <c r="BJ206" s="100">
        <v>1</v>
      </c>
      <c r="BK206" s="100">
        <v>0</v>
      </c>
      <c r="BL206" s="100">
        <v>0</v>
      </c>
      <c r="BM206" s="100">
        <v>0</v>
      </c>
      <c r="BN206" s="100">
        <v>0</v>
      </c>
      <c r="BO206" s="100">
        <v>0</v>
      </c>
      <c r="BP206" s="100">
        <v>0</v>
      </c>
      <c r="BQ206" s="100">
        <v>0</v>
      </c>
      <c r="BR206" s="100">
        <v>0</v>
      </c>
      <c r="BS206" s="100">
        <v>0</v>
      </c>
      <c r="BT206" s="100">
        <v>0</v>
      </c>
      <c r="BU206" s="100">
        <v>0</v>
      </c>
      <c r="BV206" s="100">
        <v>0</v>
      </c>
      <c r="BW206" s="100">
        <v>1</v>
      </c>
      <c r="BX206" s="100">
        <v>0</v>
      </c>
      <c r="BY206" s="100">
        <v>0</v>
      </c>
      <c r="BZ206" s="100">
        <v>1</v>
      </c>
      <c r="CA206" s="100">
        <v>1</v>
      </c>
      <c r="CB206" s="100" t="s">
        <v>2090</v>
      </c>
      <c r="CC206" s="100">
        <v>0</v>
      </c>
      <c r="CD206" s="100">
        <v>0</v>
      </c>
      <c r="CE206" s="100">
        <v>0</v>
      </c>
      <c r="CF206" s="100">
        <v>0</v>
      </c>
      <c r="CG206" s="103">
        <v>60064.150379999999</v>
      </c>
      <c r="CH206" s="103">
        <v>3.7</v>
      </c>
      <c r="CI206" s="103">
        <v>1827240.8204399999</v>
      </c>
      <c r="CJ206" s="103">
        <v>17.690000000000001</v>
      </c>
      <c r="CK206" s="103">
        <f t="shared" si="12"/>
        <v>65.453000000000003</v>
      </c>
      <c r="CL206" s="103">
        <v>281174.3</v>
      </c>
      <c r="CM206" s="103">
        <v>786012</v>
      </c>
      <c r="CN206" s="104">
        <v>0.35772265563375621</v>
      </c>
      <c r="CO206" s="103">
        <v>128332.13562</v>
      </c>
      <c r="CP206" s="103">
        <v>5.4</v>
      </c>
      <c r="CQ206" s="103">
        <v>2604032.6199699999</v>
      </c>
      <c r="CR206" s="103">
        <v>18.22</v>
      </c>
      <c r="CS206" s="103">
        <f t="shared" si="13"/>
        <v>98.388000000000005</v>
      </c>
      <c r="CT206" s="103">
        <v>436591.1</v>
      </c>
      <c r="CU206" s="103">
        <v>687441.1</v>
      </c>
      <c r="CV206" s="104">
        <v>0.63509601040729158</v>
      </c>
      <c r="CW206" s="103">
        <v>171004.85172000001</v>
      </c>
      <c r="CX206" s="103">
        <v>13.6</v>
      </c>
      <c r="CY206" s="103">
        <v>2950326.16616</v>
      </c>
      <c r="CZ206" s="103">
        <v>32.907563025210088</v>
      </c>
      <c r="DA206" s="103">
        <f t="shared" si="14"/>
        <v>447.5428571428572</v>
      </c>
      <c r="DB206" s="103">
        <v>562649.30000000005</v>
      </c>
      <c r="DC206" s="103">
        <v>603688.19999999995</v>
      </c>
      <c r="DD206" s="104">
        <v>0.93201970818710733</v>
      </c>
      <c r="DE206" s="103">
        <v>0</v>
      </c>
      <c r="DF206" s="103">
        <v>0</v>
      </c>
      <c r="DG206" s="103">
        <v>0</v>
      </c>
      <c r="DH206" s="103">
        <v>0</v>
      </c>
      <c r="DI206" s="103">
        <f t="shared" si="15"/>
        <v>0</v>
      </c>
      <c r="DJ206" s="103">
        <v>11593.7</v>
      </c>
      <c r="DK206" s="103">
        <v>862232.8</v>
      </c>
      <c r="DL206" s="104">
        <v>1.3446136588633603E-2</v>
      </c>
    </row>
    <row r="207" spans="1:116" s="15" customFormat="1" ht="153.94999999999999" customHeight="1" x14ac:dyDescent="0.25">
      <c r="A207" s="100" t="s">
        <v>292</v>
      </c>
      <c r="B207" s="100" t="s">
        <v>2527</v>
      </c>
      <c r="C207" s="100" t="s">
        <v>279</v>
      </c>
      <c r="D207" s="101" t="str">
        <f>"Chemistry 48"</f>
        <v>Chemistry 48</v>
      </c>
      <c r="E207" s="102" t="s">
        <v>2528</v>
      </c>
      <c r="F207" s="100">
        <v>8</v>
      </c>
      <c r="G207" s="100">
        <v>8</v>
      </c>
      <c r="H207" s="100">
        <v>1</v>
      </c>
      <c r="I207" s="100">
        <v>10</v>
      </c>
      <c r="J207" s="100">
        <v>2</v>
      </c>
      <c r="K207" s="100">
        <v>2</v>
      </c>
      <c r="L207" s="100">
        <v>1</v>
      </c>
      <c r="M207" s="100">
        <v>0</v>
      </c>
      <c r="N207" s="100">
        <v>2</v>
      </c>
      <c r="O207" s="100">
        <v>2</v>
      </c>
      <c r="P207" s="100">
        <v>0.17</v>
      </c>
      <c r="Q207" s="100">
        <v>32.26</v>
      </c>
      <c r="R207" s="100">
        <v>1</v>
      </c>
      <c r="S207" s="100">
        <v>0</v>
      </c>
      <c r="T207" s="100">
        <v>0</v>
      </c>
      <c r="U207" s="100">
        <v>1</v>
      </c>
      <c r="V207" s="100">
        <v>0</v>
      </c>
      <c r="W207" s="100">
        <v>0</v>
      </c>
      <c r="X207" s="100">
        <v>1</v>
      </c>
      <c r="Y207" s="100">
        <v>1</v>
      </c>
      <c r="Z207" s="100">
        <v>0</v>
      </c>
      <c r="AA207" s="100">
        <v>0</v>
      </c>
      <c r="AB207" s="100">
        <v>0</v>
      </c>
      <c r="AC207" s="100">
        <v>1</v>
      </c>
      <c r="AD207" s="100">
        <v>0</v>
      </c>
      <c r="AE207" s="100">
        <v>1</v>
      </c>
      <c r="AF207" s="100">
        <v>0</v>
      </c>
      <c r="AG207" s="100">
        <v>0</v>
      </c>
      <c r="AH207" s="100">
        <v>0</v>
      </c>
      <c r="AI207" s="100">
        <v>1</v>
      </c>
      <c r="AJ207" s="100">
        <v>0</v>
      </c>
      <c r="AK207" s="100">
        <v>0</v>
      </c>
      <c r="AL207" s="100">
        <v>0</v>
      </c>
      <c r="AM207" s="100">
        <v>0</v>
      </c>
      <c r="AN207" s="100">
        <v>0</v>
      </c>
      <c r="AO207" s="100">
        <v>0</v>
      </c>
      <c r="AP207" s="100">
        <v>1</v>
      </c>
      <c r="AQ207" s="100">
        <v>0</v>
      </c>
      <c r="AR207" s="100">
        <v>0</v>
      </c>
      <c r="AS207" s="100">
        <v>0</v>
      </c>
      <c r="AT207" s="100">
        <v>0</v>
      </c>
      <c r="AU207" s="100">
        <v>0</v>
      </c>
      <c r="AV207" s="100">
        <v>0</v>
      </c>
      <c r="AW207" s="100">
        <v>0</v>
      </c>
      <c r="AX207" s="100">
        <v>0</v>
      </c>
      <c r="AY207" s="100">
        <v>0</v>
      </c>
      <c r="AZ207" s="100">
        <v>0</v>
      </c>
      <c r="BA207" s="100">
        <v>0</v>
      </c>
      <c r="BB207" s="100">
        <v>0</v>
      </c>
      <c r="BC207" s="100">
        <v>0</v>
      </c>
      <c r="BD207" s="100">
        <v>0</v>
      </c>
      <c r="BE207" s="100">
        <v>0</v>
      </c>
      <c r="BF207" s="100">
        <v>0</v>
      </c>
      <c r="BG207" s="100">
        <v>0</v>
      </c>
      <c r="BH207" s="100">
        <v>0</v>
      </c>
      <c r="BI207" s="100">
        <v>0</v>
      </c>
      <c r="BJ207" s="100">
        <v>1</v>
      </c>
      <c r="BK207" s="100">
        <v>0</v>
      </c>
      <c r="BL207" s="100">
        <v>0</v>
      </c>
      <c r="BM207" s="100">
        <v>0</v>
      </c>
      <c r="BN207" s="100">
        <v>0</v>
      </c>
      <c r="BO207" s="100">
        <v>0</v>
      </c>
      <c r="BP207" s="100">
        <v>0</v>
      </c>
      <c r="BQ207" s="100">
        <v>0</v>
      </c>
      <c r="BR207" s="100">
        <v>0</v>
      </c>
      <c r="BS207" s="100">
        <v>0</v>
      </c>
      <c r="BT207" s="100">
        <v>0</v>
      </c>
      <c r="BU207" s="100">
        <v>0</v>
      </c>
      <c r="BV207" s="100">
        <v>0</v>
      </c>
      <c r="BW207" s="100">
        <v>1</v>
      </c>
      <c r="BX207" s="100">
        <v>0</v>
      </c>
      <c r="BY207" s="100">
        <v>0</v>
      </c>
      <c r="BZ207" s="100">
        <v>1</v>
      </c>
      <c r="CA207" s="100">
        <v>0</v>
      </c>
      <c r="CB207" s="100" t="s">
        <v>2090</v>
      </c>
      <c r="CC207" s="100">
        <v>0</v>
      </c>
      <c r="CD207" s="100">
        <v>0</v>
      </c>
      <c r="CE207" s="100">
        <v>0</v>
      </c>
      <c r="CF207" s="100">
        <v>0</v>
      </c>
      <c r="CG207" s="103">
        <v>263651.85333999997</v>
      </c>
      <c r="CH207" s="103">
        <v>17.43</v>
      </c>
      <c r="CI207" s="103">
        <v>3178420.7085899999</v>
      </c>
      <c r="CJ207" s="103">
        <v>45.26</v>
      </c>
      <c r="CK207" s="103">
        <f t="shared" si="12"/>
        <v>788.8818</v>
      </c>
      <c r="CL207" s="103">
        <v>701837.7</v>
      </c>
      <c r="CM207" s="103">
        <v>725367.7</v>
      </c>
      <c r="CN207" s="104">
        <v>0.96756127961032723</v>
      </c>
      <c r="CO207" s="103">
        <v>363670.18768999999</v>
      </c>
      <c r="CP207" s="103">
        <v>21.37</v>
      </c>
      <c r="CQ207" s="103">
        <v>3368878.01113</v>
      </c>
      <c r="CR207" s="103">
        <v>38.049999999999997</v>
      </c>
      <c r="CS207" s="103">
        <f t="shared" si="13"/>
        <v>813.12850000000003</v>
      </c>
      <c r="CT207" s="103">
        <v>3252.7</v>
      </c>
      <c r="CU207" s="103">
        <v>92661.4</v>
      </c>
      <c r="CV207" s="104">
        <v>3.5103074203497897E-2</v>
      </c>
      <c r="CW207" s="103">
        <v>625545.17471000005</v>
      </c>
      <c r="CX207" s="103">
        <v>52.01</v>
      </c>
      <c r="CY207" s="103">
        <v>4222031.4413099997</v>
      </c>
      <c r="CZ207" s="103">
        <v>62.408713949746264</v>
      </c>
      <c r="DA207" s="103">
        <f t="shared" si="14"/>
        <v>3245.8772125263031</v>
      </c>
      <c r="DB207" s="103">
        <v>920710.8</v>
      </c>
      <c r="DC207" s="103">
        <v>593744.5</v>
      </c>
      <c r="DD207" s="104">
        <v>1.5506851852943482</v>
      </c>
      <c r="DE207" s="103">
        <v>180597.16227</v>
      </c>
      <c r="DF207" s="103">
        <v>12.08</v>
      </c>
      <c r="DG207" s="103">
        <v>2372729.3037399999</v>
      </c>
      <c r="DH207" s="103">
        <v>28.08</v>
      </c>
      <c r="DI207" s="103">
        <f t="shared" si="15"/>
        <v>339.20639999999997</v>
      </c>
      <c r="DJ207" s="103">
        <v>7736.6</v>
      </c>
      <c r="DK207" s="103">
        <v>453416.2</v>
      </c>
      <c r="DL207" s="104">
        <v>1.7062910412111432E-2</v>
      </c>
    </row>
    <row r="208" spans="1:116" s="15" customFormat="1" ht="197.45" customHeight="1" x14ac:dyDescent="0.25">
      <c r="A208" s="100" t="s">
        <v>293</v>
      </c>
      <c r="B208" s="100" t="s">
        <v>2529</v>
      </c>
      <c r="C208" s="100" t="s">
        <v>279</v>
      </c>
      <c r="D208" s="101" t="str">
        <f>"Chemistry 23"</f>
        <v>Chemistry 23</v>
      </c>
      <c r="E208" s="102" t="s">
        <v>2530</v>
      </c>
      <c r="F208" s="100">
        <v>8</v>
      </c>
      <c r="G208" s="100">
        <v>8</v>
      </c>
      <c r="H208" s="100">
        <v>1</v>
      </c>
      <c r="I208" s="100">
        <v>11</v>
      </c>
      <c r="J208" s="100">
        <v>3</v>
      </c>
      <c r="K208" s="100">
        <v>3</v>
      </c>
      <c r="L208" s="100">
        <v>2</v>
      </c>
      <c r="M208" s="100">
        <v>0</v>
      </c>
      <c r="N208" s="100">
        <v>3</v>
      </c>
      <c r="O208" s="100">
        <v>2</v>
      </c>
      <c r="P208" s="100">
        <v>-0.8</v>
      </c>
      <c r="Q208" s="100">
        <v>35.5</v>
      </c>
      <c r="R208" s="100">
        <v>2</v>
      </c>
      <c r="S208" s="100">
        <v>0</v>
      </c>
      <c r="T208" s="100">
        <v>0</v>
      </c>
      <c r="U208" s="100">
        <v>1</v>
      </c>
      <c r="V208" s="100">
        <v>0</v>
      </c>
      <c r="W208" s="100">
        <v>1</v>
      </c>
      <c r="X208" s="100">
        <v>0</v>
      </c>
      <c r="Y208" s="100">
        <v>1</v>
      </c>
      <c r="Z208" s="100">
        <v>0</v>
      </c>
      <c r="AA208" s="100">
        <v>0</v>
      </c>
      <c r="AB208" s="100">
        <v>0</v>
      </c>
      <c r="AC208" s="100">
        <v>1</v>
      </c>
      <c r="AD208" s="100">
        <v>0</v>
      </c>
      <c r="AE208" s="100">
        <v>1</v>
      </c>
      <c r="AF208" s="100">
        <v>0</v>
      </c>
      <c r="AG208" s="100">
        <v>0</v>
      </c>
      <c r="AH208" s="100">
        <v>0</v>
      </c>
      <c r="AI208" s="100">
        <v>1</v>
      </c>
      <c r="AJ208" s="100">
        <v>0</v>
      </c>
      <c r="AK208" s="100">
        <v>0</v>
      </c>
      <c r="AL208" s="100">
        <v>0</v>
      </c>
      <c r="AM208" s="100">
        <v>0</v>
      </c>
      <c r="AN208" s="100">
        <v>0</v>
      </c>
      <c r="AO208" s="100">
        <v>0</v>
      </c>
      <c r="AP208" s="100">
        <v>1</v>
      </c>
      <c r="AQ208" s="100">
        <v>0</v>
      </c>
      <c r="AR208" s="100">
        <v>0</v>
      </c>
      <c r="AS208" s="100">
        <v>0</v>
      </c>
      <c r="AT208" s="100">
        <v>0</v>
      </c>
      <c r="AU208" s="100">
        <v>0</v>
      </c>
      <c r="AV208" s="100">
        <v>0</v>
      </c>
      <c r="AW208" s="100">
        <v>0</v>
      </c>
      <c r="AX208" s="100">
        <v>0</v>
      </c>
      <c r="AY208" s="100">
        <v>0</v>
      </c>
      <c r="AZ208" s="100">
        <v>0</v>
      </c>
      <c r="BA208" s="100">
        <v>0</v>
      </c>
      <c r="BB208" s="100">
        <v>0</v>
      </c>
      <c r="BC208" s="100">
        <v>0</v>
      </c>
      <c r="BD208" s="100">
        <v>0</v>
      </c>
      <c r="BE208" s="100">
        <v>0</v>
      </c>
      <c r="BF208" s="100">
        <v>0</v>
      </c>
      <c r="BG208" s="100">
        <v>0</v>
      </c>
      <c r="BH208" s="100">
        <v>1</v>
      </c>
      <c r="BI208" s="100">
        <v>0</v>
      </c>
      <c r="BJ208" s="100">
        <v>2</v>
      </c>
      <c r="BK208" s="100">
        <v>0</v>
      </c>
      <c r="BL208" s="100">
        <v>0</v>
      </c>
      <c r="BM208" s="100">
        <v>0</v>
      </c>
      <c r="BN208" s="100">
        <v>0</v>
      </c>
      <c r="BO208" s="100">
        <v>0</v>
      </c>
      <c r="BP208" s="100">
        <v>0</v>
      </c>
      <c r="BQ208" s="100">
        <v>0</v>
      </c>
      <c r="BR208" s="100">
        <v>0</v>
      </c>
      <c r="BS208" s="100">
        <v>0</v>
      </c>
      <c r="BT208" s="100">
        <v>0</v>
      </c>
      <c r="BU208" s="100">
        <v>0</v>
      </c>
      <c r="BV208" s="100">
        <v>0</v>
      </c>
      <c r="BW208" s="100">
        <v>1</v>
      </c>
      <c r="BX208" s="100">
        <v>0</v>
      </c>
      <c r="BY208" s="100">
        <v>0</v>
      </c>
      <c r="BZ208" s="100">
        <v>0</v>
      </c>
      <c r="CA208" s="100">
        <v>1</v>
      </c>
      <c r="CB208" s="100" t="s">
        <v>2090</v>
      </c>
      <c r="CC208" s="100">
        <v>0</v>
      </c>
      <c r="CD208" s="100">
        <v>0</v>
      </c>
      <c r="CE208" s="100">
        <v>0</v>
      </c>
      <c r="CF208" s="100">
        <v>0</v>
      </c>
      <c r="CG208" s="103">
        <v>568881.25334000005</v>
      </c>
      <c r="CH208" s="103">
        <v>33.51</v>
      </c>
      <c r="CI208" s="103">
        <v>2839717.8058699998</v>
      </c>
      <c r="CJ208" s="103">
        <v>47.84</v>
      </c>
      <c r="CK208" s="103">
        <f t="shared" si="12"/>
        <v>1603.1184000000001</v>
      </c>
      <c r="CL208" s="103">
        <v>604458.69999999995</v>
      </c>
      <c r="CM208" s="103">
        <v>659417.19999999995</v>
      </c>
      <c r="CN208" s="104">
        <v>0.91665595013293555</v>
      </c>
      <c r="CO208" s="103">
        <v>130119.5569</v>
      </c>
      <c r="CP208" s="103">
        <v>9.35</v>
      </c>
      <c r="CQ208" s="103">
        <v>310890.22295000002</v>
      </c>
      <c r="CR208" s="103">
        <v>6.2</v>
      </c>
      <c r="CS208" s="103">
        <f t="shared" si="13"/>
        <v>57.97</v>
      </c>
      <c r="CT208" s="103">
        <v>186375.9</v>
      </c>
      <c r="CU208" s="103">
        <v>653518.80000000005</v>
      </c>
      <c r="CV208" s="104">
        <v>0.2851882761444659</v>
      </c>
      <c r="CW208" s="103">
        <v>388133.93884000002</v>
      </c>
      <c r="CX208" s="103">
        <v>27.5</v>
      </c>
      <c r="CY208" s="103">
        <v>3842938.4602800002</v>
      </c>
      <c r="CZ208" s="103">
        <v>60.027116972759778</v>
      </c>
      <c r="DA208" s="103">
        <f t="shared" si="14"/>
        <v>1650.745716750894</v>
      </c>
      <c r="DB208" s="103">
        <v>204610.7</v>
      </c>
      <c r="DC208" s="103">
        <v>120161.8</v>
      </c>
      <c r="DD208" s="104">
        <v>1.7027932337897735</v>
      </c>
      <c r="DE208" s="103">
        <v>18164.605070000001</v>
      </c>
      <c r="DF208" s="103">
        <v>1.3</v>
      </c>
      <c r="DG208" s="103">
        <v>78023.815449999995</v>
      </c>
      <c r="DH208" s="103">
        <v>2.57</v>
      </c>
      <c r="DI208" s="103">
        <f t="shared" si="15"/>
        <v>3.3409999999999997</v>
      </c>
      <c r="DJ208" s="103">
        <v>22700.5</v>
      </c>
      <c r="DK208" s="103">
        <v>817811.1</v>
      </c>
      <c r="DL208" s="104">
        <v>2.7757632538858913E-2</v>
      </c>
    </row>
    <row r="209" spans="1:116" s="15" customFormat="1" ht="114.95" customHeight="1" x14ac:dyDescent="0.25">
      <c r="A209" s="100" t="s">
        <v>294</v>
      </c>
      <c r="B209" s="100" t="s">
        <v>2531</v>
      </c>
      <c r="C209" s="100" t="s">
        <v>279</v>
      </c>
      <c r="D209" s="101" t="str">
        <f>"Chemistry 70"</f>
        <v>Chemistry 70</v>
      </c>
      <c r="E209" s="102" t="s">
        <v>2006</v>
      </c>
      <c r="F209" s="100">
        <v>5</v>
      </c>
      <c r="G209" s="100">
        <v>3</v>
      </c>
      <c r="H209" s="100">
        <v>0.6</v>
      </c>
      <c r="I209" s="100">
        <v>9</v>
      </c>
      <c r="J209" s="100">
        <v>4</v>
      </c>
      <c r="K209" s="100">
        <v>4</v>
      </c>
      <c r="L209" s="100">
        <v>4</v>
      </c>
      <c r="M209" s="100">
        <v>1</v>
      </c>
      <c r="N209" s="100">
        <v>3</v>
      </c>
      <c r="O209" s="100">
        <v>1</v>
      </c>
      <c r="P209" s="100">
        <v>-1.42</v>
      </c>
      <c r="Q209" s="100">
        <v>42.74</v>
      </c>
      <c r="R209" s="100">
        <v>0</v>
      </c>
      <c r="S209" s="100">
        <v>0</v>
      </c>
      <c r="T209" s="100">
        <v>0</v>
      </c>
      <c r="U209" s="100">
        <v>1</v>
      </c>
      <c r="V209" s="100">
        <v>1</v>
      </c>
      <c r="W209" s="100">
        <v>1</v>
      </c>
      <c r="X209" s="100">
        <v>0</v>
      </c>
      <c r="Y209" s="100">
        <v>0</v>
      </c>
      <c r="Z209" s="100">
        <v>1</v>
      </c>
      <c r="AA209" s="100">
        <v>0</v>
      </c>
      <c r="AB209" s="100">
        <v>0</v>
      </c>
      <c r="AC209" s="100">
        <v>1</v>
      </c>
      <c r="AD209" s="100">
        <v>0</v>
      </c>
      <c r="AE209" s="100">
        <v>1</v>
      </c>
      <c r="AF209" s="100">
        <v>0</v>
      </c>
      <c r="AG209" s="100">
        <v>0</v>
      </c>
      <c r="AH209" s="100">
        <v>0</v>
      </c>
      <c r="AI209" s="100">
        <v>1</v>
      </c>
      <c r="AJ209" s="100">
        <v>0</v>
      </c>
      <c r="AK209" s="100">
        <v>0</v>
      </c>
      <c r="AL209" s="100">
        <v>0</v>
      </c>
      <c r="AM209" s="100">
        <v>0</v>
      </c>
      <c r="AN209" s="100">
        <v>1</v>
      </c>
      <c r="AO209" s="100">
        <v>0</v>
      </c>
      <c r="AP209" s="100">
        <v>0</v>
      </c>
      <c r="AQ209" s="100">
        <v>0</v>
      </c>
      <c r="AR209" s="100">
        <v>0</v>
      </c>
      <c r="AS209" s="100">
        <v>0</v>
      </c>
      <c r="AT209" s="100">
        <v>0</v>
      </c>
      <c r="AU209" s="100">
        <v>0</v>
      </c>
      <c r="AV209" s="100">
        <v>0</v>
      </c>
      <c r="AW209" s="100">
        <v>0</v>
      </c>
      <c r="AX209" s="100">
        <v>0</v>
      </c>
      <c r="AY209" s="100">
        <v>0</v>
      </c>
      <c r="AZ209" s="100">
        <v>0</v>
      </c>
      <c r="BA209" s="100">
        <v>0</v>
      </c>
      <c r="BB209" s="100">
        <v>0</v>
      </c>
      <c r="BC209" s="100">
        <v>0</v>
      </c>
      <c r="BD209" s="100">
        <v>0</v>
      </c>
      <c r="BE209" s="100">
        <v>0</v>
      </c>
      <c r="BF209" s="100">
        <v>0</v>
      </c>
      <c r="BG209" s="100">
        <v>0</v>
      </c>
      <c r="BH209" s="100">
        <v>0</v>
      </c>
      <c r="BI209" s="100">
        <v>0</v>
      </c>
      <c r="BJ209" s="100">
        <v>0</v>
      </c>
      <c r="BK209" s="100">
        <v>0</v>
      </c>
      <c r="BL209" s="100">
        <v>0</v>
      </c>
      <c r="BM209" s="100">
        <v>0</v>
      </c>
      <c r="BN209" s="100">
        <v>0</v>
      </c>
      <c r="BO209" s="100">
        <v>0</v>
      </c>
      <c r="BP209" s="100">
        <v>0</v>
      </c>
      <c r="BQ209" s="100">
        <v>0</v>
      </c>
      <c r="BR209" s="100">
        <v>0</v>
      </c>
      <c r="BS209" s="100">
        <v>0</v>
      </c>
      <c r="BT209" s="100">
        <v>0</v>
      </c>
      <c r="BU209" s="100">
        <v>0</v>
      </c>
      <c r="BV209" s="100">
        <v>1</v>
      </c>
      <c r="BW209" s="100">
        <v>0</v>
      </c>
      <c r="BX209" s="100">
        <v>1</v>
      </c>
      <c r="BY209" s="100">
        <v>0</v>
      </c>
      <c r="BZ209" s="100">
        <v>1</v>
      </c>
      <c r="CA209" s="100">
        <v>0</v>
      </c>
      <c r="CB209" s="100" t="s">
        <v>2090</v>
      </c>
      <c r="CC209" s="100">
        <v>0</v>
      </c>
      <c r="CD209" s="100">
        <v>0</v>
      </c>
      <c r="CE209" s="100">
        <v>1</v>
      </c>
      <c r="CF209" s="100">
        <v>0</v>
      </c>
      <c r="CG209" s="103">
        <v>14012.87484</v>
      </c>
      <c r="CH209" s="103">
        <v>0.98</v>
      </c>
      <c r="CI209" s="103">
        <v>126938.47706999999</v>
      </c>
      <c r="CJ209" s="103">
        <v>2.42</v>
      </c>
      <c r="CK209" s="103">
        <f t="shared" si="12"/>
        <v>2.3715999999999999</v>
      </c>
      <c r="CL209" s="103">
        <v>15660.3</v>
      </c>
      <c r="CM209" s="103">
        <v>820236.9</v>
      </c>
      <c r="CN209" s="104">
        <v>1.9092410985167819E-2</v>
      </c>
      <c r="CO209" s="103">
        <v>37470.085120000003</v>
      </c>
      <c r="CP209" s="103">
        <v>2.3199999999999998</v>
      </c>
      <c r="CQ209" s="103">
        <v>271910.73836999998</v>
      </c>
      <c r="CR209" s="103">
        <v>8.26</v>
      </c>
      <c r="CS209" s="103">
        <f t="shared" si="13"/>
        <v>19.1632</v>
      </c>
      <c r="CT209" s="103">
        <v>221465.7</v>
      </c>
      <c r="CU209" s="103">
        <v>868487.8</v>
      </c>
      <c r="CV209" s="104">
        <v>0.25500150952034101</v>
      </c>
      <c r="CW209" s="103">
        <v>851533.10401000001</v>
      </c>
      <c r="CX209" s="103">
        <v>61.21</v>
      </c>
      <c r="CY209" s="103">
        <v>2718415.44985</v>
      </c>
      <c r="CZ209" s="103">
        <v>63.347428727322331</v>
      </c>
      <c r="DA209" s="103">
        <f t="shared" si="14"/>
        <v>3877.4961123993999</v>
      </c>
      <c r="DB209" s="103">
        <v>836208.6</v>
      </c>
      <c r="DC209" s="103">
        <v>903216.9</v>
      </c>
      <c r="DD209" s="104">
        <v>0.92581150773418874</v>
      </c>
      <c r="DE209" s="103">
        <v>82770.162500000006</v>
      </c>
      <c r="DF209" s="103">
        <v>4.92</v>
      </c>
      <c r="DG209" s="103">
        <v>765084.27951999998</v>
      </c>
      <c r="DH209" s="103">
        <v>16.13</v>
      </c>
      <c r="DI209" s="103">
        <f t="shared" si="15"/>
        <v>79.3596</v>
      </c>
      <c r="DJ209" s="103">
        <v>233026.8</v>
      </c>
      <c r="DK209" s="103">
        <v>796241.4</v>
      </c>
      <c r="DL209" s="104">
        <v>0.29265848271642242</v>
      </c>
    </row>
    <row r="210" spans="1:116" s="15" customFormat="1" ht="238.7" customHeight="1" x14ac:dyDescent="0.25">
      <c r="A210" s="100" t="s">
        <v>295</v>
      </c>
      <c r="B210" s="100" t="s">
        <v>2532</v>
      </c>
      <c r="C210" s="100" t="s">
        <v>279</v>
      </c>
      <c r="D210" s="101" t="str">
        <f>"Chemistry 13"</f>
        <v>Chemistry 13</v>
      </c>
      <c r="E210" s="102" t="s">
        <v>2533</v>
      </c>
      <c r="F210" s="100">
        <v>11</v>
      </c>
      <c r="G210" s="100">
        <v>5</v>
      </c>
      <c r="H210" s="100">
        <v>0.45</v>
      </c>
      <c r="I210" s="100">
        <v>13</v>
      </c>
      <c r="J210" s="100">
        <v>2</v>
      </c>
      <c r="K210" s="100">
        <v>2</v>
      </c>
      <c r="L210" s="100">
        <v>1</v>
      </c>
      <c r="M210" s="100">
        <v>1</v>
      </c>
      <c r="N210" s="100">
        <v>2</v>
      </c>
      <c r="O210" s="100">
        <v>1</v>
      </c>
      <c r="P210" s="100">
        <v>1.68</v>
      </c>
      <c r="Q210" s="100">
        <v>21.26</v>
      </c>
      <c r="R210" s="100">
        <v>2</v>
      </c>
      <c r="S210" s="100">
        <v>0</v>
      </c>
      <c r="T210" s="100">
        <v>0</v>
      </c>
      <c r="U210" s="100">
        <v>1</v>
      </c>
      <c r="V210" s="100">
        <v>0</v>
      </c>
      <c r="W210" s="100">
        <v>0</v>
      </c>
      <c r="X210" s="100">
        <v>1</v>
      </c>
      <c r="Y210" s="100">
        <v>0</v>
      </c>
      <c r="Z210" s="100">
        <v>1</v>
      </c>
      <c r="AA210" s="100">
        <v>0</v>
      </c>
      <c r="AB210" s="100">
        <v>0</v>
      </c>
      <c r="AC210" s="100">
        <v>1</v>
      </c>
      <c r="AD210" s="100">
        <v>0</v>
      </c>
      <c r="AE210" s="100">
        <v>0</v>
      </c>
      <c r="AF210" s="100">
        <v>1</v>
      </c>
      <c r="AG210" s="100">
        <v>0</v>
      </c>
      <c r="AH210" s="100">
        <v>1</v>
      </c>
      <c r="AI210" s="100">
        <v>0</v>
      </c>
      <c r="AJ210" s="100">
        <v>0</v>
      </c>
      <c r="AK210" s="100">
        <v>1</v>
      </c>
      <c r="AL210" s="100">
        <v>0</v>
      </c>
      <c r="AM210" s="100">
        <v>1</v>
      </c>
      <c r="AN210" s="100">
        <v>0</v>
      </c>
      <c r="AO210" s="100">
        <v>0</v>
      </c>
      <c r="AP210" s="100">
        <v>0</v>
      </c>
      <c r="AQ210" s="100">
        <v>0</v>
      </c>
      <c r="AR210" s="100">
        <v>0</v>
      </c>
      <c r="AS210" s="100">
        <v>0</v>
      </c>
      <c r="AT210" s="100">
        <v>0</v>
      </c>
      <c r="AU210" s="100">
        <v>0</v>
      </c>
      <c r="AV210" s="100">
        <v>0</v>
      </c>
      <c r="AW210" s="100">
        <v>0</v>
      </c>
      <c r="AX210" s="100">
        <v>0</v>
      </c>
      <c r="AY210" s="100">
        <v>0</v>
      </c>
      <c r="AZ210" s="100">
        <v>0</v>
      </c>
      <c r="BA210" s="100">
        <v>0</v>
      </c>
      <c r="BB210" s="100">
        <v>0</v>
      </c>
      <c r="BC210" s="100">
        <v>0</v>
      </c>
      <c r="BD210" s="100">
        <v>0</v>
      </c>
      <c r="BE210" s="100">
        <v>0</v>
      </c>
      <c r="BF210" s="100">
        <v>0</v>
      </c>
      <c r="BG210" s="100">
        <v>0</v>
      </c>
      <c r="BH210" s="100">
        <v>0</v>
      </c>
      <c r="BI210" s="100">
        <v>0</v>
      </c>
      <c r="BJ210" s="100">
        <v>0</v>
      </c>
      <c r="BK210" s="100">
        <v>0</v>
      </c>
      <c r="BL210" s="100">
        <v>0</v>
      </c>
      <c r="BM210" s="100">
        <v>0</v>
      </c>
      <c r="BN210" s="100">
        <v>0</v>
      </c>
      <c r="BO210" s="100">
        <v>0</v>
      </c>
      <c r="BP210" s="100">
        <v>0</v>
      </c>
      <c r="BQ210" s="100">
        <v>0</v>
      </c>
      <c r="BR210" s="100">
        <v>0</v>
      </c>
      <c r="BS210" s="100">
        <v>0</v>
      </c>
      <c r="BT210" s="100">
        <v>0</v>
      </c>
      <c r="BU210" s="100">
        <v>0</v>
      </c>
      <c r="BV210" s="100">
        <v>0</v>
      </c>
      <c r="BW210" s="100">
        <v>0</v>
      </c>
      <c r="BX210" s="100">
        <v>0</v>
      </c>
      <c r="BY210" s="100">
        <v>1</v>
      </c>
      <c r="BZ210" s="100">
        <v>0</v>
      </c>
      <c r="CA210" s="100">
        <v>0</v>
      </c>
      <c r="CB210" s="100" t="s">
        <v>2090</v>
      </c>
      <c r="CC210" s="100">
        <v>0</v>
      </c>
      <c r="CD210" s="100">
        <v>0</v>
      </c>
      <c r="CE210" s="100">
        <v>0</v>
      </c>
      <c r="CF210" s="100">
        <v>0</v>
      </c>
      <c r="CG210" s="103">
        <v>0</v>
      </c>
      <c r="CH210" s="103">
        <v>0</v>
      </c>
      <c r="CI210" s="103">
        <v>1200.4176</v>
      </c>
      <c r="CJ210" s="103">
        <v>0</v>
      </c>
      <c r="CK210" s="103">
        <f t="shared" si="12"/>
        <v>0</v>
      </c>
      <c r="CL210" s="103">
        <v>1093.5</v>
      </c>
      <c r="CM210" s="103">
        <v>437635.5</v>
      </c>
      <c r="CN210" s="104">
        <v>2.4986547023721794E-3</v>
      </c>
      <c r="CO210" s="103">
        <v>182787.85816999999</v>
      </c>
      <c r="CP210" s="103">
        <v>12.14</v>
      </c>
      <c r="CQ210" s="103">
        <v>41541.964630000002</v>
      </c>
      <c r="CR210" s="103">
        <v>9.5399999999999991</v>
      </c>
      <c r="CS210" s="103">
        <f t="shared" si="13"/>
        <v>115.81559999999999</v>
      </c>
      <c r="CT210" s="103">
        <v>4096.8</v>
      </c>
      <c r="CU210" s="103">
        <v>607316.69999999995</v>
      </c>
      <c r="CV210" s="104">
        <v>6.7457390847312461E-3</v>
      </c>
      <c r="CW210" s="103">
        <v>0</v>
      </c>
      <c r="CX210" s="103">
        <v>0</v>
      </c>
      <c r="CY210" s="103">
        <v>1415.1678400000001</v>
      </c>
      <c r="CZ210" s="103">
        <v>0</v>
      </c>
      <c r="DA210" s="103">
        <f t="shared" si="14"/>
        <v>0</v>
      </c>
      <c r="DB210" s="103">
        <v>1151.7</v>
      </c>
      <c r="DC210" s="103">
        <v>410054.7</v>
      </c>
      <c r="DD210" s="104">
        <v>2.8086496752750302E-3</v>
      </c>
      <c r="DE210" s="103">
        <v>0</v>
      </c>
      <c r="DF210" s="103">
        <v>0</v>
      </c>
      <c r="DG210" s="103">
        <v>82570.063760000005</v>
      </c>
      <c r="DH210" s="103">
        <v>0</v>
      </c>
      <c r="DI210" s="103">
        <f t="shared" si="15"/>
        <v>0</v>
      </c>
      <c r="DJ210" s="103">
        <v>3054.4</v>
      </c>
      <c r="DK210" s="103">
        <v>463921.4</v>
      </c>
      <c r="DL210" s="104">
        <v>6.5838739062263566E-3</v>
      </c>
    </row>
    <row r="211" spans="1:116" s="15" customFormat="1" ht="238.7" customHeight="1" x14ac:dyDescent="0.25">
      <c r="A211" s="100" t="s">
        <v>296</v>
      </c>
      <c r="B211" s="100" t="s">
        <v>2534</v>
      </c>
      <c r="C211" s="100" t="s">
        <v>279</v>
      </c>
      <c r="D211" s="101" t="str">
        <f>"Chemistry 124"</f>
        <v>Chemistry 124</v>
      </c>
      <c r="E211" s="102" t="s">
        <v>2535</v>
      </c>
      <c r="F211" s="100">
        <v>11</v>
      </c>
      <c r="G211" s="100">
        <v>6</v>
      </c>
      <c r="H211" s="100">
        <v>0.55000000000000004</v>
      </c>
      <c r="I211" s="100">
        <v>14</v>
      </c>
      <c r="J211" s="100">
        <v>3</v>
      </c>
      <c r="K211" s="100">
        <v>3</v>
      </c>
      <c r="L211" s="100">
        <v>2</v>
      </c>
      <c r="M211" s="100">
        <v>1</v>
      </c>
      <c r="N211" s="100">
        <v>3</v>
      </c>
      <c r="O211" s="100">
        <v>1</v>
      </c>
      <c r="P211" s="100">
        <v>-0.09</v>
      </c>
      <c r="Q211" s="100">
        <v>34.15</v>
      </c>
      <c r="R211" s="100">
        <v>3</v>
      </c>
      <c r="S211" s="100">
        <v>0</v>
      </c>
      <c r="T211" s="100">
        <v>0</v>
      </c>
      <c r="U211" s="100">
        <v>1</v>
      </c>
      <c r="V211" s="100">
        <v>0</v>
      </c>
      <c r="W211" s="100">
        <v>1</v>
      </c>
      <c r="X211" s="100">
        <v>0</v>
      </c>
      <c r="Y211" s="100">
        <v>0</v>
      </c>
      <c r="Z211" s="100">
        <v>1</v>
      </c>
      <c r="AA211" s="100">
        <v>0</v>
      </c>
      <c r="AB211" s="100">
        <v>0</v>
      </c>
      <c r="AC211" s="100">
        <v>1</v>
      </c>
      <c r="AD211" s="100">
        <v>0</v>
      </c>
      <c r="AE211" s="100">
        <v>1</v>
      </c>
      <c r="AF211" s="100">
        <v>0</v>
      </c>
      <c r="AG211" s="100">
        <v>0</v>
      </c>
      <c r="AH211" s="100">
        <v>0</v>
      </c>
      <c r="AI211" s="100">
        <v>1</v>
      </c>
      <c r="AJ211" s="100">
        <v>0</v>
      </c>
      <c r="AK211" s="100">
        <v>0</v>
      </c>
      <c r="AL211" s="100">
        <v>0</v>
      </c>
      <c r="AM211" s="100">
        <v>0</v>
      </c>
      <c r="AN211" s="100">
        <v>0</v>
      </c>
      <c r="AO211" s="100">
        <v>1</v>
      </c>
      <c r="AP211" s="100">
        <v>0</v>
      </c>
      <c r="AQ211" s="100">
        <v>0</v>
      </c>
      <c r="AR211" s="100">
        <v>0</v>
      </c>
      <c r="AS211" s="100">
        <v>0</v>
      </c>
      <c r="AT211" s="100">
        <v>0</v>
      </c>
      <c r="AU211" s="100">
        <v>0</v>
      </c>
      <c r="AV211" s="100">
        <v>0</v>
      </c>
      <c r="AW211" s="100">
        <v>0</v>
      </c>
      <c r="AX211" s="100">
        <v>0</v>
      </c>
      <c r="AY211" s="100">
        <v>0</v>
      </c>
      <c r="AZ211" s="100">
        <v>0</v>
      </c>
      <c r="BA211" s="100">
        <v>0</v>
      </c>
      <c r="BB211" s="100">
        <v>0</v>
      </c>
      <c r="BC211" s="100">
        <v>0</v>
      </c>
      <c r="BD211" s="100">
        <v>0</v>
      </c>
      <c r="BE211" s="100">
        <v>0</v>
      </c>
      <c r="BF211" s="100">
        <v>0</v>
      </c>
      <c r="BG211" s="100">
        <v>0</v>
      </c>
      <c r="BH211" s="100">
        <v>0</v>
      </c>
      <c r="BI211" s="100">
        <v>0</v>
      </c>
      <c r="BJ211" s="100">
        <v>0</v>
      </c>
      <c r="BK211" s="100">
        <v>0</v>
      </c>
      <c r="BL211" s="100">
        <v>0</v>
      </c>
      <c r="BM211" s="100">
        <v>0</v>
      </c>
      <c r="BN211" s="100">
        <v>0</v>
      </c>
      <c r="BO211" s="100">
        <v>0</v>
      </c>
      <c r="BP211" s="100">
        <v>0</v>
      </c>
      <c r="BQ211" s="100">
        <v>0</v>
      </c>
      <c r="BR211" s="100">
        <v>0</v>
      </c>
      <c r="BS211" s="100">
        <v>0</v>
      </c>
      <c r="BT211" s="100">
        <v>0</v>
      </c>
      <c r="BU211" s="100">
        <v>0</v>
      </c>
      <c r="BV211" s="100">
        <v>0</v>
      </c>
      <c r="BW211" s="100">
        <v>1</v>
      </c>
      <c r="BX211" s="100">
        <v>0</v>
      </c>
      <c r="BY211" s="100">
        <v>0</v>
      </c>
      <c r="BZ211" s="100">
        <v>0</v>
      </c>
      <c r="CA211" s="100">
        <v>1</v>
      </c>
      <c r="CB211" s="100" t="s">
        <v>2090</v>
      </c>
      <c r="CC211" s="100">
        <v>0</v>
      </c>
      <c r="CD211" s="100">
        <v>0</v>
      </c>
      <c r="CE211" s="100">
        <v>0</v>
      </c>
      <c r="CF211" s="100">
        <v>0</v>
      </c>
      <c r="CG211" s="103">
        <v>334739.53477999999</v>
      </c>
      <c r="CH211" s="103">
        <v>23.44</v>
      </c>
      <c r="CI211" s="103">
        <v>3160725.98532</v>
      </c>
      <c r="CJ211" s="103">
        <v>46.96</v>
      </c>
      <c r="CK211" s="103">
        <f t="shared" si="12"/>
        <v>1100.7424000000001</v>
      </c>
      <c r="CL211" s="103">
        <v>198362.8</v>
      </c>
      <c r="CM211" s="103">
        <v>229794.1</v>
      </c>
      <c r="CN211" s="104">
        <v>0.86321972583282158</v>
      </c>
      <c r="CO211" s="103">
        <v>378416.78158000001</v>
      </c>
      <c r="CP211" s="103">
        <v>21.65</v>
      </c>
      <c r="CQ211" s="103">
        <v>3488791.98777</v>
      </c>
      <c r="CR211" s="103">
        <v>27.79</v>
      </c>
      <c r="CS211" s="103">
        <f t="shared" si="13"/>
        <v>601.65349999999989</v>
      </c>
      <c r="CT211" s="103">
        <v>177612</v>
      </c>
      <c r="CU211" s="103">
        <v>145276.29999999999</v>
      </c>
      <c r="CV211" s="104">
        <v>1.2225806962319388</v>
      </c>
      <c r="CW211" s="103">
        <v>1072625.5307199999</v>
      </c>
      <c r="CX211" s="103">
        <v>64.28</v>
      </c>
      <c r="CY211" s="103">
        <v>4973061.5911900001</v>
      </c>
      <c r="CZ211" s="103">
        <v>55.846892192438254</v>
      </c>
      <c r="DA211" s="103">
        <f t="shared" si="14"/>
        <v>3589.8382301299312</v>
      </c>
      <c r="DB211" s="103">
        <v>713548.4</v>
      </c>
      <c r="DC211" s="103">
        <v>243911.7</v>
      </c>
      <c r="DD211" s="104">
        <v>2.9254373611433975</v>
      </c>
      <c r="DE211" s="103">
        <v>263802.67739999999</v>
      </c>
      <c r="DF211" s="103">
        <v>15.66</v>
      </c>
      <c r="DG211" s="103">
        <v>2721250.1472200002</v>
      </c>
      <c r="DH211" s="103">
        <v>19.920000000000002</v>
      </c>
      <c r="DI211" s="103">
        <f t="shared" si="15"/>
        <v>311.94720000000001</v>
      </c>
      <c r="DJ211" s="103">
        <v>410108.5</v>
      </c>
      <c r="DK211" s="103">
        <v>559022.9</v>
      </c>
      <c r="DL211" s="104">
        <v>0.73361663717175085</v>
      </c>
    </row>
    <row r="212" spans="1:116" s="15" customFormat="1" ht="265.7" customHeight="1" x14ac:dyDescent="0.25">
      <c r="A212" s="100" t="s">
        <v>297</v>
      </c>
      <c r="B212" s="100" t="s">
        <v>2536</v>
      </c>
      <c r="C212" s="100" t="s">
        <v>279</v>
      </c>
      <c r="D212" s="101" t="str">
        <f>"Chemistry 56"</f>
        <v>Chemistry 56</v>
      </c>
      <c r="E212" s="102" t="s">
        <v>2015</v>
      </c>
      <c r="F212" s="100">
        <v>12</v>
      </c>
      <c r="G212" s="100">
        <v>7</v>
      </c>
      <c r="H212" s="100">
        <v>0.57999999999999996</v>
      </c>
      <c r="I212" s="100">
        <v>14</v>
      </c>
      <c r="J212" s="100">
        <v>2</v>
      </c>
      <c r="K212" s="100">
        <v>2</v>
      </c>
      <c r="L212" s="100">
        <v>2</v>
      </c>
      <c r="M212" s="100">
        <v>1</v>
      </c>
      <c r="N212" s="100">
        <v>2</v>
      </c>
      <c r="O212" s="100">
        <v>1</v>
      </c>
      <c r="P212" s="100">
        <v>1.9</v>
      </c>
      <c r="Q212" s="100">
        <v>24.92</v>
      </c>
      <c r="R212" s="100">
        <v>3</v>
      </c>
      <c r="S212" s="100">
        <v>0</v>
      </c>
      <c r="T212" s="100">
        <v>0</v>
      </c>
      <c r="U212" s="100">
        <v>1</v>
      </c>
      <c r="V212" s="100">
        <v>0</v>
      </c>
      <c r="W212" s="100">
        <v>1</v>
      </c>
      <c r="X212" s="100">
        <v>0</v>
      </c>
      <c r="Y212" s="100">
        <v>0</v>
      </c>
      <c r="Z212" s="100">
        <v>1</v>
      </c>
      <c r="AA212" s="100">
        <v>0</v>
      </c>
      <c r="AB212" s="100">
        <v>0</v>
      </c>
      <c r="AC212" s="100">
        <v>1</v>
      </c>
      <c r="AD212" s="100">
        <v>0</v>
      </c>
      <c r="AE212" s="100">
        <v>0</v>
      </c>
      <c r="AF212" s="100">
        <v>0</v>
      </c>
      <c r="AG212" s="100">
        <v>1</v>
      </c>
      <c r="AH212" s="100">
        <v>1</v>
      </c>
      <c r="AI212" s="100">
        <v>0</v>
      </c>
      <c r="AJ212" s="100">
        <v>0</v>
      </c>
      <c r="AK212" s="100">
        <v>1</v>
      </c>
      <c r="AL212" s="100">
        <v>1</v>
      </c>
      <c r="AM212" s="100">
        <v>0</v>
      </c>
      <c r="AN212" s="100">
        <v>0</v>
      </c>
      <c r="AO212" s="100">
        <v>1</v>
      </c>
      <c r="AP212" s="100">
        <v>0</v>
      </c>
      <c r="AQ212" s="100">
        <v>0</v>
      </c>
      <c r="AR212" s="100">
        <v>0</v>
      </c>
      <c r="AS212" s="100">
        <v>0</v>
      </c>
      <c r="AT212" s="100">
        <v>0</v>
      </c>
      <c r="AU212" s="100">
        <v>0</v>
      </c>
      <c r="AV212" s="100">
        <v>0</v>
      </c>
      <c r="AW212" s="100">
        <v>0</v>
      </c>
      <c r="AX212" s="100">
        <v>0</v>
      </c>
      <c r="AY212" s="100">
        <v>0</v>
      </c>
      <c r="AZ212" s="100">
        <v>0</v>
      </c>
      <c r="BA212" s="100">
        <v>0</v>
      </c>
      <c r="BB212" s="100">
        <v>0</v>
      </c>
      <c r="BC212" s="100">
        <v>0</v>
      </c>
      <c r="BD212" s="100">
        <v>0</v>
      </c>
      <c r="BE212" s="100">
        <v>0</v>
      </c>
      <c r="BF212" s="100">
        <v>0</v>
      </c>
      <c r="BG212" s="100">
        <v>0</v>
      </c>
      <c r="BH212" s="100">
        <v>0</v>
      </c>
      <c r="BI212" s="100">
        <v>0</v>
      </c>
      <c r="BJ212" s="100">
        <v>0</v>
      </c>
      <c r="BK212" s="100">
        <v>0</v>
      </c>
      <c r="BL212" s="100">
        <v>0</v>
      </c>
      <c r="BM212" s="100">
        <v>0</v>
      </c>
      <c r="BN212" s="100">
        <v>0</v>
      </c>
      <c r="BO212" s="100">
        <v>0</v>
      </c>
      <c r="BP212" s="100">
        <v>0</v>
      </c>
      <c r="BQ212" s="100">
        <v>0</v>
      </c>
      <c r="BR212" s="100">
        <v>0</v>
      </c>
      <c r="BS212" s="100">
        <v>0</v>
      </c>
      <c r="BT212" s="100">
        <v>0</v>
      </c>
      <c r="BU212" s="100">
        <v>0</v>
      </c>
      <c r="BV212" s="100">
        <v>0</v>
      </c>
      <c r="BW212" s="100">
        <v>1</v>
      </c>
      <c r="BX212" s="100">
        <v>0</v>
      </c>
      <c r="BY212" s="100">
        <v>0</v>
      </c>
      <c r="BZ212" s="100">
        <v>0</v>
      </c>
      <c r="CA212" s="100">
        <v>0</v>
      </c>
      <c r="CB212" s="100" t="s">
        <v>2090</v>
      </c>
      <c r="CC212" s="100">
        <v>0</v>
      </c>
      <c r="CD212" s="100">
        <v>0</v>
      </c>
      <c r="CE212" s="100">
        <v>0</v>
      </c>
      <c r="CF212" s="100">
        <v>0</v>
      </c>
      <c r="CG212" s="103">
        <v>39113.43159</v>
      </c>
      <c r="CH212" s="103">
        <v>2.83</v>
      </c>
      <c r="CI212" s="103">
        <v>1775576.4999599999</v>
      </c>
      <c r="CJ212" s="103">
        <v>22.1</v>
      </c>
      <c r="CK212" s="103">
        <f t="shared" si="12"/>
        <v>62.543000000000006</v>
      </c>
      <c r="CL212" s="103">
        <v>269179.90000000002</v>
      </c>
      <c r="CM212" s="103">
        <v>828326.5</v>
      </c>
      <c r="CN212" s="104">
        <v>0.3249683548697283</v>
      </c>
      <c r="CO212" s="103">
        <v>0</v>
      </c>
      <c r="CP212" s="103">
        <v>0</v>
      </c>
      <c r="CQ212" s="103">
        <v>41911.852780000001</v>
      </c>
      <c r="CR212" s="103">
        <v>2.12</v>
      </c>
      <c r="CS212" s="103">
        <f t="shared" si="13"/>
        <v>0</v>
      </c>
      <c r="CT212" s="103">
        <v>1599</v>
      </c>
      <c r="CU212" s="103">
        <v>124248.1</v>
      </c>
      <c r="CV212" s="104">
        <v>1.2869412087589266E-2</v>
      </c>
      <c r="CW212" s="103">
        <v>38201.111499999999</v>
      </c>
      <c r="CX212" s="103">
        <v>3.55</v>
      </c>
      <c r="CY212" s="103">
        <v>1861260.12118</v>
      </c>
      <c r="CZ212" s="103">
        <v>28.416779431664416</v>
      </c>
      <c r="DA212" s="103">
        <f t="shared" si="14"/>
        <v>100.87956698240868</v>
      </c>
      <c r="DB212" s="103">
        <v>53695.199999999997</v>
      </c>
      <c r="DC212" s="103">
        <v>157252.4</v>
      </c>
      <c r="DD212" s="104">
        <v>0.34145869951746366</v>
      </c>
      <c r="DE212" s="103">
        <v>0</v>
      </c>
      <c r="DF212" s="103">
        <v>0</v>
      </c>
      <c r="DG212" s="103">
        <v>100336.56849999999</v>
      </c>
      <c r="DH212" s="103">
        <v>1.87</v>
      </c>
      <c r="DI212" s="103">
        <f t="shared" si="15"/>
        <v>0</v>
      </c>
      <c r="DJ212" s="103">
        <v>8499.7000000000007</v>
      </c>
      <c r="DK212" s="103">
        <v>326231.09999999998</v>
      </c>
      <c r="DL212" s="104">
        <v>2.6054229654989981E-2</v>
      </c>
    </row>
    <row r="213" spans="1:116" s="15" customFormat="1" ht="258.95" customHeight="1" x14ac:dyDescent="0.25">
      <c r="A213" s="100" t="s">
        <v>298</v>
      </c>
      <c r="B213" s="100" t="s">
        <v>2537</v>
      </c>
      <c r="C213" s="100" t="s">
        <v>279</v>
      </c>
      <c r="D213" s="101" t="str">
        <f>"Chemistry 183"</f>
        <v>Chemistry 183</v>
      </c>
      <c r="E213" s="102" t="s">
        <v>2538</v>
      </c>
      <c r="F213" s="100">
        <v>11</v>
      </c>
      <c r="G213" s="100">
        <v>5</v>
      </c>
      <c r="H213" s="100">
        <v>0.45</v>
      </c>
      <c r="I213" s="100">
        <v>12</v>
      </c>
      <c r="J213" s="100">
        <v>1</v>
      </c>
      <c r="K213" s="100">
        <v>1</v>
      </c>
      <c r="L213" s="100">
        <v>1</v>
      </c>
      <c r="M213" s="100">
        <v>1</v>
      </c>
      <c r="N213" s="100">
        <v>1</v>
      </c>
      <c r="O213" s="100">
        <v>1</v>
      </c>
      <c r="P213" s="100">
        <v>1.54</v>
      </c>
      <c r="Q213" s="100">
        <v>12.03</v>
      </c>
      <c r="R213" s="100">
        <v>1</v>
      </c>
      <c r="S213" s="100">
        <v>0</v>
      </c>
      <c r="T213" s="100">
        <v>0</v>
      </c>
      <c r="U213" s="100">
        <v>1</v>
      </c>
      <c r="V213" s="100">
        <v>0</v>
      </c>
      <c r="W213" s="100">
        <v>0</v>
      </c>
      <c r="X213" s="100">
        <v>1</v>
      </c>
      <c r="Y213" s="100">
        <v>0</v>
      </c>
      <c r="Z213" s="100">
        <v>1</v>
      </c>
      <c r="AA213" s="100">
        <v>0</v>
      </c>
      <c r="AB213" s="100">
        <v>0</v>
      </c>
      <c r="AC213" s="100">
        <v>1</v>
      </c>
      <c r="AD213" s="100">
        <v>0</v>
      </c>
      <c r="AE213" s="100">
        <v>0</v>
      </c>
      <c r="AF213" s="100">
        <v>1</v>
      </c>
      <c r="AG213" s="100">
        <v>0</v>
      </c>
      <c r="AH213" s="100">
        <v>1</v>
      </c>
      <c r="AI213" s="100">
        <v>0</v>
      </c>
      <c r="AJ213" s="100">
        <v>0</v>
      </c>
      <c r="AK213" s="100">
        <v>0</v>
      </c>
      <c r="AL213" s="100">
        <v>0</v>
      </c>
      <c r="AM213" s="100">
        <v>0</v>
      </c>
      <c r="AN213" s="100">
        <v>0</v>
      </c>
      <c r="AO213" s="100">
        <v>0</v>
      </c>
      <c r="AP213" s="100">
        <v>0</v>
      </c>
      <c r="AQ213" s="100">
        <v>0</v>
      </c>
      <c r="AR213" s="100">
        <v>0</v>
      </c>
      <c r="AS213" s="100">
        <v>0</v>
      </c>
      <c r="AT213" s="100">
        <v>0</v>
      </c>
      <c r="AU213" s="100">
        <v>0</v>
      </c>
      <c r="AV213" s="100">
        <v>0</v>
      </c>
      <c r="AW213" s="100">
        <v>0</v>
      </c>
      <c r="AX213" s="100">
        <v>0</v>
      </c>
      <c r="AY213" s="100">
        <v>0</v>
      </c>
      <c r="AZ213" s="100">
        <v>0</v>
      </c>
      <c r="BA213" s="100">
        <v>0</v>
      </c>
      <c r="BB213" s="100">
        <v>0</v>
      </c>
      <c r="BC213" s="100">
        <v>0</v>
      </c>
      <c r="BD213" s="100">
        <v>0</v>
      </c>
      <c r="BE213" s="100">
        <v>0</v>
      </c>
      <c r="BF213" s="100">
        <v>0</v>
      </c>
      <c r="BG213" s="100">
        <v>0</v>
      </c>
      <c r="BH213" s="100">
        <v>0</v>
      </c>
      <c r="BI213" s="100">
        <v>0</v>
      </c>
      <c r="BJ213" s="100">
        <v>0</v>
      </c>
      <c r="BK213" s="100">
        <v>0</v>
      </c>
      <c r="BL213" s="100">
        <v>0</v>
      </c>
      <c r="BM213" s="100">
        <v>0</v>
      </c>
      <c r="BN213" s="100">
        <v>0</v>
      </c>
      <c r="BO213" s="100">
        <v>0</v>
      </c>
      <c r="BP213" s="100">
        <v>0</v>
      </c>
      <c r="BQ213" s="100">
        <v>0</v>
      </c>
      <c r="BR213" s="100">
        <v>0</v>
      </c>
      <c r="BS213" s="100">
        <v>0</v>
      </c>
      <c r="BT213" s="100">
        <v>0</v>
      </c>
      <c r="BU213" s="100">
        <v>0</v>
      </c>
      <c r="BV213" s="100">
        <v>0</v>
      </c>
      <c r="BW213" s="100">
        <v>1</v>
      </c>
      <c r="BX213" s="100">
        <v>0</v>
      </c>
      <c r="BY213" s="100">
        <v>0</v>
      </c>
      <c r="BZ213" s="100">
        <v>1</v>
      </c>
      <c r="CA213" s="100">
        <v>0</v>
      </c>
      <c r="CB213" s="100" t="s">
        <v>2091</v>
      </c>
      <c r="CC213" s="100">
        <v>0</v>
      </c>
      <c r="CD213" s="100">
        <v>0</v>
      </c>
      <c r="CE213" s="100">
        <v>0</v>
      </c>
      <c r="CF213" s="100">
        <v>0</v>
      </c>
      <c r="CG213" s="103">
        <v>552927.28183999995</v>
      </c>
      <c r="CH213" s="103">
        <v>44.13</v>
      </c>
      <c r="CI213" s="103">
        <v>4474979.7876199996</v>
      </c>
      <c r="CJ213" s="103">
        <v>42.1</v>
      </c>
      <c r="CK213" s="103">
        <f t="shared" si="12"/>
        <v>1857.8730000000003</v>
      </c>
      <c r="CL213" s="103">
        <v>311798</v>
      </c>
      <c r="CM213" s="103">
        <v>235998.8</v>
      </c>
      <c r="CN213" s="104">
        <v>1.3211846839899186</v>
      </c>
      <c r="CO213" s="103">
        <v>203047.38075000001</v>
      </c>
      <c r="CP213" s="103">
        <v>12.06</v>
      </c>
      <c r="CQ213" s="103">
        <v>3222021.1314900001</v>
      </c>
      <c r="CR213" s="103">
        <v>39.159999999999997</v>
      </c>
      <c r="CS213" s="103">
        <f t="shared" si="13"/>
        <v>472.26959999999997</v>
      </c>
      <c r="CT213" s="103">
        <v>48792.7</v>
      </c>
      <c r="CU213" s="103">
        <v>91046.8</v>
      </c>
      <c r="CV213" s="104">
        <v>0.53590790670292632</v>
      </c>
      <c r="CW213" s="103">
        <v>669816.47415999998</v>
      </c>
      <c r="CX213" s="103">
        <v>44.92</v>
      </c>
      <c r="CY213" s="103">
        <v>4756978.9003999997</v>
      </c>
      <c r="CZ213" s="103">
        <v>50.81</v>
      </c>
      <c r="DA213" s="103">
        <f t="shared" si="14"/>
        <v>2282.3852000000002</v>
      </c>
      <c r="DB213" s="103">
        <v>15233.2</v>
      </c>
      <c r="DC213" s="103">
        <v>5235.5</v>
      </c>
      <c r="DD213" s="104">
        <v>2.9095979371597749</v>
      </c>
      <c r="DE213" s="103">
        <v>57397.384960000003</v>
      </c>
      <c r="DF213" s="103">
        <v>3.16</v>
      </c>
      <c r="DG213" s="103">
        <v>1664348.3624700001</v>
      </c>
      <c r="DH213" s="103">
        <v>19.16</v>
      </c>
      <c r="DI213" s="103">
        <f t="shared" si="15"/>
        <v>60.5456</v>
      </c>
      <c r="DJ213" s="103">
        <v>92291.9</v>
      </c>
      <c r="DK213" s="103">
        <v>573882</v>
      </c>
      <c r="DL213" s="104">
        <v>0.16082034285793942</v>
      </c>
    </row>
    <row r="214" spans="1:116" s="15" customFormat="1" ht="146.44999999999999" customHeight="1" x14ac:dyDescent="0.25">
      <c r="A214" s="100" t="s">
        <v>299</v>
      </c>
      <c r="B214" s="100" t="s">
        <v>2539</v>
      </c>
      <c r="C214" s="100" t="s">
        <v>279</v>
      </c>
      <c r="D214" s="115" t="str">
        <f>"Chemistry 20"</f>
        <v>Chemistry 20</v>
      </c>
      <c r="E214" s="102" t="s">
        <v>2540</v>
      </c>
      <c r="F214" s="100">
        <v>6</v>
      </c>
      <c r="G214" s="100">
        <v>6</v>
      </c>
      <c r="H214" s="100">
        <v>1</v>
      </c>
      <c r="I214" s="100">
        <v>9</v>
      </c>
      <c r="J214" s="100">
        <v>3</v>
      </c>
      <c r="K214" s="100">
        <v>3</v>
      </c>
      <c r="L214" s="100">
        <v>1</v>
      </c>
      <c r="M214" s="100">
        <v>0</v>
      </c>
      <c r="N214" s="100">
        <v>3</v>
      </c>
      <c r="O214" s="100">
        <v>1</v>
      </c>
      <c r="P214" s="100">
        <v>-0.88</v>
      </c>
      <c r="Q214" s="100">
        <v>30.49</v>
      </c>
      <c r="R214" s="100">
        <v>0</v>
      </c>
      <c r="S214" s="100">
        <v>0</v>
      </c>
      <c r="T214" s="100">
        <v>0</v>
      </c>
      <c r="U214" s="100">
        <v>1</v>
      </c>
      <c r="V214" s="100">
        <v>0</v>
      </c>
      <c r="W214" s="100">
        <v>0</v>
      </c>
      <c r="X214" s="100">
        <v>1</v>
      </c>
      <c r="Y214" s="100">
        <v>0</v>
      </c>
      <c r="Z214" s="100">
        <v>1</v>
      </c>
      <c r="AA214" s="100">
        <v>0</v>
      </c>
      <c r="AB214" s="100">
        <v>0</v>
      </c>
      <c r="AC214" s="100">
        <v>1</v>
      </c>
      <c r="AD214" s="100">
        <v>0</v>
      </c>
      <c r="AE214" s="100">
        <v>1</v>
      </c>
      <c r="AF214" s="100">
        <v>0</v>
      </c>
      <c r="AG214" s="100">
        <v>0</v>
      </c>
      <c r="AH214" s="100">
        <v>0</v>
      </c>
      <c r="AI214" s="100">
        <v>1</v>
      </c>
      <c r="AJ214" s="100">
        <v>0</v>
      </c>
      <c r="AK214" s="100">
        <v>0</v>
      </c>
      <c r="AL214" s="100">
        <v>0</v>
      </c>
      <c r="AM214" s="100">
        <v>0</v>
      </c>
      <c r="AN214" s="100">
        <v>0</v>
      </c>
      <c r="AO214" s="100">
        <v>0</v>
      </c>
      <c r="AP214" s="100">
        <v>0</v>
      </c>
      <c r="AQ214" s="100">
        <v>0</v>
      </c>
      <c r="AR214" s="100">
        <v>0</v>
      </c>
      <c r="AS214" s="100">
        <v>0</v>
      </c>
      <c r="AT214" s="100">
        <v>0</v>
      </c>
      <c r="AU214" s="100">
        <v>0</v>
      </c>
      <c r="AV214" s="100">
        <v>0</v>
      </c>
      <c r="AW214" s="100">
        <v>0</v>
      </c>
      <c r="AX214" s="100">
        <v>0</v>
      </c>
      <c r="AY214" s="100">
        <v>0</v>
      </c>
      <c r="AZ214" s="100">
        <v>0</v>
      </c>
      <c r="BA214" s="100">
        <v>0</v>
      </c>
      <c r="BB214" s="100">
        <v>0</v>
      </c>
      <c r="BC214" s="100">
        <v>0</v>
      </c>
      <c r="BD214" s="100">
        <v>0</v>
      </c>
      <c r="BE214" s="100">
        <v>0</v>
      </c>
      <c r="BF214" s="100">
        <v>0</v>
      </c>
      <c r="BG214" s="100">
        <v>0</v>
      </c>
      <c r="BH214" s="100">
        <v>0</v>
      </c>
      <c r="BI214" s="100">
        <v>0</v>
      </c>
      <c r="BJ214" s="100">
        <v>0</v>
      </c>
      <c r="BK214" s="100">
        <v>0</v>
      </c>
      <c r="BL214" s="100">
        <v>0</v>
      </c>
      <c r="BM214" s="100">
        <v>0</v>
      </c>
      <c r="BN214" s="100">
        <v>0</v>
      </c>
      <c r="BO214" s="100">
        <v>0</v>
      </c>
      <c r="BP214" s="100">
        <v>0</v>
      </c>
      <c r="BQ214" s="100">
        <v>0</v>
      </c>
      <c r="BR214" s="100">
        <v>0</v>
      </c>
      <c r="BS214" s="100">
        <v>0</v>
      </c>
      <c r="BT214" s="100">
        <v>0</v>
      </c>
      <c r="BU214" s="100">
        <v>0</v>
      </c>
      <c r="BV214" s="100">
        <v>0</v>
      </c>
      <c r="BW214" s="100">
        <v>0</v>
      </c>
      <c r="BX214" s="100">
        <v>0</v>
      </c>
      <c r="BY214" s="100">
        <v>1</v>
      </c>
      <c r="BZ214" s="100">
        <v>1</v>
      </c>
      <c r="CA214" s="100">
        <v>0</v>
      </c>
      <c r="CB214" s="100" t="s">
        <v>2091</v>
      </c>
      <c r="CC214" s="100">
        <v>0</v>
      </c>
      <c r="CD214" s="100">
        <v>0</v>
      </c>
      <c r="CE214" s="100">
        <v>0</v>
      </c>
      <c r="CF214" s="100">
        <v>0</v>
      </c>
      <c r="CG214" s="103">
        <v>603205.33238000004</v>
      </c>
      <c r="CH214" s="103">
        <v>38.56</v>
      </c>
      <c r="CI214" s="103">
        <v>2788240.2480600001</v>
      </c>
      <c r="CJ214" s="103">
        <v>50.82</v>
      </c>
      <c r="CK214" s="103">
        <f t="shared" si="12"/>
        <v>1959.6192000000001</v>
      </c>
      <c r="CL214" s="103">
        <v>661671.30000000005</v>
      </c>
      <c r="CM214" s="103">
        <v>797352.9</v>
      </c>
      <c r="CN214" s="104">
        <v>0.82983494510398093</v>
      </c>
      <c r="CO214" s="103">
        <v>62044.010179999997</v>
      </c>
      <c r="CP214" s="103">
        <v>3.86</v>
      </c>
      <c r="CQ214" s="103">
        <v>896595.61517</v>
      </c>
      <c r="CR214" s="103">
        <v>18.079999999999998</v>
      </c>
      <c r="CS214" s="103">
        <f t="shared" si="13"/>
        <v>69.788799999999995</v>
      </c>
      <c r="CT214" s="103">
        <v>40813.1</v>
      </c>
      <c r="CU214" s="103">
        <v>307895.90000000002</v>
      </c>
      <c r="CV214" s="104">
        <v>0.13255486675853753</v>
      </c>
      <c r="CW214" s="103">
        <v>0</v>
      </c>
      <c r="CX214" s="103">
        <v>0</v>
      </c>
      <c r="CY214" s="103">
        <v>35989.119729999999</v>
      </c>
      <c r="CZ214" s="103">
        <v>0</v>
      </c>
      <c r="DA214" s="103">
        <f t="shared" si="14"/>
        <v>0</v>
      </c>
      <c r="DB214" s="103">
        <v>20608.099999999999</v>
      </c>
      <c r="DC214" s="103">
        <v>832420.4</v>
      </c>
      <c r="DD214" s="104">
        <v>2.4756841615126202E-2</v>
      </c>
      <c r="DE214" s="103">
        <v>17569.377130000001</v>
      </c>
      <c r="DF214" s="103">
        <v>1.28</v>
      </c>
      <c r="DG214" s="103">
        <v>2801.40148</v>
      </c>
      <c r="DH214" s="103">
        <v>3.18</v>
      </c>
      <c r="DI214" s="103">
        <f t="shared" si="15"/>
        <v>4.0704000000000002</v>
      </c>
      <c r="DJ214" s="103">
        <v>4614.3999999999996</v>
      </c>
      <c r="DK214" s="103">
        <v>538783</v>
      </c>
      <c r="DL214" s="104">
        <v>8.5644870012602462E-3</v>
      </c>
    </row>
    <row r="215" spans="1:116" s="15" customFormat="1" ht="226.7" customHeight="1" x14ac:dyDescent="0.25">
      <c r="A215" s="100" t="s">
        <v>300</v>
      </c>
      <c r="B215" s="100" t="s">
        <v>2541</v>
      </c>
      <c r="C215" s="100" t="s">
        <v>279</v>
      </c>
      <c r="D215" s="101" t="str">
        <f>"Chemistry 77"</f>
        <v>Chemistry 77</v>
      </c>
      <c r="E215" s="102" t="s">
        <v>2016</v>
      </c>
      <c r="F215" s="100">
        <v>11</v>
      </c>
      <c r="G215" s="100">
        <v>7</v>
      </c>
      <c r="H215" s="100">
        <v>0.64</v>
      </c>
      <c r="I215" s="100">
        <v>13</v>
      </c>
      <c r="J215" s="100">
        <v>2</v>
      </c>
      <c r="K215" s="100">
        <v>2</v>
      </c>
      <c r="L215" s="100">
        <v>1</v>
      </c>
      <c r="M215" s="100">
        <v>1</v>
      </c>
      <c r="N215" s="100">
        <v>1</v>
      </c>
      <c r="O215" s="100">
        <v>1</v>
      </c>
      <c r="P215" s="100">
        <v>3.05</v>
      </c>
      <c r="Q215" s="100">
        <v>12.03</v>
      </c>
      <c r="R215" s="100">
        <v>3</v>
      </c>
      <c r="S215" s="100">
        <v>0</v>
      </c>
      <c r="T215" s="100">
        <v>0</v>
      </c>
      <c r="U215" s="100">
        <v>1</v>
      </c>
      <c r="V215" s="100">
        <v>0</v>
      </c>
      <c r="W215" s="100">
        <v>0</v>
      </c>
      <c r="X215" s="100">
        <v>1</v>
      </c>
      <c r="Y215" s="100">
        <v>0</v>
      </c>
      <c r="Z215" s="100">
        <v>1</v>
      </c>
      <c r="AA215" s="100">
        <v>0</v>
      </c>
      <c r="AB215" s="100">
        <v>0</v>
      </c>
      <c r="AC215" s="100">
        <v>1</v>
      </c>
      <c r="AD215" s="100">
        <v>0</v>
      </c>
      <c r="AE215" s="100">
        <v>0</v>
      </c>
      <c r="AF215" s="100">
        <v>0</v>
      </c>
      <c r="AG215" s="100">
        <v>1</v>
      </c>
      <c r="AH215" s="100">
        <v>1</v>
      </c>
      <c r="AI215" s="100">
        <v>0</v>
      </c>
      <c r="AJ215" s="100">
        <v>0</v>
      </c>
      <c r="AK215" s="100">
        <v>1</v>
      </c>
      <c r="AL215" s="100">
        <v>1</v>
      </c>
      <c r="AM215" s="100">
        <v>0</v>
      </c>
      <c r="AN215" s="100">
        <v>1</v>
      </c>
      <c r="AO215" s="100">
        <v>0</v>
      </c>
      <c r="AP215" s="100">
        <v>0</v>
      </c>
      <c r="AQ215" s="100">
        <v>0</v>
      </c>
      <c r="AR215" s="100">
        <v>0</v>
      </c>
      <c r="AS215" s="100">
        <v>0</v>
      </c>
      <c r="AT215" s="100">
        <v>0</v>
      </c>
      <c r="AU215" s="100">
        <v>0</v>
      </c>
      <c r="AV215" s="100">
        <v>0</v>
      </c>
      <c r="AW215" s="100">
        <v>0</v>
      </c>
      <c r="AX215" s="100">
        <v>0</v>
      </c>
      <c r="AY215" s="100">
        <v>0</v>
      </c>
      <c r="AZ215" s="100">
        <v>0</v>
      </c>
      <c r="BA215" s="100">
        <v>0</v>
      </c>
      <c r="BB215" s="100">
        <v>0</v>
      </c>
      <c r="BC215" s="100">
        <v>0</v>
      </c>
      <c r="BD215" s="100">
        <v>0</v>
      </c>
      <c r="BE215" s="100">
        <v>0</v>
      </c>
      <c r="BF215" s="100">
        <v>0</v>
      </c>
      <c r="BG215" s="100">
        <v>0</v>
      </c>
      <c r="BH215" s="100">
        <v>0</v>
      </c>
      <c r="BI215" s="100">
        <v>0</v>
      </c>
      <c r="BJ215" s="100">
        <v>0</v>
      </c>
      <c r="BK215" s="100">
        <v>0</v>
      </c>
      <c r="BL215" s="100">
        <v>0</v>
      </c>
      <c r="BM215" s="100">
        <v>0</v>
      </c>
      <c r="BN215" s="100">
        <v>0</v>
      </c>
      <c r="BO215" s="100">
        <v>0</v>
      </c>
      <c r="BP215" s="100">
        <v>0</v>
      </c>
      <c r="BQ215" s="100">
        <v>0</v>
      </c>
      <c r="BR215" s="100">
        <v>0</v>
      </c>
      <c r="BS215" s="100">
        <v>0</v>
      </c>
      <c r="BT215" s="100">
        <v>0</v>
      </c>
      <c r="BU215" s="100">
        <v>0</v>
      </c>
      <c r="BV215" s="100">
        <v>1</v>
      </c>
      <c r="BW215" s="100">
        <v>1</v>
      </c>
      <c r="BX215" s="100">
        <v>0</v>
      </c>
      <c r="BY215" s="100">
        <v>0</v>
      </c>
      <c r="BZ215" s="100">
        <v>0</v>
      </c>
      <c r="CA215" s="100">
        <v>0</v>
      </c>
      <c r="CB215" s="100" t="s">
        <v>2090</v>
      </c>
      <c r="CC215" s="100">
        <v>0</v>
      </c>
      <c r="CD215" s="100">
        <v>0</v>
      </c>
      <c r="CE215" s="100">
        <v>0</v>
      </c>
      <c r="CF215" s="100">
        <v>0</v>
      </c>
      <c r="CG215" s="103">
        <v>56172.3</v>
      </c>
      <c r="CH215" s="103">
        <v>3.26</v>
      </c>
      <c r="CI215" s="103">
        <v>2251478.7635499998</v>
      </c>
      <c r="CJ215" s="103">
        <v>15.35</v>
      </c>
      <c r="CK215" s="103">
        <f t="shared" si="12"/>
        <v>50.040999999999997</v>
      </c>
      <c r="CL215" s="103">
        <v>303094.2</v>
      </c>
      <c r="CM215" s="103">
        <v>906964.7</v>
      </c>
      <c r="CN215" s="104">
        <v>0.33418522242376142</v>
      </c>
      <c r="CO215" s="103">
        <v>0</v>
      </c>
      <c r="CP215" s="103">
        <v>0</v>
      </c>
      <c r="CQ215" s="103">
        <v>23018.921490000001</v>
      </c>
      <c r="CR215" s="103">
        <v>0</v>
      </c>
      <c r="CS215" s="103">
        <f t="shared" si="13"/>
        <v>0</v>
      </c>
      <c r="CT215" s="103">
        <v>1666.8</v>
      </c>
      <c r="CU215" s="103">
        <v>218973.1</v>
      </c>
      <c r="CV215" s="104">
        <v>7.6118938810292216E-3</v>
      </c>
      <c r="CW215" s="103">
        <v>0</v>
      </c>
      <c r="CX215" s="103">
        <v>0</v>
      </c>
      <c r="CY215" s="103">
        <v>1262677.6375500001</v>
      </c>
      <c r="CZ215" s="103">
        <v>14.250493096646943</v>
      </c>
      <c r="DA215" s="103">
        <f t="shared" si="14"/>
        <v>0</v>
      </c>
      <c r="DB215" s="103">
        <v>350795.8</v>
      </c>
      <c r="DC215" s="103">
        <v>829108</v>
      </c>
      <c r="DD215" s="104">
        <v>0.42310024749489811</v>
      </c>
      <c r="DE215" s="103">
        <v>0</v>
      </c>
      <c r="DF215" s="103">
        <v>0</v>
      </c>
      <c r="DG215" s="103">
        <v>75440.285459999999</v>
      </c>
      <c r="DH215" s="103">
        <v>0.94</v>
      </c>
      <c r="DI215" s="103">
        <f t="shared" si="15"/>
        <v>0</v>
      </c>
      <c r="DJ215" s="103">
        <v>4920.3</v>
      </c>
      <c r="DK215" s="103">
        <v>340797.8</v>
      </c>
      <c r="DL215" s="104">
        <v>1.4437593200425591E-2</v>
      </c>
    </row>
    <row r="216" spans="1:116" s="15" customFormat="1" ht="177.95" customHeight="1" x14ac:dyDescent="0.25">
      <c r="A216" s="100" t="s">
        <v>301</v>
      </c>
      <c r="B216" s="100" t="s">
        <v>2542</v>
      </c>
      <c r="C216" s="100" t="s">
        <v>279</v>
      </c>
      <c r="D216" s="101" t="str">
        <f>"Chemistry 84"</f>
        <v>Chemistry 84</v>
      </c>
      <c r="E216" s="102" t="s">
        <v>2543</v>
      </c>
      <c r="F216" s="100">
        <v>11</v>
      </c>
      <c r="G216" s="100">
        <v>5</v>
      </c>
      <c r="H216" s="100">
        <v>0.45</v>
      </c>
      <c r="I216" s="100">
        <v>13</v>
      </c>
      <c r="J216" s="100">
        <v>2</v>
      </c>
      <c r="K216" s="100">
        <v>2</v>
      </c>
      <c r="L216" s="100">
        <v>2</v>
      </c>
      <c r="M216" s="100">
        <v>1</v>
      </c>
      <c r="N216" s="100">
        <v>2</v>
      </c>
      <c r="O216" s="100">
        <v>1</v>
      </c>
      <c r="P216" s="100">
        <v>1.71</v>
      </c>
      <c r="Q216" s="100">
        <v>15.27</v>
      </c>
      <c r="R216" s="100">
        <v>1</v>
      </c>
      <c r="S216" s="100">
        <v>0</v>
      </c>
      <c r="T216" s="100">
        <v>0</v>
      </c>
      <c r="U216" s="100">
        <v>1</v>
      </c>
      <c r="V216" s="100">
        <v>0</v>
      </c>
      <c r="W216" s="100">
        <v>1</v>
      </c>
      <c r="X216" s="100">
        <v>0</v>
      </c>
      <c r="Y216" s="100">
        <v>0</v>
      </c>
      <c r="Z216" s="100">
        <v>1</v>
      </c>
      <c r="AA216" s="100">
        <v>0</v>
      </c>
      <c r="AB216" s="100">
        <v>0</v>
      </c>
      <c r="AC216" s="100">
        <v>1</v>
      </c>
      <c r="AD216" s="100">
        <v>0</v>
      </c>
      <c r="AE216" s="100">
        <v>0</v>
      </c>
      <c r="AF216" s="100">
        <v>1</v>
      </c>
      <c r="AG216" s="100">
        <v>0</v>
      </c>
      <c r="AH216" s="100">
        <v>1</v>
      </c>
      <c r="AI216" s="100">
        <v>0</v>
      </c>
      <c r="AJ216" s="100">
        <v>0</v>
      </c>
      <c r="AK216" s="100">
        <v>1</v>
      </c>
      <c r="AL216" s="100">
        <v>0</v>
      </c>
      <c r="AM216" s="100">
        <v>1</v>
      </c>
      <c r="AN216" s="100">
        <v>0</v>
      </c>
      <c r="AO216" s="100">
        <v>0</v>
      </c>
      <c r="AP216" s="100">
        <v>0</v>
      </c>
      <c r="AQ216" s="100">
        <v>0</v>
      </c>
      <c r="AR216" s="100">
        <v>0</v>
      </c>
      <c r="AS216" s="100">
        <v>0</v>
      </c>
      <c r="AT216" s="100">
        <v>0</v>
      </c>
      <c r="AU216" s="100">
        <v>0</v>
      </c>
      <c r="AV216" s="100">
        <v>0</v>
      </c>
      <c r="AW216" s="100">
        <v>0</v>
      </c>
      <c r="AX216" s="100">
        <v>0</v>
      </c>
      <c r="AY216" s="100">
        <v>0</v>
      </c>
      <c r="AZ216" s="100">
        <v>0</v>
      </c>
      <c r="BA216" s="100">
        <v>0</v>
      </c>
      <c r="BB216" s="100">
        <v>0</v>
      </c>
      <c r="BC216" s="100">
        <v>0</v>
      </c>
      <c r="BD216" s="100">
        <v>0</v>
      </c>
      <c r="BE216" s="100">
        <v>0</v>
      </c>
      <c r="BF216" s="100">
        <v>0</v>
      </c>
      <c r="BG216" s="100">
        <v>0</v>
      </c>
      <c r="BH216" s="100">
        <v>1</v>
      </c>
      <c r="BI216" s="100">
        <v>0</v>
      </c>
      <c r="BJ216" s="100">
        <v>1</v>
      </c>
      <c r="BK216" s="100">
        <v>0</v>
      </c>
      <c r="BL216" s="100">
        <v>0</v>
      </c>
      <c r="BM216" s="100">
        <v>0</v>
      </c>
      <c r="BN216" s="100">
        <v>0</v>
      </c>
      <c r="BO216" s="100">
        <v>0</v>
      </c>
      <c r="BP216" s="100">
        <v>0</v>
      </c>
      <c r="BQ216" s="100">
        <v>0</v>
      </c>
      <c r="BR216" s="100">
        <v>0</v>
      </c>
      <c r="BS216" s="100">
        <v>0</v>
      </c>
      <c r="BT216" s="100">
        <v>0</v>
      </c>
      <c r="BU216" s="100">
        <v>0</v>
      </c>
      <c r="BV216" s="100">
        <v>0</v>
      </c>
      <c r="BW216" s="100">
        <v>0</v>
      </c>
      <c r="BX216" s="100">
        <v>1</v>
      </c>
      <c r="BY216" s="100">
        <v>0</v>
      </c>
      <c r="BZ216" s="100">
        <v>0</v>
      </c>
      <c r="CA216" s="100">
        <v>0</v>
      </c>
      <c r="CB216" s="100" t="s">
        <v>2090</v>
      </c>
      <c r="CC216" s="100">
        <v>1</v>
      </c>
      <c r="CD216" s="100">
        <v>0</v>
      </c>
      <c r="CE216" s="100">
        <v>0</v>
      </c>
      <c r="CF216" s="100">
        <v>0</v>
      </c>
      <c r="CG216" s="103">
        <v>17427.09706</v>
      </c>
      <c r="CH216" s="103">
        <v>1.19</v>
      </c>
      <c r="CI216" s="103">
        <v>743168.31350000005</v>
      </c>
      <c r="CJ216" s="103">
        <v>10.38</v>
      </c>
      <c r="CK216" s="103">
        <f t="shared" si="12"/>
        <v>12.3522</v>
      </c>
      <c r="CL216" s="103">
        <v>21032.7</v>
      </c>
      <c r="CM216" s="103">
        <v>579509.4</v>
      </c>
      <c r="CN216" s="104">
        <v>3.6293975559326563E-2</v>
      </c>
      <c r="CO216" s="103">
        <v>0</v>
      </c>
      <c r="CP216" s="103">
        <v>0</v>
      </c>
      <c r="CQ216" s="103">
        <v>9340.0837699999993</v>
      </c>
      <c r="CR216" s="103">
        <v>0</v>
      </c>
      <c r="CS216" s="103">
        <f t="shared" si="13"/>
        <v>0</v>
      </c>
      <c r="CT216" s="103">
        <v>6708</v>
      </c>
      <c r="CU216" s="103">
        <v>678932.4</v>
      </c>
      <c r="CV216" s="104">
        <v>9.8802178243371508E-3</v>
      </c>
      <c r="CW216" s="103">
        <v>121537.2043</v>
      </c>
      <c r="CX216" s="103">
        <v>11.88</v>
      </c>
      <c r="CY216" s="103">
        <v>2355002.7460699999</v>
      </c>
      <c r="CZ216" s="103">
        <v>41.485210824417877</v>
      </c>
      <c r="DA216" s="103">
        <f t="shared" si="14"/>
        <v>492.84430459408441</v>
      </c>
      <c r="DB216" s="103">
        <v>24130.400000000001</v>
      </c>
      <c r="DC216" s="103">
        <v>126737.9</v>
      </c>
      <c r="DD216" s="104">
        <v>0.19039608514895703</v>
      </c>
      <c r="DE216" s="103">
        <v>36375.467859999997</v>
      </c>
      <c r="DF216" s="103">
        <v>2.17</v>
      </c>
      <c r="DG216" s="103">
        <v>23385.863840000002</v>
      </c>
      <c r="DH216" s="103">
        <v>0</v>
      </c>
      <c r="DI216" s="103">
        <f t="shared" si="15"/>
        <v>0</v>
      </c>
      <c r="DJ216" s="103">
        <v>1446</v>
      </c>
      <c r="DK216" s="103">
        <v>188699.4</v>
      </c>
      <c r="DL216" s="104">
        <v>7.6629814403225451E-3</v>
      </c>
    </row>
    <row r="217" spans="1:116" s="15" customFormat="1" ht="184.7" customHeight="1" x14ac:dyDescent="0.25">
      <c r="A217" s="100" t="s">
        <v>302</v>
      </c>
      <c r="B217" s="100" t="s">
        <v>2544</v>
      </c>
      <c r="C217" s="100" t="s">
        <v>279</v>
      </c>
      <c r="D217" s="101" t="str">
        <f>"Chemistry 75"</f>
        <v>Chemistry 75</v>
      </c>
      <c r="E217" s="102" t="s">
        <v>2545</v>
      </c>
      <c r="F217" s="100">
        <v>8</v>
      </c>
      <c r="G217" s="100">
        <v>8</v>
      </c>
      <c r="H217" s="100">
        <v>1</v>
      </c>
      <c r="I217" s="100">
        <v>10</v>
      </c>
      <c r="J217" s="100">
        <v>2</v>
      </c>
      <c r="K217" s="100">
        <v>2</v>
      </c>
      <c r="L217" s="100">
        <v>1</v>
      </c>
      <c r="M217" s="100">
        <v>0</v>
      </c>
      <c r="N217" s="100">
        <v>2</v>
      </c>
      <c r="O217" s="100">
        <v>1</v>
      </c>
      <c r="P217" s="100">
        <v>0.32</v>
      </c>
      <c r="Q217" s="100">
        <v>21.26</v>
      </c>
      <c r="R217" s="100">
        <v>0</v>
      </c>
      <c r="S217" s="100">
        <v>0</v>
      </c>
      <c r="T217" s="100">
        <v>0</v>
      </c>
      <c r="U217" s="100">
        <v>1</v>
      </c>
      <c r="V217" s="100">
        <v>0</v>
      </c>
      <c r="W217" s="100">
        <v>0</v>
      </c>
      <c r="X217" s="100">
        <v>1</v>
      </c>
      <c r="Y217" s="100">
        <v>0</v>
      </c>
      <c r="Z217" s="100">
        <v>1</v>
      </c>
      <c r="AA217" s="100">
        <v>0</v>
      </c>
      <c r="AB217" s="100">
        <v>0</v>
      </c>
      <c r="AC217" s="100">
        <v>1</v>
      </c>
      <c r="AD217" s="100">
        <v>0</v>
      </c>
      <c r="AE217" s="100">
        <v>1</v>
      </c>
      <c r="AF217" s="100">
        <v>0</v>
      </c>
      <c r="AG217" s="100">
        <v>0</v>
      </c>
      <c r="AH217" s="100">
        <v>1</v>
      </c>
      <c r="AI217" s="100">
        <v>0</v>
      </c>
      <c r="AJ217" s="100">
        <v>0</v>
      </c>
      <c r="AK217" s="100">
        <v>0</v>
      </c>
      <c r="AL217" s="100">
        <v>0</v>
      </c>
      <c r="AM217" s="100">
        <v>0</v>
      </c>
      <c r="AN217" s="100">
        <v>0</v>
      </c>
      <c r="AO217" s="100">
        <v>0</v>
      </c>
      <c r="AP217" s="100">
        <v>0</v>
      </c>
      <c r="AQ217" s="100">
        <v>0</v>
      </c>
      <c r="AR217" s="100">
        <v>0</v>
      </c>
      <c r="AS217" s="100">
        <v>0</v>
      </c>
      <c r="AT217" s="100">
        <v>0</v>
      </c>
      <c r="AU217" s="100">
        <v>0</v>
      </c>
      <c r="AV217" s="100">
        <v>0</v>
      </c>
      <c r="AW217" s="100">
        <v>0</v>
      </c>
      <c r="AX217" s="100">
        <v>0</v>
      </c>
      <c r="AY217" s="100">
        <v>0</v>
      </c>
      <c r="AZ217" s="100">
        <v>0</v>
      </c>
      <c r="BA217" s="100">
        <v>0</v>
      </c>
      <c r="BB217" s="100">
        <v>0</v>
      </c>
      <c r="BC217" s="100">
        <v>0</v>
      </c>
      <c r="BD217" s="100">
        <v>0</v>
      </c>
      <c r="BE217" s="100">
        <v>0</v>
      </c>
      <c r="BF217" s="100">
        <v>0</v>
      </c>
      <c r="BG217" s="100">
        <v>0</v>
      </c>
      <c r="BH217" s="100">
        <v>0</v>
      </c>
      <c r="BI217" s="100">
        <v>0</v>
      </c>
      <c r="BJ217" s="100">
        <v>0</v>
      </c>
      <c r="BK217" s="100">
        <v>0</v>
      </c>
      <c r="BL217" s="100">
        <v>0</v>
      </c>
      <c r="BM217" s="100">
        <v>0</v>
      </c>
      <c r="BN217" s="100">
        <v>0</v>
      </c>
      <c r="BO217" s="100">
        <v>0</v>
      </c>
      <c r="BP217" s="100">
        <v>0</v>
      </c>
      <c r="BQ217" s="100">
        <v>0</v>
      </c>
      <c r="BR217" s="100">
        <v>0</v>
      </c>
      <c r="BS217" s="100">
        <v>0</v>
      </c>
      <c r="BT217" s="100">
        <v>0</v>
      </c>
      <c r="BU217" s="100">
        <v>0</v>
      </c>
      <c r="BV217" s="100">
        <v>0</v>
      </c>
      <c r="BW217" s="100">
        <v>1</v>
      </c>
      <c r="BX217" s="100">
        <v>0</v>
      </c>
      <c r="BY217" s="100">
        <v>0</v>
      </c>
      <c r="BZ217" s="100">
        <v>1</v>
      </c>
      <c r="CA217" s="100">
        <v>1</v>
      </c>
      <c r="CB217" s="100" t="s">
        <v>2090</v>
      </c>
      <c r="CC217" s="100">
        <v>0</v>
      </c>
      <c r="CD217" s="100">
        <v>0</v>
      </c>
      <c r="CE217" s="100">
        <v>0</v>
      </c>
      <c r="CF217" s="100">
        <v>0</v>
      </c>
      <c r="CG217" s="103">
        <v>96846.993279999995</v>
      </c>
      <c r="CH217" s="103">
        <v>7.23</v>
      </c>
      <c r="CI217" s="103">
        <v>2377925.7958</v>
      </c>
      <c r="CJ217" s="103">
        <v>40.93</v>
      </c>
      <c r="CK217" s="103">
        <f t="shared" si="12"/>
        <v>295.9239</v>
      </c>
      <c r="CL217" s="103">
        <v>438020.4</v>
      </c>
      <c r="CM217" s="103">
        <v>812025.3</v>
      </c>
      <c r="CN217" s="104">
        <v>0.53941718318382448</v>
      </c>
      <c r="CO217" s="103">
        <v>145797.00025000001</v>
      </c>
      <c r="CP217" s="103">
        <v>8.76</v>
      </c>
      <c r="CQ217" s="103">
        <v>2534274.96471</v>
      </c>
      <c r="CR217" s="103">
        <v>33.72</v>
      </c>
      <c r="CS217" s="103">
        <f t="shared" si="13"/>
        <v>295.38720000000001</v>
      </c>
      <c r="CT217" s="103">
        <v>536330.30000000005</v>
      </c>
      <c r="CU217" s="103">
        <v>772278.1</v>
      </c>
      <c r="CV217" s="104">
        <v>0.69447819380091191</v>
      </c>
      <c r="CW217" s="103">
        <v>788714.58803999994</v>
      </c>
      <c r="CX217" s="103">
        <v>60.63</v>
      </c>
      <c r="CY217" s="103">
        <v>4715304.0532900002</v>
      </c>
      <c r="CZ217" s="103">
        <v>71.565017261219779</v>
      </c>
      <c r="DA217" s="103">
        <f t="shared" si="14"/>
        <v>4338.9869965477556</v>
      </c>
      <c r="DB217" s="103">
        <v>1023013</v>
      </c>
      <c r="DC217" s="103">
        <v>576187.69999999995</v>
      </c>
      <c r="DD217" s="104">
        <v>1.775485662050752</v>
      </c>
      <c r="DE217" s="103">
        <v>176546.39460999999</v>
      </c>
      <c r="DF217" s="103">
        <v>10.37</v>
      </c>
      <c r="DG217" s="103">
        <v>3004425.4818500001</v>
      </c>
      <c r="DH217" s="103">
        <v>25.07</v>
      </c>
      <c r="DI217" s="103">
        <f t="shared" si="15"/>
        <v>259.97589999999997</v>
      </c>
      <c r="DJ217" s="103">
        <v>251636.9</v>
      </c>
      <c r="DK217" s="103">
        <v>394933.5</v>
      </c>
      <c r="DL217" s="104">
        <v>0.63716271220344689</v>
      </c>
    </row>
    <row r="218" spans="1:116" s="15" customFormat="1" ht="228.2" customHeight="1" x14ac:dyDescent="0.25">
      <c r="A218" s="100" t="s">
        <v>303</v>
      </c>
      <c r="B218" s="100" t="s">
        <v>2546</v>
      </c>
      <c r="C218" s="100" t="s">
        <v>279</v>
      </c>
      <c r="D218" s="101" t="str">
        <f>"Chemistry 182"</f>
        <v>Chemistry 182</v>
      </c>
      <c r="E218" s="102" t="s">
        <v>2547</v>
      </c>
      <c r="F218" s="100">
        <v>7</v>
      </c>
      <c r="G218" s="100">
        <v>7</v>
      </c>
      <c r="H218" s="100">
        <v>1</v>
      </c>
      <c r="I218" s="100">
        <v>12</v>
      </c>
      <c r="J218" s="100">
        <v>5</v>
      </c>
      <c r="K218" s="100">
        <v>5</v>
      </c>
      <c r="L218" s="100">
        <v>1</v>
      </c>
      <c r="M218" s="100">
        <v>0</v>
      </c>
      <c r="N218" s="100">
        <v>2</v>
      </c>
      <c r="O218" s="100">
        <v>1</v>
      </c>
      <c r="P218" s="100">
        <v>1.04</v>
      </c>
      <c r="Q218" s="100">
        <v>21.26</v>
      </c>
      <c r="R218" s="100">
        <v>3</v>
      </c>
      <c r="S218" s="100">
        <v>0</v>
      </c>
      <c r="T218" s="100">
        <v>0</v>
      </c>
      <c r="U218" s="100">
        <v>1</v>
      </c>
      <c r="V218" s="100">
        <v>0</v>
      </c>
      <c r="W218" s="100">
        <v>0</v>
      </c>
      <c r="X218" s="100">
        <v>1</v>
      </c>
      <c r="Y218" s="100">
        <v>0</v>
      </c>
      <c r="Z218" s="100">
        <v>1</v>
      </c>
      <c r="AA218" s="100">
        <v>0</v>
      </c>
      <c r="AB218" s="100">
        <v>0</v>
      </c>
      <c r="AC218" s="100">
        <v>1</v>
      </c>
      <c r="AD218" s="100">
        <v>0</v>
      </c>
      <c r="AE218" s="100">
        <v>0</v>
      </c>
      <c r="AF218" s="100">
        <v>1</v>
      </c>
      <c r="AG218" s="100">
        <v>0</v>
      </c>
      <c r="AH218" s="100">
        <v>1</v>
      </c>
      <c r="AI218" s="100">
        <v>0</v>
      </c>
      <c r="AJ218" s="100">
        <v>0</v>
      </c>
      <c r="AK218" s="100">
        <v>0</v>
      </c>
      <c r="AL218" s="100">
        <v>0</v>
      </c>
      <c r="AM218" s="100">
        <v>0</v>
      </c>
      <c r="AN218" s="100">
        <v>0</v>
      </c>
      <c r="AO218" s="100">
        <v>0</v>
      </c>
      <c r="AP218" s="100">
        <v>0</v>
      </c>
      <c r="AQ218" s="100">
        <v>0</v>
      </c>
      <c r="AR218" s="100">
        <v>0</v>
      </c>
      <c r="AS218" s="100">
        <v>0</v>
      </c>
      <c r="AT218" s="100">
        <v>0</v>
      </c>
      <c r="AU218" s="100">
        <v>0</v>
      </c>
      <c r="AV218" s="100">
        <v>0</v>
      </c>
      <c r="AW218" s="100">
        <v>0</v>
      </c>
      <c r="AX218" s="100">
        <v>0</v>
      </c>
      <c r="AY218" s="100">
        <v>0</v>
      </c>
      <c r="AZ218" s="100">
        <v>0</v>
      </c>
      <c r="BA218" s="100">
        <v>0</v>
      </c>
      <c r="BB218" s="100">
        <v>0</v>
      </c>
      <c r="BC218" s="100">
        <v>0</v>
      </c>
      <c r="BD218" s="100">
        <v>0</v>
      </c>
      <c r="BE218" s="100">
        <v>0</v>
      </c>
      <c r="BF218" s="100">
        <v>0</v>
      </c>
      <c r="BG218" s="100">
        <v>0</v>
      </c>
      <c r="BH218" s="100">
        <v>0</v>
      </c>
      <c r="BI218" s="100">
        <v>0</v>
      </c>
      <c r="BJ218" s="100">
        <v>0</v>
      </c>
      <c r="BK218" s="100">
        <v>0</v>
      </c>
      <c r="BL218" s="100">
        <v>0</v>
      </c>
      <c r="BM218" s="100">
        <v>0</v>
      </c>
      <c r="BN218" s="100">
        <v>0</v>
      </c>
      <c r="BO218" s="100">
        <v>0</v>
      </c>
      <c r="BP218" s="100">
        <v>0</v>
      </c>
      <c r="BQ218" s="100">
        <v>0</v>
      </c>
      <c r="BR218" s="100">
        <v>0</v>
      </c>
      <c r="BS218" s="100">
        <v>0</v>
      </c>
      <c r="BT218" s="100">
        <v>0</v>
      </c>
      <c r="BU218" s="100">
        <v>0</v>
      </c>
      <c r="BV218" s="100">
        <v>0</v>
      </c>
      <c r="BW218" s="100">
        <v>1</v>
      </c>
      <c r="BX218" s="100">
        <v>0</v>
      </c>
      <c r="BY218" s="100">
        <v>0</v>
      </c>
      <c r="BZ218" s="100">
        <v>1</v>
      </c>
      <c r="CA218" s="100">
        <v>0</v>
      </c>
      <c r="CB218" s="100" t="s">
        <v>2090</v>
      </c>
      <c r="CC218" s="100">
        <v>0</v>
      </c>
      <c r="CD218" s="100">
        <v>0</v>
      </c>
      <c r="CE218" s="100">
        <v>0</v>
      </c>
      <c r="CF218" s="100">
        <v>0</v>
      </c>
      <c r="CG218" s="103">
        <v>285114.42897000001</v>
      </c>
      <c r="CH218" s="103">
        <v>19.989999999999998</v>
      </c>
      <c r="CI218" s="103">
        <v>3680468.7115600002</v>
      </c>
      <c r="CJ218" s="103">
        <v>39.119999999999997</v>
      </c>
      <c r="CK218" s="103">
        <f t="shared" si="12"/>
        <v>782.00879999999984</v>
      </c>
      <c r="CL218" s="103">
        <v>130891.5</v>
      </c>
      <c r="CM218" s="103">
        <v>328931.8</v>
      </c>
      <c r="CN218" s="104">
        <v>0.39792899318338942</v>
      </c>
      <c r="CO218" s="103">
        <v>1030920.2497</v>
      </c>
      <c r="CP218" s="103">
        <v>66.400000000000006</v>
      </c>
      <c r="CQ218" s="103">
        <v>4150259.2214700002</v>
      </c>
      <c r="CR218" s="103">
        <v>67.59</v>
      </c>
      <c r="CS218" s="103">
        <f t="shared" si="13"/>
        <v>4487.9760000000006</v>
      </c>
      <c r="CT218" s="103">
        <v>416504.5</v>
      </c>
      <c r="CU218" s="103">
        <v>627521.69999999995</v>
      </c>
      <c r="CV218" s="104">
        <v>0.66372923836737441</v>
      </c>
      <c r="CW218" s="103">
        <v>0</v>
      </c>
      <c r="CX218" s="103">
        <v>0</v>
      </c>
      <c r="CY218" s="103">
        <v>2859.9675200000001</v>
      </c>
      <c r="CZ218" s="103">
        <v>6.0469157254561248</v>
      </c>
      <c r="DA218" s="103">
        <f t="shared" si="14"/>
        <v>0</v>
      </c>
      <c r="DB218" s="103">
        <v>5440.7</v>
      </c>
      <c r="DC218" s="103">
        <v>502749.9</v>
      </c>
      <c r="DD218" s="104">
        <v>1.0821881814397178E-2</v>
      </c>
      <c r="DE218" s="103">
        <v>542042.13058</v>
      </c>
      <c r="DF218" s="103">
        <v>28.85</v>
      </c>
      <c r="DG218" s="103">
        <v>5023358.71227</v>
      </c>
      <c r="DH218" s="103">
        <v>25.94</v>
      </c>
      <c r="DI218" s="103">
        <f t="shared" si="15"/>
        <v>748.36900000000003</v>
      </c>
      <c r="DJ218" s="103">
        <v>404399.8</v>
      </c>
      <c r="DK218" s="103">
        <v>390690.8</v>
      </c>
      <c r="DL218" s="104">
        <v>1.0350891293063467</v>
      </c>
    </row>
    <row r="219" spans="1:116" s="15" customFormat="1" ht="265.7" customHeight="1" x14ac:dyDescent="0.25">
      <c r="A219" s="100" t="s">
        <v>304</v>
      </c>
      <c r="B219" s="100" t="s">
        <v>2548</v>
      </c>
      <c r="C219" s="100" t="s">
        <v>279</v>
      </c>
      <c r="D219" s="101" t="str">
        <f>"Chemistry 2"</f>
        <v>Chemistry 2</v>
      </c>
      <c r="E219" s="102" t="s">
        <v>2549</v>
      </c>
      <c r="F219" s="100">
        <v>19</v>
      </c>
      <c r="G219" s="100">
        <v>10</v>
      </c>
      <c r="H219" s="100">
        <v>0.53</v>
      </c>
      <c r="I219" s="100">
        <v>23</v>
      </c>
      <c r="J219" s="100">
        <v>4</v>
      </c>
      <c r="K219" s="100">
        <v>4</v>
      </c>
      <c r="L219" s="100">
        <v>2</v>
      </c>
      <c r="M219" s="100">
        <v>2</v>
      </c>
      <c r="N219" s="100">
        <v>3</v>
      </c>
      <c r="O219" s="100">
        <v>1</v>
      </c>
      <c r="P219" s="100">
        <v>4.71</v>
      </c>
      <c r="Q219" s="100">
        <v>43.26</v>
      </c>
      <c r="R219" s="100">
        <v>4</v>
      </c>
      <c r="S219" s="100">
        <v>1</v>
      </c>
      <c r="T219" s="100">
        <v>0</v>
      </c>
      <c r="U219" s="100">
        <v>0</v>
      </c>
      <c r="V219" s="100">
        <v>0</v>
      </c>
      <c r="W219" s="100">
        <v>1</v>
      </c>
      <c r="X219" s="100">
        <v>0</v>
      </c>
      <c r="Y219" s="100">
        <v>0</v>
      </c>
      <c r="Z219" s="100">
        <v>1</v>
      </c>
      <c r="AA219" s="100">
        <v>0</v>
      </c>
      <c r="AB219" s="100">
        <v>0</v>
      </c>
      <c r="AC219" s="100">
        <v>1</v>
      </c>
      <c r="AD219" s="100">
        <v>0</v>
      </c>
      <c r="AE219" s="100">
        <v>0</v>
      </c>
      <c r="AF219" s="100">
        <v>0</v>
      </c>
      <c r="AG219" s="100">
        <v>1</v>
      </c>
      <c r="AH219" s="100">
        <v>0</v>
      </c>
      <c r="AI219" s="100">
        <v>1</v>
      </c>
      <c r="AJ219" s="100">
        <v>0</v>
      </c>
      <c r="AK219" s="100">
        <v>1</v>
      </c>
      <c r="AL219" s="100">
        <v>0</v>
      </c>
      <c r="AM219" s="100">
        <v>1</v>
      </c>
      <c r="AN219" s="100">
        <v>1</v>
      </c>
      <c r="AO219" s="100">
        <v>0</v>
      </c>
      <c r="AP219" s="100">
        <v>0</v>
      </c>
      <c r="AQ219" s="100">
        <v>0</v>
      </c>
      <c r="AR219" s="100">
        <v>0</v>
      </c>
      <c r="AS219" s="100">
        <v>0</v>
      </c>
      <c r="AT219" s="100">
        <v>0</v>
      </c>
      <c r="AU219" s="100">
        <v>0</v>
      </c>
      <c r="AV219" s="100">
        <v>1</v>
      </c>
      <c r="AW219" s="100">
        <v>0</v>
      </c>
      <c r="AX219" s="100">
        <v>0</v>
      </c>
      <c r="AY219" s="100">
        <v>0</v>
      </c>
      <c r="AZ219" s="100">
        <v>0</v>
      </c>
      <c r="BA219" s="100">
        <v>0</v>
      </c>
      <c r="BB219" s="100">
        <v>0</v>
      </c>
      <c r="BC219" s="100">
        <v>0</v>
      </c>
      <c r="BD219" s="100">
        <v>0</v>
      </c>
      <c r="BE219" s="100">
        <v>0</v>
      </c>
      <c r="BF219" s="100">
        <v>0</v>
      </c>
      <c r="BG219" s="100">
        <v>0</v>
      </c>
      <c r="BH219" s="100">
        <v>0</v>
      </c>
      <c r="BI219" s="100">
        <v>0</v>
      </c>
      <c r="BJ219" s="100">
        <v>1</v>
      </c>
      <c r="BK219" s="100">
        <v>0</v>
      </c>
      <c r="BL219" s="100">
        <v>0</v>
      </c>
      <c r="BM219" s="100">
        <v>0</v>
      </c>
      <c r="BN219" s="100">
        <v>0</v>
      </c>
      <c r="BO219" s="100">
        <v>0</v>
      </c>
      <c r="BP219" s="100">
        <v>0</v>
      </c>
      <c r="BQ219" s="100">
        <v>0</v>
      </c>
      <c r="BR219" s="100">
        <v>0</v>
      </c>
      <c r="BS219" s="100">
        <v>0</v>
      </c>
      <c r="BT219" s="100">
        <v>0</v>
      </c>
      <c r="BU219" s="100">
        <v>0</v>
      </c>
      <c r="BV219" s="100">
        <v>1</v>
      </c>
      <c r="BW219" s="100">
        <v>1</v>
      </c>
      <c r="BX219" s="100">
        <v>0</v>
      </c>
      <c r="BY219" s="100">
        <v>0</v>
      </c>
      <c r="BZ219" s="100">
        <v>0</v>
      </c>
      <c r="CA219" s="100">
        <v>0</v>
      </c>
      <c r="CB219" s="100" t="s">
        <v>2090</v>
      </c>
      <c r="CC219" s="100">
        <v>0</v>
      </c>
      <c r="CD219" s="100">
        <v>0</v>
      </c>
      <c r="CE219" s="100">
        <v>0</v>
      </c>
      <c r="CF219" s="100">
        <v>0</v>
      </c>
      <c r="CG219" s="103">
        <v>24608.947260000001</v>
      </c>
      <c r="CH219" s="103">
        <v>1.03</v>
      </c>
      <c r="CI219" s="103">
        <v>912512.33542999998</v>
      </c>
      <c r="CJ219" s="103">
        <v>5.53</v>
      </c>
      <c r="CK219" s="103">
        <f t="shared" si="12"/>
        <v>5.6959</v>
      </c>
      <c r="CL219" s="103">
        <v>17031</v>
      </c>
      <c r="CM219" s="103">
        <v>906904.2</v>
      </c>
      <c r="CN219" s="104">
        <v>1.8779271283560051E-2</v>
      </c>
      <c r="CO219" s="103">
        <v>0</v>
      </c>
      <c r="CP219" s="103">
        <v>0</v>
      </c>
      <c r="CQ219" s="103">
        <v>78043.012040000001</v>
      </c>
      <c r="CR219" s="103">
        <v>0</v>
      </c>
      <c r="CS219" s="103">
        <f t="shared" si="13"/>
        <v>0</v>
      </c>
      <c r="CT219" s="103">
        <v>3411.3</v>
      </c>
      <c r="CU219" s="103">
        <v>347305.6</v>
      </c>
      <c r="CV219" s="104">
        <v>9.8221854182598857E-3</v>
      </c>
      <c r="CW219" s="103">
        <v>38870.816760000002</v>
      </c>
      <c r="CX219" s="103">
        <v>2.15</v>
      </c>
      <c r="CY219" s="103">
        <v>794712.46236999996</v>
      </c>
      <c r="CZ219" s="103">
        <v>15.915150110119395</v>
      </c>
      <c r="DA219" s="103">
        <f t="shared" si="14"/>
        <v>34.217572736756701</v>
      </c>
      <c r="DB219" s="103">
        <v>3301.4</v>
      </c>
      <c r="DC219" s="103">
        <v>162845.6</v>
      </c>
      <c r="DD219" s="104">
        <v>2.0273191292856547E-2</v>
      </c>
      <c r="DE219" s="103">
        <v>17665.82878</v>
      </c>
      <c r="DF219" s="103">
        <v>0.65</v>
      </c>
      <c r="DG219" s="103">
        <v>126759.26523999999</v>
      </c>
      <c r="DH219" s="103">
        <v>0.72</v>
      </c>
      <c r="DI219" s="103">
        <f t="shared" si="15"/>
        <v>0.46799999999999997</v>
      </c>
      <c r="DJ219" s="103">
        <v>5412.4</v>
      </c>
      <c r="DK219" s="103">
        <v>486587</v>
      </c>
      <c r="DL219" s="104">
        <v>1.1123190714096348E-2</v>
      </c>
    </row>
    <row r="220" spans="1:116" s="15" customFormat="1" ht="197.45" customHeight="1" x14ac:dyDescent="0.25">
      <c r="A220" s="100" t="s">
        <v>305</v>
      </c>
      <c r="B220" s="100" t="s">
        <v>2550</v>
      </c>
      <c r="C220" s="100" t="s">
        <v>279</v>
      </c>
      <c r="D220" s="101" t="str">
        <f>"Chemistry 110"</f>
        <v>Chemistry 110</v>
      </c>
      <c r="E220" s="102" t="s">
        <v>2551</v>
      </c>
      <c r="F220" s="100">
        <v>21</v>
      </c>
      <c r="G220" s="100">
        <v>14</v>
      </c>
      <c r="H220" s="100">
        <v>0.67</v>
      </c>
      <c r="I220" s="100">
        <v>29</v>
      </c>
      <c r="J220" s="100">
        <v>8</v>
      </c>
      <c r="K220" s="100">
        <v>8</v>
      </c>
      <c r="L220" s="100">
        <v>4</v>
      </c>
      <c r="M220" s="100">
        <v>1</v>
      </c>
      <c r="N220" s="100">
        <v>5</v>
      </c>
      <c r="O220" s="100">
        <v>4</v>
      </c>
      <c r="P220" s="100">
        <v>3.03</v>
      </c>
      <c r="Q220" s="100">
        <v>103.31</v>
      </c>
      <c r="R220" s="100">
        <v>6</v>
      </c>
      <c r="S220" s="100">
        <v>1</v>
      </c>
      <c r="T220" s="100">
        <v>0</v>
      </c>
      <c r="U220" s="100">
        <v>0</v>
      </c>
      <c r="V220" s="100">
        <v>1</v>
      </c>
      <c r="W220" s="100">
        <v>0</v>
      </c>
      <c r="X220" s="100">
        <v>0</v>
      </c>
      <c r="Y220" s="100">
        <v>1</v>
      </c>
      <c r="Z220" s="100">
        <v>0</v>
      </c>
      <c r="AA220" s="100">
        <v>0</v>
      </c>
      <c r="AB220" s="100">
        <v>1</v>
      </c>
      <c r="AC220" s="100">
        <v>0</v>
      </c>
      <c r="AD220" s="100">
        <v>0</v>
      </c>
      <c r="AE220" s="100">
        <v>0</v>
      </c>
      <c r="AF220" s="100">
        <v>0</v>
      </c>
      <c r="AG220" s="100">
        <v>1</v>
      </c>
      <c r="AH220" s="100">
        <v>0</v>
      </c>
      <c r="AI220" s="100">
        <v>0</v>
      </c>
      <c r="AJ220" s="100">
        <v>1</v>
      </c>
      <c r="AK220" s="100">
        <v>0</v>
      </c>
      <c r="AL220" s="100">
        <v>0</v>
      </c>
      <c r="AM220" s="100">
        <v>0</v>
      </c>
      <c r="AN220" s="100">
        <v>0</v>
      </c>
      <c r="AO220" s="100">
        <v>0</v>
      </c>
      <c r="AP220" s="100">
        <v>0</v>
      </c>
      <c r="AQ220" s="100">
        <v>0</v>
      </c>
      <c r="AR220" s="100">
        <v>0</v>
      </c>
      <c r="AS220" s="100">
        <v>0</v>
      </c>
      <c r="AT220" s="100">
        <v>0</v>
      </c>
      <c r="AU220" s="100">
        <v>0</v>
      </c>
      <c r="AV220" s="100">
        <v>0</v>
      </c>
      <c r="AW220" s="100">
        <v>0</v>
      </c>
      <c r="AX220" s="100">
        <v>0</v>
      </c>
      <c r="AY220" s="100">
        <v>1</v>
      </c>
      <c r="AZ220" s="100">
        <v>0</v>
      </c>
      <c r="BA220" s="100">
        <v>0</v>
      </c>
      <c r="BB220" s="100">
        <v>0</v>
      </c>
      <c r="BC220" s="100">
        <v>0</v>
      </c>
      <c r="BD220" s="100">
        <v>0</v>
      </c>
      <c r="BE220" s="100">
        <v>0</v>
      </c>
      <c r="BF220" s="100">
        <v>1</v>
      </c>
      <c r="BG220" s="100">
        <v>0</v>
      </c>
      <c r="BH220" s="100">
        <v>0</v>
      </c>
      <c r="BI220" s="100">
        <v>0</v>
      </c>
      <c r="BJ220" s="100">
        <v>2</v>
      </c>
      <c r="BK220" s="100">
        <v>0</v>
      </c>
      <c r="BL220" s="100">
        <v>0</v>
      </c>
      <c r="BM220" s="100">
        <v>0</v>
      </c>
      <c r="BN220" s="100">
        <v>0</v>
      </c>
      <c r="BO220" s="100">
        <v>0</v>
      </c>
      <c r="BP220" s="100">
        <v>0</v>
      </c>
      <c r="BQ220" s="100">
        <v>0</v>
      </c>
      <c r="BR220" s="100">
        <v>0</v>
      </c>
      <c r="BS220" s="100">
        <v>0</v>
      </c>
      <c r="BT220" s="100">
        <v>0</v>
      </c>
      <c r="BU220" s="100">
        <v>0</v>
      </c>
      <c r="BV220" s="100">
        <v>0</v>
      </c>
      <c r="BW220" s="100">
        <v>1</v>
      </c>
      <c r="BX220" s="100">
        <v>0</v>
      </c>
      <c r="BY220" s="100">
        <v>0</v>
      </c>
      <c r="BZ220" s="100">
        <v>1</v>
      </c>
      <c r="CA220" s="100">
        <v>0</v>
      </c>
      <c r="CB220" s="100" t="s">
        <v>2090</v>
      </c>
      <c r="CC220" s="100">
        <v>0</v>
      </c>
      <c r="CD220" s="100">
        <v>0</v>
      </c>
      <c r="CE220" s="100">
        <v>0</v>
      </c>
      <c r="CF220" s="100">
        <v>0</v>
      </c>
      <c r="CG220" s="103">
        <v>498639.58708999999</v>
      </c>
      <c r="CH220" s="103">
        <v>20.3</v>
      </c>
      <c r="CI220" s="103">
        <v>2113604.7326600002</v>
      </c>
      <c r="CJ220" s="103">
        <v>20.62</v>
      </c>
      <c r="CK220" s="103">
        <f t="shared" si="12"/>
        <v>418.58600000000001</v>
      </c>
      <c r="CL220" s="103">
        <v>557347.19999999995</v>
      </c>
      <c r="CM220" s="103">
        <v>1017624.5</v>
      </c>
      <c r="CN220" s="104">
        <v>0.54769436073915279</v>
      </c>
      <c r="CO220" s="103">
        <v>51033.312879999998</v>
      </c>
      <c r="CP220" s="103">
        <v>1.55</v>
      </c>
      <c r="CQ220" s="103">
        <v>591298.69735000003</v>
      </c>
      <c r="CR220" s="103">
        <v>5</v>
      </c>
      <c r="CS220" s="103">
        <f t="shared" si="13"/>
        <v>7.75</v>
      </c>
      <c r="CT220" s="103">
        <v>103153.60000000001</v>
      </c>
      <c r="CU220" s="103">
        <v>654418.9</v>
      </c>
      <c r="CV220" s="104">
        <v>0.15762625437621072</v>
      </c>
      <c r="CW220" s="103">
        <v>70810.813250000007</v>
      </c>
      <c r="CX220" s="103">
        <v>3.15</v>
      </c>
      <c r="CY220" s="103">
        <v>778009.74731999997</v>
      </c>
      <c r="CZ220" s="103">
        <v>9.4269202985793399</v>
      </c>
      <c r="DA220" s="103">
        <f t="shared" si="14"/>
        <v>29.694798940524919</v>
      </c>
      <c r="DB220" s="103">
        <v>151850.20000000001</v>
      </c>
      <c r="DC220" s="103">
        <v>706622.6</v>
      </c>
      <c r="DD220" s="104">
        <v>0.21489575906573044</v>
      </c>
      <c r="DE220" s="103">
        <v>123274.3826</v>
      </c>
      <c r="DF220" s="103">
        <v>5.22</v>
      </c>
      <c r="DG220" s="103">
        <v>907053.99503999995</v>
      </c>
      <c r="DH220" s="103">
        <v>8.8000000000000007</v>
      </c>
      <c r="DI220" s="103">
        <f t="shared" si="15"/>
        <v>45.936</v>
      </c>
      <c r="DJ220" s="103">
        <v>31088.1</v>
      </c>
      <c r="DK220" s="103">
        <v>333426.90000000002</v>
      </c>
      <c r="DL220" s="104">
        <v>9.3238128057454267E-2</v>
      </c>
    </row>
    <row r="221" spans="1:116" s="15" customFormat="1" ht="239.45" customHeight="1" x14ac:dyDescent="0.25">
      <c r="A221" s="100" t="s">
        <v>306</v>
      </c>
      <c r="B221" s="100" t="s">
        <v>2552</v>
      </c>
      <c r="C221" s="100" t="s">
        <v>279</v>
      </c>
      <c r="D221" s="101" t="str">
        <f>"Chemistry 117"</f>
        <v>Chemistry 117</v>
      </c>
      <c r="E221" s="102" t="s">
        <v>2553</v>
      </c>
      <c r="F221" s="100">
        <v>13</v>
      </c>
      <c r="G221" s="100">
        <v>6</v>
      </c>
      <c r="H221" s="100">
        <v>0.46</v>
      </c>
      <c r="I221" s="100">
        <v>17</v>
      </c>
      <c r="J221" s="100">
        <v>4</v>
      </c>
      <c r="K221" s="100">
        <v>4</v>
      </c>
      <c r="L221" s="100">
        <v>2</v>
      </c>
      <c r="M221" s="100">
        <v>1</v>
      </c>
      <c r="N221" s="100">
        <v>3</v>
      </c>
      <c r="O221" s="100">
        <v>1</v>
      </c>
      <c r="P221" s="100">
        <v>2.5299999999999998</v>
      </c>
      <c r="Q221" s="100">
        <v>41.57</v>
      </c>
      <c r="R221" s="100">
        <v>3</v>
      </c>
      <c r="S221" s="100">
        <v>0</v>
      </c>
      <c r="T221" s="100">
        <v>1</v>
      </c>
      <c r="U221" s="100">
        <v>0</v>
      </c>
      <c r="V221" s="100">
        <v>0</v>
      </c>
      <c r="W221" s="100">
        <v>1</v>
      </c>
      <c r="X221" s="100">
        <v>0</v>
      </c>
      <c r="Y221" s="100">
        <v>0</v>
      </c>
      <c r="Z221" s="100">
        <v>1</v>
      </c>
      <c r="AA221" s="100">
        <v>0</v>
      </c>
      <c r="AB221" s="100">
        <v>0</v>
      </c>
      <c r="AC221" s="100">
        <v>1</v>
      </c>
      <c r="AD221" s="100">
        <v>0</v>
      </c>
      <c r="AE221" s="100">
        <v>0</v>
      </c>
      <c r="AF221" s="100">
        <v>0</v>
      </c>
      <c r="AG221" s="100">
        <v>1</v>
      </c>
      <c r="AH221" s="100">
        <v>0</v>
      </c>
      <c r="AI221" s="100">
        <v>1</v>
      </c>
      <c r="AJ221" s="100">
        <v>0</v>
      </c>
      <c r="AK221" s="100">
        <v>0</v>
      </c>
      <c r="AL221" s="100">
        <v>0</v>
      </c>
      <c r="AM221" s="100">
        <v>0</v>
      </c>
      <c r="AN221" s="100">
        <v>0</v>
      </c>
      <c r="AO221" s="100">
        <v>0</v>
      </c>
      <c r="AP221" s="100">
        <v>0</v>
      </c>
      <c r="AQ221" s="100">
        <v>0</v>
      </c>
      <c r="AR221" s="100">
        <v>0</v>
      </c>
      <c r="AS221" s="100">
        <v>0</v>
      </c>
      <c r="AT221" s="100">
        <v>0</v>
      </c>
      <c r="AU221" s="100">
        <v>0</v>
      </c>
      <c r="AV221" s="100">
        <v>1</v>
      </c>
      <c r="AW221" s="100">
        <v>0</v>
      </c>
      <c r="AX221" s="100">
        <v>0</v>
      </c>
      <c r="AY221" s="100">
        <v>0</v>
      </c>
      <c r="AZ221" s="100">
        <v>0</v>
      </c>
      <c r="BA221" s="100">
        <v>0</v>
      </c>
      <c r="BB221" s="100">
        <v>0</v>
      </c>
      <c r="BC221" s="100">
        <v>0</v>
      </c>
      <c r="BD221" s="100">
        <v>0</v>
      </c>
      <c r="BE221" s="100">
        <v>0</v>
      </c>
      <c r="BF221" s="100">
        <v>0</v>
      </c>
      <c r="BG221" s="100">
        <v>0</v>
      </c>
      <c r="BH221" s="100">
        <v>0</v>
      </c>
      <c r="BI221" s="100">
        <v>0</v>
      </c>
      <c r="BJ221" s="100">
        <v>1</v>
      </c>
      <c r="BK221" s="100">
        <v>0</v>
      </c>
      <c r="BL221" s="100">
        <v>0</v>
      </c>
      <c r="BM221" s="100">
        <v>0</v>
      </c>
      <c r="BN221" s="100">
        <v>0</v>
      </c>
      <c r="BO221" s="100">
        <v>0</v>
      </c>
      <c r="BP221" s="100">
        <v>0</v>
      </c>
      <c r="BQ221" s="100">
        <v>0</v>
      </c>
      <c r="BR221" s="100">
        <v>0</v>
      </c>
      <c r="BS221" s="100">
        <v>0</v>
      </c>
      <c r="BT221" s="100">
        <v>0</v>
      </c>
      <c r="BU221" s="100">
        <v>0</v>
      </c>
      <c r="BV221" s="100">
        <v>0</v>
      </c>
      <c r="BW221" s="100">
        <v>0</v>
      </c>
      <c r="BX221" s="100">
        <v>1</v>
      </c>
      <c r="BY221" s="100">
        <v>0</v>
      </c>
      <c r="BZ221" s="100">
        <v>1</v>
      </c>
      <c r="CA221" s="100">
        <v>0</v>
      </c>
      <c r="CB221" s="100" t="s">
        <v>2091</v>
      </c>
      <c r="CC221" s="100">
        <v>0</v>
      </c>
      <c r="CD221" s="100">
        <v>1</v>
      </c>
      <c r="CE221" s="100">
        <v>0</v>
      </c>
      <c r="CF221" s="100">
        <v>0</v>
      </c>
      <c r="CG221" s="103">
        <v>105448.77637000001</v>
      </c>
      <c r="CH221" s="103">
        <v>7.16</v>
      </c>
      <c r="CI221" s="103">
        <v>1803429.3716500001</v>
      </c>
      <c r="CJ221" s="103">
        <v>20.010000000000002</v>
      </c>
      <c r="CK221" s="103">
        <f t="shared" si="12"/>
        <v>143.27160000000001</v>
      </c>
      <c r="CL221" s="103">
        <v>587819.9</v>
      </c>
      <c r="CM221" s="103">
        <v>1025970.6</v>
      </c>
      <c r="CN221" s="104">
        <v>0.57294029672975033</v>
      </c>
      <c r="CO221" s="103">
        <v>143925.12294</v>
      </c>
      <c r="CP221" s="103">
        <v>7.43</v>
      </c>
      <c r="CQ221" s="103">
        <v>2324851.0468100002</v>
      </c>
      <c r="CR221" s="103">
        <v>21.32</v>
      </c>
      <c r="CS221" s="103">
        <f t="shared" si="13"/>
        <v>158.4076</v>
      </c>
      <c r="CT221" s="103">
        <v>668886.6</v>
      </c>
      <c r="CU221" s="103">
        <v>957787.7</v>
      </c>
      <c r="CV221" s="104">
        <v>0.69836624546337356</v>
      </c>
      <c r="CW221" s="103">
        <v>1515501.09094</v>
      </c>
      <c r="CX221" s="103">
        <v>88.76</v>
      </c>
      <c r="CY221" s="103">
        <v>4513581.1507599996</v>
      </c>
      <c r="CZ221" s="103">
        <v>64.26353915143153</v>
      </c>
      <c r="DA221" s="103">
        <f t="shared" si="14"/>
        <v>5704.0317350810628</v>
      </c>
      <c r="DB221" s="103">
        <v>487820.4</v>
      </c>
      <c r="DC221" s="103">
        <v>213907.8</v>
      </c>
      <c r="DD221" s="104">
        <v>2.2805171199928194</v>
      </c>
      <c r="DE221" s="103">
        <v>370232.70214000001</v>
      </c>
      <c r="DF221" s="103">
        <v>20.63</v>
      </c>
      <c r="DG221" s="103">
        <v>3148586.0375199998</v>
      </c>
      <c r="DH221" s="103">
        <v>26.22</v>
      </c>
      <c r="DI221" s="103">
        <f t="shared" si="15"/>
        <v>540.91859999999997</v>
      </c>
      <c r="DJ221" s="103">
        <v>421360</v>
      </c>
      <c r="DK221" s="103">
        <v>473431.6</v>
      </c>
      <c r="DL221" s="104">
        <v>0.89001241150780819</v>
      </c>
    </row>
    <row r="222" spans="1:116" s="15" customFormat="1" ht="160.69999999999999" customHeight="1" x14ac:dyDescent="0.25">
      <c r="A222" s="100" t="s">
        <v>307</v>
      </c>
      <c r="B222" s="100" t="s">
        <v>2554</v>
      </c>
      <c r="C222" s="100" t="s">
        <v>279</v>
      </c>
      <c r="D222" s="115" t="str">
        <f>"Chemistry 28"</f>
        <v>Chemistry 28</v>
      </c>
      <c r="E222" s="102" t="s">
        <v>2555</v>
      </c>
      <c r="F222" s="100">
        <v>13</v>
      </c>
      <c r="G222" s="100">
        <v>7</v>
      </c>
      <c r="H222" s="100">
        <v>0.54</v>
      </c>
      <c r="I222" s="100">
        <v>15</v>
      </c>
      <c r="J222" s="100">
        <v>2</v>
      </c>
      <c r="K222" s="100">
        <v>2</v>
      </c>
      <c r="L222" s="100">
        <v>2</v>
      </c>
      <c r="M222" s="100">
        <v>1</v>
      </c>
      <c r="N222" s="100">
        <v>2</v>
      </c>
      <c r="O222" s="100">
        <v>1</v>
      </c>
      <c r="P222" s="100">
        <v>2.19</v>
      </c>
      <c r="Q222" s="100">
        <v>15.27</v>
      </c>
      <c r="R222" s="100">
        <v>2</v>
      </c>
      <c r="S222" s="100">
        <v>0</v>
      </c>
      <c r="T222" s="100">
        <v>1</v>
      </c>
      <c r="U222" s="100">
        <v>0</v>
      </c>
      <c r="V222" s="100">
        <v>0</v>
      </c>
      <c r="W222" s="100">
        <v>1</v>
      </c>
      <c r="X222" s="100">
        <v>0</v>
      </c>
      <c r="Y222" s="100">
        <v>0</v>
      </c>
      <c r="Z222" s="100">
        <v>1</v>
      </c>
      <c r="AA222" s="100">
        <v>0</v>
      </c>
      <c r="AB222" s="100">
        <v>0</v>
      </c>
      <c r="AC222" s="100">
        <v>1</v>
      </c>
      <c r="AD222" s="100">
        <v>0</v>
      </c>
      <c r="AE222" s="100">
        <v>0</v>
      </c>
      <c r="AF222" s="100">
        <v>0</v>
      </c>
      <c r="AG222" s="100">
        <v>1</v>
      </c>
      <c r="AH222" s="100">
        <v>1</v>
      </c>
      <c r="AI222" s="100">
        <v>0</v>
      </c>
      <c r="AJ222" s="100">
        <v>0</v>
      </c>
      <c r="AK222" s="100">
        <v>0</v>
      </c>
      <c r="AL222" s="100">
        <v>0</v>
      </c>
      <c r="AM222" s="100">
        <v>0</v>
      </c>
      <c r="AN222" s="100">
        <v>0</v>
      </c>
      <c r="AO222" s="100">
        <v>0</v>
      </c>
      <c r="AP222" s="100">
        <v>0</v>
      </c>
      <c r="AQ222" s="100">
        <v>0</v>
      </c>
      <c r="AR222" s="100">
        <v>0</v>
      </c>
      <c r="AS222" s="100">
        <v>0</v>
      </c>
      <c r="AT222" s="100">
        <v>0</v>
      </c>
      <c r="AU222" s="100">
        <v>0</v>
      </c>
      <c r="AV222" s="100">
        <v>0</v>
      </c>
      <c r="AW222" s="100">
        <v>0</v>
      </c>
      <c r="AX222" s="100">
        <v>0</v>
      </c>
      <c r="AY222" s="100">
        <v>0</v>
      </c>
      <c r="AZ222" s="100">
        <v>0</v>
      </c>
      <c r="BA222" s="100">
        <v>0</v>
      </c>
      <c r="BB222" s="100">
        <v>0</v>
      </c>
      <c r="BC222" s="100">
        <v>0</v>
      </c>
      <c r="BD222" s="100">
        <v>0</v>
      </c>
      <c r="BE222" s="100">
        <v>0</v>
      </c>
      <c r="BF222" s="100">
        <v>0</v>
      </c>
      <c r="BG222" s="100">
        <v>0</v>
      </c>
      <c r="BH222" s="100">
        <v>1</v>
      </c>
      <c r="BI222" s="100">
        <v>0</v>
      </c>
      <c r="BJ222" s="100">
        <v>1</v>
      </c>
      <c r="BK222" s="100">
        <v>0</v>
      </c>
      <c r="BL222" s="100">
        <v>0</v>
      </c>
      <c r="BM222" s="100">
        <v>0</v>
      </c>
      <c r="BN222" s="100">
        <v>0</v>
      </c>
      <c r="BO222" s="100">
        <v>0</v>
      </c>
      <c r="BP222" s="100">
        <v>0</v>
      </c>
      <c r="BQ222" s="100">
        <v>0</v>
      </c>
      <c r="BR222" s="100">
        <v>0</v>
      </c>
      <c r="BS222" s="100">
        <v>0</v>
      </c>
      <c r="BT222" s="100">
        <v>0</v>
      </c>
      <c r="BU222" s="100">
        <v>0</v>
      </c>
      <c r="BV222" s="100">
        <v>0</v>
      </c>
      <c r="BW222" s="100">
        <v>0</v>
      </c>
      <c r="BX222" s="100">
        <v>1</v>
      </c>
      <c r="BY222" s="100">
        <v>0</v>
      </c>
      <c r="BZ222" s="100">
        <v>1</v>
      </c>
      <c r="CA222" s="100">
        <v>0</v>
      </c>
      <c r="CB222" s="100" t="s">
        <v>2091</v>
      </c>
      <c r="CC222" s="100">
        <v>1</v>
      </c>
      <c r="CD222" s="100">
        <v>0</v>
      </c>
      <c r="CE222" s="100">
        <v>0</v>
      </c>
      <c r="CF222" s="100">
        <v>0</v>
      </c>
      <c r="CG222" s="103">
        <v>498502.67457999999</v>
      </c>
      <c r="CH222" s="103">
        <v>31.4</v>
      </c>
      <c r="CI222" s="103">
        <v>3486053.9010800002</v>
      </c>
      <c r="CJ222" s="103">
        <v>26.42</v>
      </c>
      <c r="CK222" s="103">
        <f t="shared" si="12"/>
        <v>829.58799999999997</v>
      </c>
      <c r="CL222" s="103">
        <v>615060.9</v>
      </c>
      <c r="CM222" s="103">
        <v>565446.69999999995</v>
      </c>
      <c r="CN222" s="104">
        <v>1.0877433717448526</v>
      </c>
      <c r="CO222" s="103">
        <v>49579.109559999997</v>
      </c>
      <c r="CP222" s="103">
        <v>2.93</v>
      </c>
      <c r="CQ222" s="103">
        <v>338823.17725000001</v>
      </c>
      <c r="CR222" s="103">
        <v>3.3</v>
      </c>
      <c r="CS222" s="103">
        <f t="shared" si="13"/>
        <v>9.6690000000000005</v>
      </c>
      <c r="CT222" s="103">
        <v>33765.800000000003</v>
      </c>
      <c r="CU222" s="103">
        <v>475607.5</v>
      </c>
      <c r="CV222" s="104">
        <v>7.0995095745967005E-2</v>
      </c>
      <c r="CW222" s="103">
        <v>236891.9828</v>
      </c>
      <c r="CX222" s="103">
        <v>24.17</v>
      </c>
      <c r="CY222" s="103">
        <v>2605598.03467</v>
      </c>
      <c r="CZ222" s="103">
        <v>43.266208823187057</v>
      </c>
      <c r="DA222" s="103">
        <f t="shared" si="14"/>
        <v>1045.7442672564312</v>
      </c>
      <c r="DB222" s="103">
        <v>661766.40000000002</v>
      </c>
      <c r="DC222" s="103">
        <v>789705.2</v>
      </c>
      <c r="DD222" s="104">
        <v>0.8379916961418008</v>
      </c>
      <c r="DE222" s="103">
        <v>0</v>
      </c>
      <c r="DF222" s="103">
        <v>0</v>
      </c>
      <c r="DG222" s="103">
        <v>148566.04337</v>
      </c>
      <c r="DH222" s="103">
        <v>1.49</v>
      </c>
      <c r="DI222" s="103">
        <f t="shared" si="15"/>
        <v>0</v>
      </c>
      <c r="DJ222" s="103">
        <v>35460.400000000001</v>
      </c>
      <c r="DK222" s="103">
        <v>794391</v>
      </c>
      <c r="DL222" s="104">
        <v>4.463847148318649E-2</v>
      </c>
    </row>
    <row r="223" spans="1:116" s="15" customFormat="1" ht="265.7" customHeight="1" x14ac:dyDescent="0.25">
      <c r="A223" s="100" t="s">
        <v>308</v>
      </c>
      <c r="B223" s="100" t="s">
        <v>2556</v>
      </c>
      <c r="C223" s="100" t="s">
        <v>279</v>
      </c>
      <c r="D223" s="101" t="str">
        <f>"Chemistry 82"</f>
        <v>Chemistry 82</v>
      </c>
      <c r="E223" s="102" t="s">
        <v>2557</v>
      </c>
      <c r="F223" s="100">
        <v>12</v>
      </c>
      <c r="G223" s="100">
        <v>3</v>
      </c>
      <c r="H223" s="100">
        <v>0.25</v>
      </c>
      <c r="I223" s="100">
        <v>16</v>
      </c>
      <c r="J223" s="100">
        <v>4</v>
      </c>
      <c r="K223" s="100">
        <v>4</v>
      </c>
      <c r="L223" s="100">
        <v>3</v>
      </c>
      <c r="M223" s="100">
        <v>2</v>
      </c>
      <c r="N223" s="100">
        <v>3</v>
      </c>
      <c r="O223" s="100">
        <v>2</v>
      </c>
      <c r="P223" s="100">
        <v>2.34</v>
      </c>
      <c r="Q223" s="100">
        <v>36.950000000000003</v>
      </c>
      <c r="R223" s="100">
        <v>2</v>
      </c>
      <c r="S223" s="100">
        <v>0</v>
      </c>
      <c r="T223" s="100">
        <v>1</v>
      </c>
      <c r="U223" s="100">
        <v>0</v>
      </c>
      <c r="V223" s="100">
        <v>0</v>
      </c>
      <c r="W223" s="100">
        <v>1</v>
      </c>
      <c r="X223" s="100">
        <v>0</v>
      </c>
      <c r="Y223" s="100">
        <v>1</v>
      </c>
      <c r="Z223" s="100">
        <v>0</v>
      </c>
      <c r="AA223" s="100">
        <v>0</v>
      </c>
      <c r="AB223" s="100">
        <v>0</v>
      </c>
      <c r="AC223" s="100">
        <v>1</v>
      </c>
      <c r="AD223" s="100">
        <v>0</v>
      </c>
      <c r="AE223" s="100">
        <v>0</v>
      </c>
      <c r="AF223" s="100">
        <v>0</v>
      </c>
      <c r="AG223" s="100">
        <v>1</v>
      </c>
      <c r="AH223" s="100">
        <v>0</v>
      </c>
      <c r="AI223" s="100">
        <v>1</v>
      </c>
      <c r="AJ223" s="100">
        <v>0</v>
      </c>
      <c r="AK223" s="100">
        <v>0</v>
      </c>
      <c r="AL223" s="100">
        <v>0</v>
      </c>
      <c r="AM223" s="100">
        <v>0</v>
      </c>
      <c r="AN223" s="100">
        <v>1</v>
      </c>
      <c r="AO223" s="100">
        <v>0</v>
      </c>
      <c r="AP223" s="100">
        <v>0</v>
      </c>
      <c r="AQ223" s="100">
        <v>0</v>
      </c>
      <c r="AR223" s="100">
        <v>0</v>
      </c>
      <c r="AS223" s="100">
        <v>0</v>
      </c>
      <c r="AT223" s="100">
        <v>0</v>
      </c>
      <c r="AU223" s="100">
        <v>1</v>
      </c>
      <c r="AV223" s="100">
        <v>0</v>
      </c>
      <c r="AW223" s="100">
        <v>0</v>
      </c>
      <c r="AX223" s="100">
        <v>0</v>
      </c>
      <c r="AY223" s="100">
        <v>0</v>
      </c>
      <c r="AZ223" s="100">
        <v>0</v>
      </c>
      <c r="BA223" s="100">
        <v>0</v>
      </c>
      <c r="BB223" s="100">
        <v>0</v>
      </c>
      <c r="BC223" s="100">
        <v>0</v>
      </c>
      <c r="BD223" s="100">
        <v>0</v>
      </c>
      <c r="BE223" s="100">
        <v>0</v>
      </c>
      <c r="BF223" s="100">
        <v>0</v>
      </c>
      <c r="BG223" s="100">
        <v>0</v>
      </c>
      <c r="BH223" s="100">
        <v>0</v>
      </c>
      <c r="BI223" s="100">
        <v>0</v>
      </c>
      <c r="BJ223" s="100">
        <v>1</v>
      </c>
      <c r="BK223" s="100">
        <v>0</v>
      </c>
      <c r="BL223" s="100">
        <v>0</v>
      </c>
      <c r="BM223" s="100">
        <v>1</v>
      </c>
      <c r="BN223" s="100">
        <v>0</v>
      </c>
      <c r="BO223" s="100">
        <v>0</v>
      </c>
      <c r="BP223" s="100">
        <v>0</v>
      </c>
      <c r="BQ223" s="100">
        <v>1</v>
      </c>
      <c r="BR223" s="100">
        <v>0</v>
      </c>
      <c r="BS223" s="100">
        <v>0</v>
      </c>
      <c r="BT223" s="100">
        <v>0</v>
      </c>
      <c r="BU223" s="100">
        <v>1</v>
      </c>
      <c r="BV223" s="100">
        <v>0</v>
      </c>
      <c r="BW223" s="100">
        <v>1</v>
      </c>
      <c r="BX223" s="100">
        <v>0</v>
      </c>
      <c r="BY223" s="100">
        <v>0</v>
      </c>
      <c r="BZ223" s="100">
        <v>1</v>
      </c>
      <c r="CA223" s="100">
        <v>1</v>
      </c>
      <c r="CB223" s="100" t="s">
        <v>2090</v>
      </c>
      <c r="CC223" s="100">
        <v>0</v>
      </c>
      <c r="CD223" s="100">
        <v>0</v>
      </c>
      <c r="CE223" s="100">
        <v>0</v>
      </c>
      <c r="CF223" s="100">
        <v>0</v>
      </c>
      <c r="CG223" s="103">
        <v>179959.39331000001</v>
      </c>
      <c r="CH223" s="103">
        <v>7.1</v>
      </c>
      <c r="CI223" s="103">
        <v>2147833.6036399999</v>
      </c>
      <c r="CJ223" s="103">
        <v>22.05</v>
      </c>
      <c r="CK223" s="103">
        <f t="shared" si="12"/>
        <v>156.55500000000001</v>
      </c>
      <c r="CL223" s="103">
        <v>138736.9</v>
      </c>
      <c r="CM223" s="103">
        <v>664082.9</v>
      </c>
      <c r="CN223" s="104">
        <v>0.20891503154199573</v>
      </c>
      <c r="CO223" s="103">
        <v>106889.18162</v>
      </c>
      <c r="CP223" s="103">
        <v>3.25</v>
      </c>
      <c r="CQ223" s="103">
        <v>1680343.8123900001</v>
      </c>
      <c r="CR223" s="103">
        <v>16.16</v>
      </c>
      <c r="CS223" s="103">
        <f t="shared" si="13"/>
        <v>52.52</v>
      </c>
      <c r="CT223" s="103">
        <v>380051.8</v>
      </c>
      <c r="CU223" s="103">
        <v>946511.7</v>
      </c>
      <c r="CV223" s="104">
        <v>0.40152889816364656</v>
      </c>
      <c r="CW223" s="103">
        <v>1127347.3398</v>
      </c>
      <c r="CX223" s="103">
        <v>58.76</v>
      </c>
      <c r="CY223" s="103">
        <v>3866279.6275800001</v>
      </c>
      <c r="CZ223" s="103">
        <v>52.331015616094831</v>
      </c>
      <c r="DA223" s="103">
        <f t="shared" si="14"/>
        <v>3074.970477601732</v>
      </c>
      <c r="DB223" s="103">
        <v>371891.5</v>
      </c>
      <c r="DC223" s="103">
        <v>742138.5</v>
      </c>
      <c r="DD223" s="104">
        <v>0.50110794683202664</v>
      </c>
      <c r="DE223" s="103">
        <v>169350.23251</v>
      </c>
      <c r="DF223" s="103">
        <v>6.87</v>
      </c>
      <c r="DG223" s="103">
        <v>1777880.0692400001</v>
      </c>
      <c r="DH223" s="103">
        <v>17.170000000000002</v>
      </c>
      <c r="DI223" s="103">
        <f t="shared" si="15"/>
        <v>117.95790000000001</v>
      </c>
      <c r="DJ223" s="103">
        <v>29312.3</v>
      </c>
      <c r="DK223" s="103">
        <v>89118.399999999994</v>
      </c>
      <c r="DL223" s="104">
        <v>0.32891411874539939</v>
      </c>
    </row>
    <row r="224" spans="1:116" s="15" customFormat="1" ht="265.7" customHeight="1" x14ac:dyDescent="0.25">
      <c r="A224" s="100" t="s">
        <v>309</v>
      </c>
      <c r="B224" s="100" t="s">
        <v>2558</v>
      </c>
      <c r="C224" s="100" t="s">
        <v>279</v>
      </c>
      <c r="D224" s="101" t="str">
        <f>"Chemistry 149"</f>
        <v>Chemistry 149</v>
      </c>
      <c r="E224" s="102" t="s">
        <v>2559</v>
      </c>
      <c r="F224" s="100">
        <v>14</v>
      </c>
      <c r="G224" s="100">
        <v>8</v>
      </c>
      <c r="H224" s="100">
        <v>0.56999999999999995</v>
      </c>
      <c r="I224" s="100">
        <v>21</v>
      </c>
      <c r="J224" s="100">
        <v>7</v>
      </c>
      <c r="K224" s="100">
        <v>7</v>
      </c>
      <c r="L224" s="100">
        <v>3</v>
      </c>
      <c r="M224" s="100">
        <v>1</v>
      </c>
      <c r="N224" s="100">
        <v>3</v>
      </c>
      <c r="O224" s="100">
        <v>1</v>
      </c>
      <c r="P224" s="100">
        <v>0.86</v>
      </c>
      <c r="Q224" s="100">
        <v>52.65</v>
      </c>
      <c r="R224" s="100">
        <v>2</v>
      </c>
      <c r="S224" s="100">
        <v>1</v>
      </c>
      <c r="T224" s="100">
        <v>0</v>
      </c>
      <c r="U224" s="100">
        <v>0</v>
      </c>
      <c r="V224" s="100">
        <v>0</v>
      </c>
      <c r="W224" s="100">
        <v>1</v>
      </c>
      <c r="X224" s="100">
        <v>0</v>
      </c>
      <c r="Y224" s="100">
        <v>0</v>
      </c>
      <c r="Z224" s="100">
        <v>1</v>
      </c>
      <c r="AA224" s="100">
        <v>0</v>
      </c>
      <c r="AB224" s="100">
        <v>0</v>
      </c>
      <c r="AC224" s="100">
        <v>1</v>
      </c>
      <c r="AD224" s="100">
        <v>0</v>
      </c>
      <c r="AE224" s="100">
        <v>0</v>
      </c>
      <c r="AF224" s="100">
        <v>1</v>
      </c>
      <c r="AG224" s="100">
        <v>0</v>
      </c>
      <c r="AH224" s="100">
        <v>0</v>
      </c>
      <c r="AI224" s="100">
        <v>0</v>
      </c>
      <c r="AJ224" s="100">
        <v>1</v>
      </c>
      <c r="AK224" s="100">
        <v>0</v>
      </c>
      <c r="AL224" s="100">
        <v>0</v>
      </c>
      <c r="AM224" s="100">
        <v>0</v>
      </c>
      <c r="AN224" s="100">
        <v>0</v>
      </c>
      <c r="AO224" s="100">
        <v>0</v>
      </c>
      <c r="AP224" s="100">
        <v>0</v>
      </c>
      <c r="AQ224" s="100">
        <v>0</v>
      </c>
      <c r="AR224" s="100">
        <v>0</v>
      </c>
      <c r="AS224" s="100">
        <v>0</v>
      </c>
      <c r="AT224" s="100">
        <v>0</v>
      </c>
      <c r="AU224" s="100">
        <v>0</v>
      </c>
      <c r="AV224" s="100">
        <v>0</v>
      </c>
      <c r="AW224" s="100">
        <v>0</v>
      </c>
      <c r="AX224" s="100">
        <v>0</v>
      </c>
      <c r="AY224" s="100">
        <v>0</v>
      </c>
      <c r="AZ224" s="100">
        <v>0</v>
      </c>
      <c r="BA224" s="100">
        <v>0</v>
      </c>
      <c r="BB224" s="100">
        <v>0</v>
      </c>
      <c r="BC224" s="100">
        <v>0</v>
      </c>
      <c r="BD224" s="100">
        <v>0</v>
      </c>
      <c r="BE224" s="100">
        <v>0</v>
      </c>
      <c r="BF224" s="100">
        <v>1</v>
      </c>
      <c r="BG224" s="100">
        <v>0</v>
      </c>
      <c r="BH224" s="100">
        <v>0</v>
      </c>
      <c r="BI224" s="100">
        <v>0</v>
      </c>
      <c r="BJ224" s="100">
        <v>1</v>
      </c>
      <c r="BK224" s="100">
        <v>0</v>
      </c>
      <c r="BL224" s="100">
        <v>0</v>
      </c>
      <c r="BM224" s="100">
        <v>0</v>
      </c>
      <c r="BN224" s="100">
        <v>0</v>
      </c>
      <c r="BO224" s="100">
        <v>0</v>
      </c>
      <c r="BP224" s="100">
        <v>0</v>
      </c>
      <c r="BQ224" s="100">
        <v>0</v>
      </c>
      <c r="BR224" s="100">
        <v>0</v>
      </c>
      <c r="BS224" s="100">
        <v>0</v>
      </c>
      <c r="BT224" s="100">
        <v>0</v>
      </c>
      <c r="BU224" s="100">
        <v>0</v>
      </c>
      <c r="BV224" s="100">
        <v>0</v>
      </c>
      <c r="BW224" s="100">
        <v>1</v>
      </c>
      <c r="BX224" s="100">
        <v>0</v>
      </c>
      <c r="BY224" s="100">
        <v>0</v>
      </c>
      <c r="BZ224" s="100">
        <v>0</v>
      </c>
      <c r="CA224" s="100">
        <v>1</v>
      </c>
      <c r="CB224" s="100" t="s">
        <v>2090</v>
      </c>
      <c r="CC224" s="100">
        <v>0</v>
      </c>
      <c r="CD224" s="100">
        <v>0</v>
      </c>
      <c r="CE224" s="100">
        <v>0</v>
      </c>
      <c r="CF224" s="100">
        <v>0</v>
      </c>
      <c r="CG224" s="103">
        <v>330222.89500000002</v>
      </c>
      <c r="CH224" s="103">
        <v>20.65</v>
      </c>
      <c r="CI224" s="103">
        <v>2839753.2486200002</v>
      </c>
      <c r="CJ224" s="103">
        <v>28.13</v>
      </c>
      <c r="CK224" s="103">
        <f t="shared" si="12"/>
        <v>580.88449999999989</v>
      </c>
      <c r="CL224" s="103">
        <v>404347.1</v>
      </c>
      <c r="CM224" s="103">
        <v>826602.7</v>
      </c>
      <c r="CN224" s="104">
        <v>0.48916740775223694</v>
      </c>
      <c r="CO224" s="103">
        <v>259771.16222</v>
      </c>
      <c r="CP224" s="103">
        <v>13.45</v>
      </c>
      <c r="CQ224" s="103">
        <v>2809506.8681600001</v>
      </c>
      <c r="CR224" s="103">
        <v>18</v>
      </c>
      <c r="CS224" s="103">
        <f t="shared" si="13"/>
        <v>242.1</v>
      </c>
      <c r="CT224" s="103">
        <v>246706.3</v>
      </c>
      <c r="CU224" s="103">
        <v>576616.80000000005</v>
      </c>
      <c r="CV224" s="104">
        <v>0.42785139107982972</v>
      </c>
      <c r="CW224" s="103">
        <v>435189.03613999998</v>
      </c>
      <c r="CX224" s="103">
        <v>38.07</v>
      </c>
      <c r="CY224" s="103">
        <v>3573131.32498</v>
      </c>
      <c r="CZ224" s="103">
        <v>44.692802808660034</v>
      </c>
      <c r="DA224" s="103">
        <f t="shared" si="14"/>
        <v>1701.4550029256875</v>
      </c>
      <c r="DB224" s="103">
        <v>393208.3</v>
      </c>
      <c r="DC224" s="103">
        <v>493576.3</v>
      </c>
      <c r="DD224" s="104">
        <v>0.79665150048736133</v>
      </c>
      <c r="DE224" s="103">
        <v>486549.52749000001</v>
      </c>
      <c r="DF224" s="103">
        <v>25.8</v>
      </c>
      <c r="DG224" s="103">
        <v>3800931.58879</v>
      </c>
      <c r="DH224" s="103">
        <v>25.09</v>
      </c>
      <c r="DI224" s="103">
        <f t="shared" si="15"/>
        <v>647.322</v>
      </c>
      <c r="DJ224" s="103">
        <v>131503.29999999999</v>
      </c>
      <c r="DK224" s="103">
        <v>243131.9</v>
      </c>
      <c r="DL224" s="104">
        <v>0.54087225904951175</v>
      </c>
    </row>
    <row r="225" spans="1:116" s="15" customFormat="1" ht="162.94999999999999" customHeight="1" x14ac:dyDescent="0.25">
      <c r="A225" s="100" t="s">
        <v>310</v>
      </c>
      <c r="B225" s="100" t="s">
        <v>2560</v>
      </c>
      <c r="C225" s="100" t="s">
        <v>279</v>
      </c>
      <c r="D225" s="115" t="str">
        <f>"Chemistry 31"</f>
        <v>Chemistry 31</v>
      </c>
      <c r="E225" s="102" t="s">
        <v>2561</v>
      </c>
      <c r="F225" s="100">
        <v>18</v>
      </c>
      <c r="G225" s="100">
        <v>5</v>
      </c>
      <c r="H225" s="100">
        <v>0.28000000000000003</v>
      </c>
      <c r="I225" s="100">
        <v>24</v>
      </c>
      <c r="J225" s="100">
        <v>6</v>
      </c>
      <c r="K225" s="100">
        <v>3</v>
      </c>
      <c r="L225" s="100">
        <v>2</v>
      </c>
      <c r="M225" s="100">
        <v>2</v>
      </c>
      <c r="N225" s="100">
        <v>3</v>
      </c>
      <c r="O225" s="100">
        <v>1</v>
      </c>
      <c r="P225" s="100">
        <v>4.2</v>
      </c>
      <c r="Q225" s="100">
        <v>34.15</v>
      </c>
      <c r="R225" s="100">
        <v>4</v>
      </c>
      <c r="S225" s="100">
        <v>1</v>
      </c>
      <c r="T225" s="100">
        <v>0</v>
      </c>
      <c r="U225" s="100">
        <v>0</v>
      </c>
      <c r="V225" s="100">
        <v>0</v>
      </c>
      <c r="W225" s="100">
        <v>1</v>
      </c>
      <c r="X225" s="100">
        <v>0</v>
      </c>
      <c r="Y225" s="100">
        <v>0</v>
      </c>
      <c r="Z225" s="100">
        <v>1</v>
      </c>
      <c r="AA225" s="100">
        <v>0</v>
      </c>
      <c r="AB225" s="100">
        <v>0</v>
      </c>
      <c r="AC225" s="100">
        <v>1</v>
      </c>
      <c r="AD225" s="100">
        <v>0</v>
      </c>
      <c r="AE225" s="100">
        <v>0</v>
      </c>
      <c r="AF225" s="100">
        <v>0</v>
      </c>
      <c r="AG225" s="100">
        <v>1</v>
      </c>
      <c r="AH225" s="100">
        <v>0</v>
      </c>
      <c r="AI225" s="100">
        <v>1</v>
      </c>
      <c r="AJ225" s="100">
        <v>0</v>
      </c>
      <c r="AK225" s="100">
        <v>0</v>
      </c>
      <c r="AL225" s="100">
        <v>0</v>
      </c>
      <c r="AM225" s="100">
        <v>0</v>
      </c>
      <c r="AN225" s="100">
        <v>0</v>
      </c>
      <c r="AO225" s="100">
        <v>1</v>
      </c>
      <c r="AP225" s="100">
        <v>0</v>
      </c>
      <c r="AQ225" s="100">
        <v>0</v>
      </c>
      <c r="AR225" s="100">
        <v>1</v>
      </c>
      <c r="AS225" s="100">
        <v>0</v>
      </c>
      <c r="AT225" s="100">
        <v>0</v>
      </c>
      <c r="AU225" s="100">
        <v>0</v>
      </c>
      <c r="AV225" s="100">
        <v>0</v>
      </c>
      <c r="AW225" s="100">
        <v>0</v>
      </c>
      <c r="AX225" s="100">
        <v>0</v>
      </c>
      <c r="AY225" s="100">
        <v>0</v>
      </c>
      <c r="AZ225" s="100">
        <v>0</v>
      </c>
      <c r="BA225" s="100">
        <v>0</v>
      </c>
      <c r="BB225" s="100">
        <v>0</v>
      </c>
      <c r="BC225" s="100">
        <v>0</v>
      </c>
      <c r="BD225" s="100">
        <v>0</v>
      </c>
      <c r="BE225" s="100">
        <v>0</v>
      </c>
      <c r="BF225" s="100">
        <v>0</v>
      </c>
      <c r="BG225" s="100">
        <v>0</v>
      </c>
      <c r="BH225" s="100">
        <v>0</v>
      </c>
      <c r="BI225" s="100">
        <v>0</v>
      </c>
      <c r="BJ225" s="100">
        <v>1</v>
      </c>
      <c r="BK225" s="100">
        <v>0</v>
      </c>
      <c r="BL225" s="100">
        <v>0</v>
      </c>
      <c r="BM225" s="100">
        <v>0</v>
      </c>
      <c r="BN225" s="100">
        <v>0</v>
      </c>
      <c r="BO225" s="100">
        <v>0</v>
      </c>
      <c r="BP225" s="100">
        <v>0</v>
      </c>
      <c r="BQ225" s="100">
        <v>0</v>
      </c>
      <c r="BR225" s="100">
        <v>0</v>
      </c>
      <c r="BS225" s="100">
        <v>0</v>
      </c>
      <c r="BT225" s="100">
        <v>0</v>
      </c>
      <c r="BU225" s="100">
        <v>0</v>
      </c>
      <c r="BV225" s="100">
        <v>0</v>
      </c>
      <c r="BW225" s="100">
        <v>1</v>
      </c>
      <c r="BX225" s="100">
        <v>0</v>
      </c>
      <c r="BY225" s="100">
        <v>0</v>
      </c>
      <c r="BZ225" s="100">
        <v>0</v>
      </c>
      <c r="CA225" s="100">
        <v>1</v>
      </c>
      <c r="CB225" s="100" t="s">
        <v>2090</v>
      </c>
      <c r="CC225" s="100">
        <v>0</v>
      </c>
      <c r="CD225" s="100">
        <v>0</v>
      </c>
      <c r="CE225" s="100">
        <v>0</v>
      </c>
      <c r="CF225" s="100">
        <v>0</v>
      </c>
      <c r="CG225" s="103">
        <v>466842.93248999998</v>
      </c>
      <c r="CH225" s="103">
        <v>29.09</v>
      </c>
      <c r="CI225" s="103">
        <v>4138398.3763899999</v>
      </c>
      <c r="CJ225" s="103">
        <v>26.41</v>
      </c>
      <c r="CK225" s="103">
        <f t="shared" si="12"/>
        <v>768.26689999999996</v>
      </c>
      <c r="CL225" s="103">
        <v>475996.9</v>
      </c>
      <c r="CM225" s="103">
        <v>538836.4</v>
      </c>
      <c r="CN225" s="104">
        <v>0.88337925945611695</v>
      </c>
      <c r="CO225" s="103">
        <v>33572.608610000003</v>
      </c>
      <c r="CP225" s="103">
        <v>1.34</v>
      </c>
      <c r="CQ225" s="103">
        <v>1243241.3004300001</v>
      </c>
      <c r="CR225" s="103">
        <v>8.6999999999999993</v>
      </c>
      <c r="CS225" s="103">
        <f t="shared" si="13"/>
        <v>11.657999999999999</v>
      </c>
      <c r="CT225" s="103">
        <v>127969</v>
      </c>
      <c r="CU225" s="103">
        <v>889691.7</v>
      </c>
      <c r="CV225" s="104">
        <v>0.14383521842453967</v>
      </c>
      <c r="CW225" s="103">
        <v>50669.981359999998</v>
      </c>
      <c r="CX225" s="103">
        <v>3.05</v>
      </c>
      <c r="CY225" s="103">
        <v>1554370.8086900001</v>
      </c>
      <c r="CZ225" s="103">
        <v>15.673339399454049</v>
      </c>
      <c r="DA225" s="103">
        <f t="shared" si="14"/>
        <v>47.803685168334844</v>
      </c>
      <c r="DB225" s="103">
        <v>149228.4</v>
      </c>
      <c r="DC225" s="103">
        <v>649884.80000000005</v>
      </c>
      <c r="DD225" s="104">
        <v>0.22962285008050656</v>
      </c>
      <c r="DE225" s="103">
        <v>78163.805930000002</v>
      </c>
      <c r="DF225" s="103">
        <v>3.24</v>
      </c>
      <c r="DG225" s="103">
        <v>1822156.5926999999</v>
      </c>
      <c r="DH225" s="103">
        <v>11.88</v>
      </c>
      <c r="DI225" s="103">
        <f t="shared" si="15"/>
        <v>38.491200000000006</v>
      </c>
      <c r="DJ225" s="103">
        <v>25552.9</v>
      </c>
      <c r="DK225" s="103">
        <v>420307.20000000001</v>
      </c>
      <c r="DL225" s="104">
        <v>6.079577033179541E-2</v>
      </c>
    </row>
    <row r="226" spans="1:116" s="15" customFormat="1" ht="210.2" customHeight="1" x14ac:dyDescent="0.25">
      <c r="A226" s="100" t="s">
        <v>311</v>
      </c>
      <c r="B226" s="100" t="s">
        <v>2562</v>
      </c>
      <c r="C226" s="100" t="s">
        <v>279</v>
      </c>
      <c r="D226" s="101" t="str">
        <f>"Chemistry 60"</f>
        <v>Chemistry 60</v>
      </c>
      <c r="E226" s="102" t="s">
        <v>2563</v>
      </c>
      <c r="F226" s="100">
        <v>18</v>
      </c>
      <c r="G226" s="100">
        <v>9</v>
      </c>
      <c r="H226" s="100">
        <v>0.5</v>
      </c>
      <c r="I226" s="100">
        <v>26</v>
      </c>
      <c r="J226" s="100">
        <v>8</v>
      </c>
      <c r="K226" s="100">
        <v>7</v>
      </c>
      <c r="L226" s="100">
        <v>4</v>
      </c>
      <c r="M226" s="100">
        <v>1</v>
      </c>
      <c r="N226" s="100">
        <v>6</v>
      </c>
      <c r="O226" s="100">
        <v>2</v>
      </c>
      <c r="P226" s="100">
        <v>1.79</v>
      </c>
      <c r="Q226" s="100">
        <v>83.03</v>
      </c>
      <c r="R226" s="100">
        <v>3</v>
      </c>
      <c r="S226" s="100">
        <v>1</v>
      </c>
      <c r="T226" s="100">
        <v>0</v>
      </c>
      <c r="U226" s="100">
        <v>0</v>
      </c>
      <c r="V226" s="100">
        <v>1</v>
      </c>
      <c r="W226" s="100">
        <v>0</v>
      </c>
      <c r="X226" s="100">
        <v>0</v>
      </c>
      <c r="Y226" s="100">
        <v>1</v>
      </c>
      <c r="Z226" s="100">
        <v>0</v>
      </c>
      <c r="AA226" s="100">
        <v>0</v>
      </c>
      <c r="AB226" s="100">
        <v>1</v>
      </c>
      <c r="AC226" s="100">
        <v>0</v>
      </c>
      <c r="AD226" s="100">
        <v>0</v>
      </c>
      <c r="AE226" s="100">
        <v>0</v>
      </c>
      <c r="AF226" s="100">
        <v>0</v>
      </c>
      <c r="AG226" s="100">
        <v>1</v>
      </c>
      <c r="AH226" s="100">
        <v>0</v>
      </c>
      <c r="AI226" s="100">
        <v>0</v>
      </c>
      <c r="AJ226" s="100">
        <v>1</v>
      </c>
      <c r="AK226" s="100">
        <v>0</v>
      </c>
      <c r="AL226" s="100">
        <v>0</v>
      </c>
      <c r="AM226" s="100">
        <v>0</v>
      </c>
      <c r="AN226" s="100">
        <v>0</v>
      </c>
      <c r="AO226" s="100">
        <v>0</v>
      </c>
      <c r="AP226" s="100">
        <v>0</v>
      </c>
      <c r="AQ226" s="100">
        <v>0</v>
      </c>
      <c r="AR226" s="100">
        <v>0</v>
      </c>
      <c r="AS226" s="100">
        <v>0</v>
      </c>
      <c r="AT226" s="100">
        <v>1</v>
      </c>
      <c r="AU226" s="100">
        <v>0</v>
      </c>
      <c r="AV226" s="100">
        <v>1</v>
      </c>
      <c r="AW226" s="100">
        <v>0</v>
      </c>
      <c r="AX226" s="100">
        <v>0</v>
      </c>
      <c r="AY226" s="100">
        <v>1</v>
      </c>
      <c r="AZ226" s="100">
        <v>0</v>
      </c>
      <c r="BA226" s="100">
        <v>0</v>
      </c>
      <c r="BB226" s="100">
        <v>0</v>
      </c>
      <c r="BC226" s="100">
        <v>0</v>
      </c>
      <c r="BD226" s="100">
        <v>0</v>
      </c>
      <c r="BE226" s="100">
        <v>0</v>
      </c>
      <c r="BF226" s="100">
        <v>0</v>
      </c>
      <c r="BG226" s="100">
        <v>0</v>
      </c>
      <c r="BH226" s="100">
        <v>0</v>
      </c>
      <c r="BI226" s="100">
        <v>0</v>
      </c>
      <c r="BJ226" s="100">
        <v>3</v>
      </c>
      <c r="BK226" s="100">
        <v>0</v>
      </c>
      <c r="BL226" s="100">
        <v>0</v>
      </c>
      <c r="BM226" s="100">
        <v>0</v>
      </c>
      <c r="BN226" s="100">
        <v>0</v>
      </c>
      <c r="BO226" s="100">
        <v>0</v>
      </c>
      <c r="BP226" s="100">
        <v>0</v>
      </c>
      <c r="BQ226" s="100">
        <v>0</v>
      </c>
      <c r="BR226" s="100">
        <v>0</v>
      </c>
      <c r="BS226" s="100">
        <v>0</v>
      </c>
      <c r="BT226" s="100">
        <v>0</v>
      </c>
      <c r="BU226" s="100">
        <v>0</v>
      </c>
      <c r="BV226" s="100">
        <v>0</v>
      </c>
      <c r="BW226" s="100">
        <v>1</v>
      </c>
      <c r="BX226" s="100">
        <v>0</v>
      </c>
      <c r="BY226" s="100">
        <v>0</v>
      </c>
      <c r="BZ226" s="100">
        <v>0</v>
      </c>
      <c r="CA226" s="100">
        <v>1</v>
      </c>
      <c r="CB226" s="100" t="s">
        <v>2090</v>
      </c>
      <c r="CC226" s="100">
        <v>0</v>
      </c>
      <c r="CD226" s="100">
        <v>0</v>
      </c>
      <c r="CE226" s="100">
        <v>0</v>
      </c>
      <c r="CF226" s="100">
        <v>0</v>
      </c>
      <c r="CG226" s="103">
        <v>0</v>
      </c>
      <c r="CH226" s="103">
        <v>0</v>
      </c>
      <c r="CI226" s="103">
        <v>2151.28487</v>
      </c>
      <c r="CJ226" s="103">
        <v>0</v>
      </c>
      <c r="CK226" s="103">
        <f t="shared" si="12"/>
        <v>0</v>
      </c>
      <c r="CL226" s="103">
        <v>0</v>
      </c>
      <c r="CM226" s="103">
        <v>410448.4</v>
      </c>
      <c r="CN226" s="104">
        <v>0</v>
      </c>
      <c r="CO226" s="103">
        <v>18420.954860000002</v>
      </c>
      <c r="CP226" s="103">
        <v>0.69</v>
      </c>
      <c r="CQ226" s="103">
        <v>75005.160489999995</v>
      </c>
      <c r="CR226" s="103">
        <v>0.94</v>
      </c>
      <c r="CS226" s="103">
        <f t="shared" si="13"/>
        <v>0.64859999999999995</v>
      </c>
      <c r="CT226" s="103">
        <v>2580.4</v>
      </c>
      <c r="CU226" s="103">
        <v>667139.4</v>
      </c>
      <c r="CV226" s="104">
        <v>3.8678573023868774E-3</v>
      </c>
      <c r="CW226" s="103">
        <v>14709.37002</v>
      </c>
      <c r="CX226" s="103">
        <v>1.24</v>
      </c>
      <c r="CY226" s="103">
        <v>17728.00029</v>
      </c>
      <c r="CZ226" s="103">
        <v>3.1709927749531714</v>
      </c>
      <c r="DA226" s="103">
        <f t="shared" si="14"/>
        <v>3.9320310409419323</v>
      </c>
      <c r="DB226" s="103">
        <v>6711.4</v>
      </c>
      <c r="DC226" s="103">
        <v>824520.4</v>
      </c>
      <c r="DD226" s="104">
        <v>8.1397622181331106E-3</v>
      </c>
      <c r="DE226" s="103">
        <v>0</v>
      </c>
      <c r="DF226" s="103">
        <v>0</v>
      </c>
      <c r="DG226" s="103">
        <v>13878.01345</v>
      </c>
      <c r="DH226" s="103">
        <v>0</v>
      </c>
      <c r="DI226" s="103">
        <f t="shared" si="15"/>
        <v>0</v>
      </c>
      <c r="DJ226" s="103">
        <v>1716.2</v>
      </c>
      <c r="DK226" s="103">
        <v>547851.9</v>
      </c>
      <c r="DL226" s="104">
        <v>3.132598426691593E-3</v>
      </c>
    </row>
    <row r="227" spans="1:116" s="15" customFormat="1" ht="265.7" customHeight="1" x14ac:dyDescent="0.25">
      <c r="A227" s="100" t="s">
        <v>312</v>
      </c>
      <c r="B227" s="100" t="s">
        <v>2564</v>
      </c>
      <c r="C227" s="100" t="s">
        <v>279</v>
      </c>
      <c r="D227" s="101" t="str">
        <f>"Chemistry 43"</f>
        <v>Chemistry 43</v>
      </c>
      <c r="E227" s="102" t="s">
        <v>2565</v>
      </c>
      <c r="F227" s="100">
        <v>11</v>
      </c>
      <c r="G227" s="100">
        <v>3</v>
      </c>
      <c r="H227" s="100">
        <v>0.27</v>
      </c>
      <c r="I227" s="100">
        <v>16</v>
      </c>
      <c r="J227" s="100">
        <v>5</v>
      </c>
      <c r="K227" s="100">
        <v>5</v>
      </c>
      <c r="L227" s="100">
        <v>4</v>
      </c>
      <c r="M227" s="100">
        <v>2</v>
      </c>
      <c r="N227" s="100">
        <v>4</v>
      </c>
      <c r="O227" s="100">
        <v>2</v>
      </c>
      <c r="P227" s="100">
        <v>1.47</v>
      </c>
      <c r="Q227" s="100">
        <v>49.84</v>
      </c>
      <c r="R227" s="100">
        <v>2</v>
      </c>
      <c r="S227" s="100">
        <v>0</v>
      </c>
      <c r="T227" s="100">
        <v>1</v>
      </c>
      <c r="U227" s="100">
        <v>0</v>
      </c>
      <c r="V227" s="100">
        <v>1</v>
      </c>
      <c r="W227" s="100">
        <v>0</v>
      </c>
      <c r="X227" s="100">
        <v>0</v>
      </c>
      <c r="Y227" s="100">
        <v>1</v>
      </c>
      <c r="Z227" s="100">
        <v>0</v>
      </c>
      <c r="AA227" s="100">
        <v>0</v>
      </c>
      <c r="AB227" s="100">
        <v>1</v>
      </c>
      <c r="AC227" s="100">
        <v>0</v>
      </c>
      <c r="AD227" s="100">
        <v>0</v>
      </c>
      <c r="AE227" s="100">
        <v>0</v>
      </c>
      <c r="AF227" s="100">
        <v>1</v>
      </c>
      <c r="AG227" s="100">
        <v>0</v>
      </c>
      <c r="AH227" s="100">
        <v>0</v>
      </c>
      <c r="AI227" s="100">
        <v>0</v>
      </c>
      <c r="AJ227" s="100">
        <v>1</v>
      </c>
      <c r="AK227" s="100">
        <v>0</v>
      </c>
      <c r="AL227" s="100">
        <v>0</v>
      </c>
      <c r="AM227" s="100">
        <v>0</v>
      </c>
      <c r="AN227" s="100">
        <v>1</v>
      </c>
      <c r="AO227" s="100">
        <v>1</v>
      </c>
      <c r="AP227" s="100">
        <v>0</v>
      </c>
      <c r="AQ227" s="100">
        <v>0</v>
      </c>
      <c r="AR227" s="100">
        <v>0</v>
      </c>
      <c r="AS227" s="100">
        <v>0</v>
      </c>
      <c r="AT227" s="100">
        <v>0</v>
      </c>
      <c r="AU227" s="100">
        <v>1</v>
      </c>
      <c r="AV227" s="100">
        <v>0</v>
      </c>
      <c r="AW227" s="100">
        <v>0</v>
      </c>
      <c r="AX227" s="100">
        <v>0</v>
      </c>
      <c r="AY227" s="100">
        <v>0</v>
      </c>
      <c r="AZ227" s="100">
        <v>0</v>
      </c>
      <c r="BA227" s="100">
        <v>0</v>
      </c>
      <c r="BB227" s="100">
        <v>0</v>
      </c>
      <c r="BC227" s="100">
        <v>0</v>
      </c>
      <c r="BD227" s="100">
        <v>0</v>
      </c>
      <c r="BE227" s="100">
        <v>0</v>
      </c>
      <c r="BF227" s="100">
        <v>0</v>
      </c>
      <c r="BG227" s="100">
        <v>0</v>
      </c>
      <c r="BH227" s="100">
        <v>0</v>
      </c>
      <c r="BI227" s="100">
        <v>0</v>
      </c>
      <c r="BJ227" s="100">
        <v>1</v>
      </c>
      <c r="BK227" s="100">
        <v>0</v>
      </c>
      <c r="BL227" s="100">
        <v>0</v>
      </c>
      <c r="BM227" s="100">
        <v>1</v>
      </c>
      <c r="BN227" s="100">
        <v>0</v>
      </c>
      <c r="BO227" s="100">
        <v>0</v>
      </c>
      <c r="BP227" s="100">
        <v>0</v>
      </c>
      <c r="BQ227" s="100">
        <v>1</v>
      </c>
      <c r="BR227" s="100">
        <v>0</v>
      </c>
      <c r="BS227" s="100">
        <v>0</v>
      </c>
      <c r="BT227" s="100">
        <v>0</v>
      </c>
      <c r="BU227" s="100">
        <v>1</v>
      </c>
      <c r="BV227" s="100">
        <v>0</v>
      </c>
      <c r="BW227" s="100">
        <v>1</v>
      </c>
      <c r="BX227" s="100">
        <v>0</v>
      </c>
      <c r="BY227" s="100">
        <v>0</v>
      </c>
      <c r="BZ227" s="100">
        <v>1</v>
      </c>
      <c r="CA227" s="100">
        <v>1</v>
      </c>
      <c r="CB227" s="100" t="s">
        <v>2090</v>
      </c>
      <c r="CC227" s="100">
        <v>0</v>
      </c>
      <c r="CD227" s="100">
        <v>0</v>
      </c>
      <c r="CE227" s="100">
        <v>0</v>
      </c>
      <c r="CF227" s="100">
        <v>0</v>
      </c>
      <c r="CG227" s="103">
        <v>104134.35111</v>
      </c>
      <c r="CH227" s="103">
        <v>6.14</v>
      </c>
      <c r="CI227" s="103">
        <v>1612221.0853800001</v>
      </c>
      <c r="CJ227" s="103">
        <v>22.12</v>
      </c>
      <c r="CK227" s="103">
        <f t="shared" si="12"/>
        <v>135.8168</v>
      </c>
      <c r="CL227" s="103">
        <v>122571.6</v>
      </c>
      <c r="CM227" s="103">
        <v>482218.9</v>
      </c>
      <c r="CN227" s="104">
        <v>0.25418248849225944</v>
      </c>
      <c r="CO227" s="103">
        <v>0</v>
      </c>
      <c r="CP227" s="103">
        <v>0</v>
      </c>
      <c r="CQ227" s="103">
        <v>19317.76195</v>
      </c>
      <c r="CR227" s="103">
        <v>0.75</v>
      </c>
      <c r="CS227" s="103">
        <f t="shared" si="13"/>
        <v>0</v>
      </c>
      <c r="CT227" s="103">
        <v>6704</v>
      </c>
      <c r="CU227" s="103">
        <v>558791.19999999995</v>
      </c>
      <c r="CV227" s="104">
        <v>1.1997325655808468E-2</v>
      </c>
      <c r="CW227" s="103">
        <v>13703.69397</v>
      </c>
      <c r="CX227" s="103">
        <v>1.29</v>
      </c>
      <c r="CY227" s="103">
        <v>514833.34489000001</v>
      </c>
      <c r="CZ227" s="103">
        <v>19.472850352873397</v>
      </c>
      <c r="DA227" s="103">
        <f t="shared" si="14"/>
        <v>25.119976955206685</v>
      </c>
      <c r="DB227" s="103">
        <v>13465.8</v>
      </c>
      <c r="DC227" s="103">
        <v>424898.2</v>
      </c>
      <c r="DD227" s="104">
        <v>3.1691826418657455E-2</v>
      </c>
      <c r="DE227" s="103">
        <v>67211.337100000004</v>
      </c>
      <c r="DF227" s="103">
        <v>2.77</v>
      </c>
      <c r="DG227" s="103">
        <v>176238.05201000001</v>
      </c>
      <c r="DH227" s="103">
        <v>3.49</v>
      </c>
      <c r="DI227" s="103">
        <f t="shared" si="15"/>
        <v>9.6673000000000009</v>
      </c>
      <c r="DJ227" s="103">
        <v>1919.6</v>
      </c>
      <c r="DK227" s="103">
        <v>72829.100000000006</v>
      </c>
      <c r="DL227" s="104">
        <v>2.6357596070801365E-2</v>
      </c>
    </row>
    <row r="228" spans="1:116" s="15" customFormat="1" ht="159.94999999999999" customHeight="1" x14ac:dyDescent="0.25">
      <c r="A228" s="100" t="s">
        <v>313</v>
      </c>
      <c r="B228" s="100" t="s">
        <v>2566</v>
      </c>
      <c r="C228" s="100" t="s">
        <v>279</v>
      </c>
      <c r="D228" s="105" t="str">
        <f>"Chemistry 80"</f>
        <v>Chemistry 80</v>
      </c>
      <c r="E228" s="102" t="s">
        <v>2567</v>
      </c>
      <c r="F228" s="100">
        <v>18</v>
      </c>
      <c r="G228" s="100">
        <v>9</v>
      </c>
      <c r="H228" s="100">
        <v>0.5</v>
      </c>
      <c r="I228" s="100">
        <v>25</v>
      </c>
      <c r="J228" s="100">
        <v>7</v>
      </c>
      <c r="K228" s="100">
        <v>7</v>
      </c>
      <c r="L228" s="100">
        <v>4</v>
      </c>
      <c r="M228" s="100">
        <v>1</v>
      </c>
      <c r="N228" s="100">
        <v>6</v>
      </c>
      <c r="O228" s="100">
        <v>2</v>
      </c>
      <c r="P228" s="100">
        <v>2.2799999999999998</v>
      </c>
      <c r="Q228" s="100">
        <v>83.03</v>
      </c>
      <c r="R228" s="100">
        <v>3</v>
      </c>
      <c r="S228" s="100">
        <v>1</v>
      </c>
      <c r="T228" s="100">
        <v>0</v>
      </c>
      <c r="U228" s="100">
        <v>0</v>
      </c>
      <c r="V228" s="100">
        <v>1</v>
      </c>
      <c r="W228" s="100">
        <v>0</v>
      </c>
      <c r="X228" s="100">
        <v>0</v>
      </c>
      <c r="Y228" s="100">
        <v>1</v>
      </c>
      <c r="Z228" s="100">
        <v>0</v>
      </c>
      <c r="AA228" s="100">
        <v>0</v>
      </c>
      <c r="AB228" s="100">
        <v>1</v>
      </c>
      <c r="AC228" s="100">
        <v>0</v>
      </c>
      <c r="AD228" s="100">
        <v>0</v>
      </c>
      <c r="AE228" s="100">
        <v>0</v>
      </c>
      <c r="AF228" s="100">
        <v>0</v>
      </c>
      <c r="AG228" s="100">
        <v>1</v>
      </c>
      <c r="AH228" s="100">
        <v>0</v>
      </c>
      <c r="AI228" s="100">
        <v>0</v>
      </c>
      <c r="AJ228" s="100">
        <v>1</v>
      </c>
      <c r="AK228" s="100">
        <v>0</v>
      </c>
      <c r="AL228" s="100">
        <v>0</v>
      </c>
      <c r="AM228" s="100">
        <v>0</v>
      </c>
      <c r="AN228" s="100">
        <v>0</v>
      </c>
      <c r="AO228" s="100">
        <v>0</v>
      </c>
      <c r="AP228" s="100">
        <v>0</v>
      </c>
      <c r="AQ228" s="100">
        <v>0</v>
      </c>
      <c r="AR228" s="100">
        <v>0</v>
      </c>
      <c r="AS228" s="100">
        <v>0</v>
      </c>
      <c r="AT228" s="100">
        <v>1</v>
      </c>
      <c r="AU228" s="100">
        <v>0</v>
      </c>
      <c r="AV228" s="100">
        <v>1</v>
      </c>
      <c r="AW228" s="100">
        <v>0</v>
      </c>
      <c r="AX228" s="100">
        <v>0</v>
      </c>
      <c r="AY228" s="100">
        <v>1</v>
      </c>
      <c r="AZ228" s="100">
        <v>0</v>
      </c>
      <c r="BA228" s="100">
        <v>0</v>
      </c>
      <c r="BB228" s="100">
        <v>0</v>
      </c>
      <c r="BC228" s="100">
        <v>0</v>
      </c>
      <c r="BD228" s="100">
        <v>0</v>
      </c>
      <c r="BE228" s="100">
        <v>0</v>
      </c>
      <c r="BF228" s="100">
        <v>0</v>
      </c>
      <c r="BG228" s="100">
        <v>0</v>
      </c>
      <c r="BH228" s="100">
        <v>0</v>
      </c>
      <c r="BI228" s="100">
        <v>0</v>
      </c>
      <c r="BJ228" s="100">
        <v>3</v>
      </c>
      <c r="BK228" s="100">
        <v>0</v>
      </c>
      <c r="BL228" s="100">
        <v>0</v>
      </c>
      <c r="BM228" s="100">
        <v>0</v>
      </c>
      <c r="BN228" s="100">
        <v>0</v>
      </c>
      <c r="BO228" s="100">
        <v>0</v>
      </c>
      <c r="BP228" s="100">
        <v>0</v>
      </c>
      <c r="BQ228" s="100">
        <v>0</v>
      </c>
      <c r="BR228" s="100">
        <v>0</v>
      </c>
      <c r="BS228" s="100">
        <v>0</v>
      </c>
      <c r="BT228" s="100">
        <v>0</v>
      </c>
      <c r="BU228" s="100">
        <v>0</v>
      </c>
      <c r="BV228" s="100">
        <v>0</v>
      </c>
      <c r="BW228" s="100">
        <v>1</v>
      </c>
      <c r="BX228" s="100">
        <v>0</v>
      </c>
      <c r="BY228" s="100">
        <v>0</v>
      </c>
      <c r="BZ228" s="100">
        <v>1</v>
      </c>
      <c r="CA228" s="100">
        <v>0</v>
      </c>
      <c r="CB228" s="100" t="s">
        <v>2090</v>
      </c>
      <c r="CC228" s="100">
        <v>0</v>
      </c>
      <c r="CD228" s="100">
        <v>0</v>
      </c>
      <c r="CE228" s="100">
        <v>0</v>
      </c>
      <c r="CF228" s="100">
        <v>0</v>
      </c>
      <c r="CG228" s="103">
        <v>0</v>
      </c>
      <c r="CH228" s="103">
        <v>0</v>
      </c>
      <c r="CI228" s="103">
        <v>515.30451000000005</v>
      </c>
      <c r="CJ228" s="103">
        <v>0</v>
      </c>
      <c r="CK228" s="103">
        <f t="shared" si="12"/>
        <v>0</v>
      </c>
      <c r="CL228" s="103">
        <v>806.4</v>
      </c>
      <c r="CM228" s="103">
        <v>264212.2</v>
      </c>
      <c r="CN228" s="104">
        <v>3.0520922198142247E-3</v>
      </c>
      <c r="CO228" s="103">
        <v>0</v>
      </c>
      <c r="CP228" s="103">
        <v>0</v>
      </c>
      <c r="CQ228" s="103">
        <v>0</v>
      </c>
      <c r="CR228" s="103">
        <v>0</v>
      </c>
      <c r="CS228" s="103">
        <f t="shared" si="13"/>
        <v>0</v>
      </c>
      <c r="CT228" s="103">
        <v>245</v>
      </c>
      <c r="CU228" s="103">
        <v>57973</v>
      </c>
      <c r="CV228" s="104">
        <v>4.2261052558949857E-3</v>
      </c>
      <c r="CW228" s="103">
        <v>16466.954590000001</v>
      </c>
      <c r="CX228" s="103">
        <v>1.38</v>
      </c>
      <c r="CY228" s="103">
        <v>29663.597900000001</v>
      </c>
      <c r="CZ228" s="103">
        <v>0</v>
      </c>
      <c r="DA228" s="103">
        <f t="shared" si="14"/>
        <v>0</v>
      </c>
      <c r="DB228" s="103">
        <v>1566.9</v>
      </c>
      <c r="DC228" s="103">
        <v>610378.30000000005</v>
      </c>
      <c r="DD228" s="104">
        <v>2.5670965039222395E-3</v>
      </c>
      <c r="DE228" s="103">
        <v>0</v>
      </c>
      <c r="DF228" s="103">
        <v>0</v>
      </c>
      <c r="DG228" s="103">
        <v>20099.0206</v>
      </c>
      <c r="DH228" s="103">
        <v>0</v>
      </c>
      <c r="DI228" s="103">
        <f t="shared" si="15"/>
        <v>0</v>
      </c>
      <c r="DJ228" s="103">
        <v>2070.6999999999998</v>
      </c>
      <c r="DK228" s="103">
        <v>359908.9</v>
      </c>
      <c r="DL228" s="104">
        <v>5.7534003743725136E-3</v>
      </c>
    </row>
    <row r="229" spans="1:116" s="15" customFormat="1" ht="215.45" customHeight="1" x14ac:dyDescent="0.25">
      <c r="A229" s="100" t="s">
        <v>314</v>
      </c>
      <c r="B229" s="100" t="s">
        <v>2568</v>
      </c>
      <c r="C229" s="100" t="s">
        <v>279</v>
      </c>
      <c r="D229" s="101" t="str">
        <f>"Chemistry 17"</f>
        <v>Chemistry 17</v>
      </c>
      <c r="E229" s="102" t="s">
        <v>2569</v>
      </c>
      <c r="F229" s="100">
        <v>11</v>
      </c>
      <c r="G229" s="100">
        <v>10</v>
      </c>
      <c r="H229" s="100">
        <v>0.91</v>
      </c>
      <c r="I229" s="100">
        <v>15</v>
      </c>
      <c r="J229" s="100">
        <v>4</v>
      </c>
      <c r="K229" s="100">
        <v>4</v>
      </c>
      <c r="L229" s="100">
        <v>3</v>
      </c>
      <c r="M229" s="100">
        <v>0</v>
      </c>
      <c r="N229" s="100">
        <v>2</v>
      </c>
      <c r="O229" s="100">
        <v>2</v>
      </c>
      <c r="P229" s="100">
        <v>0.18</v>
      </c>
      <c r="Q229" s="100">
        <v>44.37</v>
      </c>
      <c r="R229" s="100">
        <v>1</v>
      </c>
      <c r="S229" s="100">
        <v>0</v>
      </c>
      <c r="T229" s="100">
        <v>1</v>
      </c>
      <c r="U229" s="100">
        <v>0</v>
      </c>
      <c r="V229" s="100">
        <v>0</v>
      </c>
      <c r="W229" s="100">
        <v>1</v>
      </c>
      <c r="X229" s="100">
        <v>0</v>
      </c>
      <c r="Y229" s="100">
        <v>1</v>
      </c>
      <c r="Z229" s="100">
        <v>0</v>
      </c>
      <c r="AA229" s="100">
        <v>0</v>
      </c>
      <c r="AB229" s="100">
        <v>0</v>
      </c>
      <c r="AC229" s="100">
        <v>1</v>
      </c>
      <c r="AD229" s="100">
        <v>0</v>
      </c>
      <c r="AE229" s="100">
        <v>1</v>
      </c>
      <c r="AF229" s="100">
        <v>0</v>
      </c>
      <c r="AG229" s="100">
        <v>0</v>
      </c>
      <c r="AH229" s="100">
        <v>0</v>
      </c>
      <c r="AI229" s="100">
        <v>1</v>
      </c>
      <c r="AJ229" s="100">
        <v>0</v>
      </c>
      <c r="AK229" s="100">
        <v>0</v>
      </c>
      <c r="AL229" s="100">
        <v>0</v>
      </c>
      <c r="AM229" s="100">
        <v>0</v>
      </c>
      <c r="AN229" s="100">
        <v>0</v>
      </c>
      <c r="AO229" s="100">
        <v>0</v>
      </c>
      <c r="AP229" s="100">
        <v>0</v>
      </c>
      <c r="AQ229" s="100">
        <v>0</v>
      </c>
      <c r="AR229" s="100">
        <v>0</v>
      </c>
      <c r="AS229" s="100">
        <v>0</v>
      </c>
      <c r="AT229" s="100">
        <v>0</v>
      </c>
      <c r="AU229" s="100">
        <v>0</v>
      </c>
      <c r="AV229" s="100">
        <v>0</v>
      </c>
      <c r="AW229" s="100">
        <v>0</v>
      </c>
      <c r="AX229" s="100">
        <v>0</v>
      </c>
      <c r="AY229" s="100">
        <v>0</v>
      </c>
      <c r="AZ229" s="100">
        <v>0</v>
      </c>
      <c r="BA229" s="100">
        <v>0</v>
      </c>
      <c r="BB229" s="100">
        <v>0</v>
      </c>
      <c r="BC229" s="100">
        <v>0</v>
      </c>
      <c r="BD229" s="100">
        <v>0</v>
      </c>
      <c r="BE229" s="100">
        <v>0</v>
      </c>
      <c r="BF229" s="100">
        <v>0</v>
      </c>
      <c r="BG229" s="100">
        <v>0</v>
      </c>
      <c r="BH229" s="100">
        <v>0</v>
      </c>
      <c r="BI229" s="100">
        <v>1</v>
      </c>
      <c r="BJ229" s="100">
        <v>1</v>
      </c>
      <c r="BK229" s="100">
        <v>0</v>
      </c>
      <c r="BL229" s="100">
        <v>0</v>
      </c>
      <c r="BM229" s="100">
        <v>0</v>
      </c>
      <c r="BN229" s="100">
        <v>0</v>
      </c>
      <c r="BO229" s="100">
        <v>0</v>
      </c>
      <c r="BP229" s="100">
        <v>0</v>
      </c>
      <c r="BQ229" s="100">
        <v>0</v>
      </c>
      <c r="BR229" s="100">
        <v>0</v>
      </c>
      <c r="BS229" s="100">
        <v>0</v>
      </c>
      <c r="BT229" s="100">
        <v>0</v>
      </c>
      <c r="BU229" s="100">
        <v>0</v>
      </c>
      <c r="BV229" s="100">
        <v>0</v>
      </c>
      <c r="BW229" s="100">
        <v>1</v>
      </c>
      <c r="BX229" s="100">
        <v>0</v>
      </c>
      <c r="BY229" s="100">
        <v>0</v>
      </c>
      <c r="BZ229" s="100">
        <v>1</v>
      </c>
      <c r="CA229" s="100">
        <v>1</v>
      </c>
      <c r="CB229" s="100" t="s">
        <v>2090</v>
      </c>
      <c r="CC229" s="100">
        <v>0</v>
      </c>
      <c r="CD229" s="100">
        <v>0</v>
      </c>
      <c r="CE229" s="100">
        <v>0</v>
      </c>
      <c r="CF229" s="100">
        <v>0</v>
      </c>
      <c r="CG229" s="103">
        <v>253373.97211999999</v>
      </c>
      <c r="CH229" s="103">
        <v>15.05</v>
      </c>
      <c r="CI229" s="103">
        <v>1976430.11947</v>
      </c>
      <c r="CJ229" s="103">
        <v>30.42</v>
      </c>
      <c r="CK229" s="103">
        <f t="shared" si="12"/>
        <v>457.82100000000003</v>
      </c>
      <c r="CL229" s="103">
        <v>749248.6</v>
      </c>
      <c r="CM229" s="103">
        <v>1053895.8</v>
      </c>
      <c r="CN229" s="104">
        <v>0.7109323331585532</v>
      </c>
      <c r="CO229" s="103">
        <v>62410.647929999999</v>
      </c>
      <c r="CP229" s="103">
        <v>3.64</v>
      </c>
      <c r="CQ229" s="103">
        <v>1063478.12846</v>
      </c>
      <c r="CR229" s="103">
        <v>15.43</v>
      </c>
      <c r="CS229" s="103">
        <f t="shared" si="13"/>
        <v>56.165199999999999</v>
      </c>
      <c r="CT229" s="103">
        <v>191215.7</v>
      </c>
      <c r="CU229" s="103">
        <v>553235.30000000005</v>
      </c>
      <c r="CV229" s="104">
        <v>0.34563177729259142</v>
      </c>
      <c r="CW229" s="103">
        <v>206304.57152999999</v>
      </c>
      <c r="CX229" s="103">
        <v>15.38</v>
      </c>
      <c r="CY229" s="103">
        <v>1768731.7589499999</v>
      </c>
      <c r="CZ229" s="103">
        <v>20.858137706391105</v>
      </c>
      <c r="DA229" s="103">
        <f t="shared" si="14"/>
        <v>320.7981579242952</v>
      </c>
      <c r="DB229" s="103">
        <v>188150.9</v>
      </c>
      <c r="DC229" s="103">
        <v>277022.59999999998</v>
      </c>
      <c r="DD229" s="104">
        <v>0.67918971231950032</v>
      </c>
      <c r="DE229" s="103">
        <v>221157.05783999999</v>
      </c>
      <c r="DF229" s="103">
        <v>10.42</v>
      </c>
      <c r="DG229" s="103">
        <v>1834265.28195</v>
      </c>
      <c r="DH229" s="103">
        <v>15.99</v>
      </c>
      <c r="DI229" s="103">
        <f t="shared" si="15"/>
        <v>166.61580000000001</v>
      </c>
      <c r="DJ229" s="103">
        <v>6822.9</v>
      </c>
      <c r="DK229" s="103">
        <v>18007.2</v>
      </c>
      <c r="DL229" s="104">
        <v>0.37889844062375044</v>
      </c>
    </row>
    <row r="230" spans="1:116" s="15" customFormat="1" ht="225.95" customHeight="1" x14ac:dyDescent="0.25">
      <c r="A230" s="100" t="s">
        <v>315</v>
      </c>
      <c r="B230" s="100" t="s">
        <v>2570</v>
      </c>
      <c r="C230" s="100" t="s">
        <v>279</v>
      </c>
      <c r="D230" s="101" t="str">
        <f>"Chemistry 39"</f>
        <v>Chemistry 39</v>
      </c>
      <c r="E230" s="102" t="s">
        <v>2571</v>
      </c>
      <c r="F230" s="100">
        <v>10</v>
      </c>
      <c r="G230" s="100">
        <v>6</v>
      </c>
      <c r="H230" s="100">
        <v>0.6</v>
      </c>
      <c r="I230" s="100">
        <v>14</v>
      </c>
      <c r="J230" s="100">
        <v>4</v>
      </c>
      <c r="K230" s="100">
        <v>4</v>
      </c>
      <c r="L230" s="100">
        <v>3</v>
      </c>
      <c r="M230" s="100">
        <v>0</v>
      </c>
      <c r="N230" s="100">
        <v>3</v>
      </c>
      <c r="O230" s="100">
        <v>1</v>
      </c>
      <c r="P230" s="100">
        <v>-0.09</v>
      </c>
      <c r="Q230" s="100">
        <v>44.7</v>
      </c>
      <c r="R230" s="100">
        <v>1</v>
      </c>
      <c r="S230" s="100">
        <v>0</v>
      </c>
      <c r="T230" s="100">
        <v>0</v>
      </c>
      <c r="U230" s="100">
        <v>1</v>
      </c>
      <c r="V230" s="100">
        <v>0</v>
      </c>
      <c r="W230" s="100">
        <v>1</v>
      </c>
      <c r="X230" s="100">
        <v>0</v>
      </c>
      <c r="Y230" s="100">
        <v>0</v>
      </c>
      <c r="Z230" s="100">
        <v>1</v>
      </c>
      <c r="AA230" s="100">
        <v>0</v>
      </c>
      <c r="AB230" s="100">
        <v>0</v>
      </c>
      <c r="AC230" s="100">
        <v>1</v>
      </c>
      <c r="AD230" s="100">
        <v>0</v>
      </c>
      <c r="AE230" s="100">
        <v>1</v>
      </c>
      <c r="AF230" s="100">
        <v>0</v>
      </c>
      <c r="AG230" s="100">
        <v>0</v>
      </c>
      <c r="AH230" s="100">
        <v>0</v>
      </c>
      <c r="AI230" s="100">
        <v>1</v>
      </c>
      <c r="AJ230" s="100">
        <v>0</v>
      </c>
      <c r="AK230" s="100">
        <v>0</v>
      </c>
      <c r="AL230" s="100">
        <v>0</v>
      </c>
      <c r="AM230" s="100">
        <v>0</v>
      </c>
      <c r="AN230" s="100">
        <v>0</v>
      </c>
      <c r="AO230" s="100">
        <v>1</v>
      </c>
      <c r="AP230" s="100">
        <v>0</v>
      </c>
      <c r="AQ230" s="100">
        <v>0</v>
      </c>
      <c r="AR230" s="100">
        <v>0</v>
      </c>
      <c r="AS230" s="100">
        <v>0</v>
      </c>
      <c r="AT230" s="100">
        <v>1</v>
      </c>
      <c r="AU230" s="100">
        <v>0</v>
      </c>
      <c r="AV230" s="100">
        <v>0</v>
      </c>
      <c r="AW230" s="100">
        <v>0</v>
      </c>
      <c r="AX230" s="100">
        <v>0</v>
      </c>
      <c r="AY230" s="100">
        <v>0</v>
      </c>
      <c r="AZ230" s="100">
        <v>0</v>
      </c>
      <c r="BA230" s="100">
        <v>0</v>
      </c>
      <c r="BB230" s="100">
        <v>0</v>
      </c>
      <c r="BC230" s="100">
        <v>0</v>
      </c>
      <c r="BD230" s="100">
        <v>0</v>
      </c>
      <c r="BE230" s="100">
        <v>0</v>
      </c>
      <c r="BF230" s="100">
        <v>0</v>
      </c>
      <c r="BG230" s="100">
        <v>0</v>
      </c>
      <c r="BH230" s="100">
        <v>0</v>
      </c>
      <c r="BI230" s="100">
        <v>0</v>
      </c>
      <c r="BJ230" s="100">
        <v>1</v>
      </c>
      <c r="BK230" s="100">
        <v>0</v>
      </c>
      <c r="BL230" s="100">
        <v>0</v>
      </c>
      <c r="BM230" s="100">
        <v>0</v>
      </c>
      <c r="BN230" s="100">
        <v>0</v>
      </c>
      <c r="BO230" s="100">
        <v>0</v>
      </c>
      <c r="BP230" s="100">
        <v>0</v>
      </c>
      <c r="BQ230" s="100">
        <v>0</v>
      </c>
      <c r="BR230" s="100">
        <v>0</v>
      </c>
      <c r="BS230" s="100">
        <v>0</v>
      </c>
      <c r="BT230" s="100">
        <v>0</v>
      </c>
      <c r="BU230" s="100">
        <v>0</v>
      </c>
      <c r="BV230" s="100">
        <v>0</v>
      </c>
      <c r="BW230" s="100">
        <v>0</v>
      </c>
      <c r="BX230" s="100">
        <v>1</v>
      </c>
      <c r="BY230" s="100">
        <v>0</v>
      </c>
      <c r="BZ230" s="100">
        <v>1</v>
      </c>
      <c r="CA230" s="100">
        <v>0</v>
      </c>
      <c r="CB230" s="100" t="s">
        <v>2090</v>
      </c>
      <c r="CC230" s="100">
        <v>0</v>
      </c>
      <c r="CD230" s="100">
        <v>1</v>
      </c>
      <c r="CE230" s="100">
        <v>0</v>
      </c>
      <c r="CF230" s="100">
        <v>0</v>
      </c>
      <c r="CG230" s="103">
        <v>0</v>
      </c>
      <c r="CH230" s="103">
        <v>0</v>
      </c>
      <c r="CI230" s="103">
        <v>2263.1799500000002</v>
      </c>
      <c r="CJ230" s="103">
        <v>0</v>
      </c>
      <c r="CK230" s="103">
        <f t="shared" si="12"/>
        <v>0</v>
      </c>
      <c r="CL230" s="103">
        <v>3553.9</v>
      </c>
      <c r="CM230" s="103">
        <v>362618.8</v>
      </c>
      <c r="CN230" s="104">
        <v>9.8006501593408835E-3</v>
      </c>
      <c r="CO230" s="103">
        <v>17617.600979999999</v>
      </c>
      <c r="CP230" s="103">
        <v>0.81</v>
      </c>
      <c r="CQ230" s="103">
        <v>997.85718999999995</v>
      </c>
      <c r="CR230" s="103">
        <v>0</v>
      </c>
      <c r="CS230" s="103">
        <f t="shared" si="13"/>
        <v>0</v>
      </c>
      <c r="CT230" s="103">
        <v>9150.7000000000007</v>
      </c>
      <c r="CU230" s="103">
        <v>687376.9</v>
      </c>
      <c r="CV230" s="104">
        <v>1.3312492753247892E-2</v>
      </c>
      <c r="CW230" s="103">
        <v>175928.98636000001</v>
      </c>
      <c r="CX230" s="103">
        <v>10.67</v>
      </c>
      <c r="CY230" s="103">
        <v>1326624.59234</v>
      </c>
      <c r="CZ230" s="103">
        <v>21.53882688197578</v>
      </c>
      <c r="DA230" s="103">
        <f t="shared" si="14"/>
        <v>229.81928283068157</v>
      </c>
      <c r="DB230" s="103">
        <v>347541.2</v>
      </c>
      <c r="DC230" s="103">
        <v>917836.80000000005</v>
      </c>
      <c r="DD230" s="104">
        <v>0.3786525011853959</v>
      </c>
      <c r="DE230" s="103">
        <v>20525.194739999999</v>
      </c>
      <c r="DF230" s="103">
        <v>1.1400000000000001</v>
      </c>
      <c r="DG230" s="103">
        <v>4489.0648199999996</v>
      </c>
      <c r="DH230" s="103">
        <v>2.9</v>
      </c>
      <c r="DI230" s="103">
        <f t="shared" si="15"/>
        <v>3.306</v>
      </c>
      <c r="DJ230" s="103">
        <v>6969.7</v>
      </c>
      <c r="DK230" s="103">
        <v>885008.4</v>
      </c>
      <c r="DL230" s="104">
        <v>7.8752924830995958E-3</v>
      </c>
    </row>
    <row r="231" spans="1:116" s="15" customFormat="1" ht="264.2" customHeight="1" x14ac:dyDescent="0.25">
      <c r="A231" s="100" t="s">
        <v>316</v>
      </c>
      <c r="B231" s="100" t="s">
        <v>2572</v>
      </c>
      <c r="C231" s="100" t="s">
        <v>279</v>
      </c>
      <c r="D231" s="101" t="str">
        <f>"Chemistry 142"</f>
        <v>Chemistry 142</v>
      </c>
      <c r="E231" s="102" t="s">
        <v>2573</v>
      </c>
      <c r="F231" s="100">
        <v>12</v>
      </c>
      <c r="G231" s="100">
        <v>6</v>
      </c>
      <c r="H231" s="100">
        <v>0.5</v>
      </c>
      <c r="I231" s="100">
        <v>17</v>
      </c>
      <c r="J231" s="100">
        <v>5</v>
      </c>
      <c r="K231" s="100">
        <v>5</v>
      </c>
      <c r="L231" s="100">
        <v>4</v>
      </c>
      <c r="M231" s="100">
        <v>1</v>
      </c>
      <c r="N231" s="100">
        <v>3</v>
      </c>
      <c r="O231" s="100">
        <v>1</v>
      </c>
      <c r="P231" s="100">
        <v>-0.16</v>
      </c>
      <c r="Q231" s="100">
        <v>48.47</v>
      </c>
      <c r="R231" s="100">
        <v>1</v>
      </c>
      <c r="S231" s="100">
        <v>0</v>
      </c>
      <c r="T231" s="100">
        <v>1</v>
      </c>
      <c r="U231" s="100">
        <v>0</v>
      </c>
      <c r="V231" s="100">
        <v>1</v>
      </c>
      <c r="W231" s="100">
        <v>1</v>
      </c>
      <c r="X231" s="100">
        <v>0</v>
      </c>
      <c r="Y231" s="100">
        <v>0</v>
      </c>
      <c r="Z231" s="100">
        <v>1</v>
      </c>
      <c r="AA231" s="100">
        <v>0</v>
      </c>
      <c r="AB231" s="100">
        <v>0</v>
      </c>
      <c r="AC231" s="100">
        <v>1</v>
      </c>
      <c r="AD231" s="100">
        <v>0</v>
      </c>
      <c r="AE231" s="100">
        <v>1</v>
      </c>
      <c r="AF231" s="100">
        <v>0</v>
      </c>
      <c r="AG231" s="100">
        <v>0</v>
      </c>
      <c r="AH231" s="100">
        <v>0</v>
      </c>
      <c r="AI231" s="100">
        <v>0</v>
      </c>
      <c r="AJ231" s="100">
        <v>1</v>
      </c>
      <c r="AK231" s="100">
        <v>0</v>
      </c>
      <c r="AL231" s="100">
        <v>0</v>
      </c>
      <c r="AM231" s="100">
        <v>0</v>
      </c>
      <c r="AN231" s="100">
        <v>0</v>
      </c>
      <c r="AO231" s="100">
        <v>1</v>
      </c>
      <c r="AP231" s="100">
        <v>0</v>
      </c>
      <c r="AQ231" s="100">
        <v>0</v>
      </c>
      <c r="AR231" s="100">
        <v>0</v>
      </c>
      <c r="AS231" s="100">
        <v>0</v>
      </c>
      <c r="AT231" s="100">
        <v>0</v>
      </c>
      <c r="AU231" s="100">
        <v>0</v>
      </c>
      <c r="AV231" s="100">
        <v>0</v>
      </c>
      <c r="AW231" s="100">
        <v>0</v>
      </c>
      <c r="AX231" s="100">
        <v>0</v>
      </c>
      <c r="AY231" s="100">
        <v>0</v>
      </c>
      <c r="AZ231" s="100">
        <v>0</v>
      </c>
      <c r="BA231" s="100">
        <v>0</v>
      </c>
      <c r="BB231" s="100">
        <v>0</v>
      </c>
      <c r="BC231" s="100">
        <v>0</v>
      </c>
      <c r="BD231" s="100">
        <v>0</v>
      </c>
      <c r="BE231" s="100">
        <v>0</v>
      </c>
      <c r="BF231" s="100">
        <v>0</v>
      </c>
      <c r="BG231" s="100">
        <v>0</v>
      </c>
      <c r="BH231" s="100">
        <v>0</v>
      </c>
      <c r="BI231" s="100">
        <v>1</v>
      </c>
      <c r="BJ231" s="100">
        <v>1</v>
      </c>
      <c r="BK231" s="100">
        <v>0</v>
      </c>
      <c r="BL231" s="100">
        <v>0</v>
      </c>
      <c r="BM231" s="100">
        <v>0</v>
      </c>
      <c r="BN231" s="100">
        <v>0</v>
      </c>
      <c r="BO231" s="100">
        <v>0</v>
      </c>
      <c r="BP231" s="100">
        <v>0</v>
      </c>
      <c r="BQ231" s="100">
        <v>0</v>
      </c>
      <c r="BR231" s="100">
        <v>0</v>
      </c>
      <c r="BS231" s="100">
        <v>0</v>
      </c>
      <c r="BT231" s="100">
        <v>0</v>
      </c>
      <c r="BU231" s="100">
        <v>0</v>
      </c>
      <c r="BV231" s="100">
        <v>0</v>
      </c>
      <c r="BW231" s="100">
        <v>1</v>
      </c>
      <c r="BX231" s="100">
        <v>0</v>
      </c>
      <c r="BY231" s="100">
        <v>0</v>
      </c>
      <c r="BZ231" s="100">
        <v>1</v>
      </c>
      <c r="CA231" s="100">
        <v>1</v>
      </c>
      <c r="CB231" s="100" t="s">
        <v>2090</v>
      </c>
      <c r="CC231" s="100">
        <v>0</v>
      </c>
      <c r="CD231" s="100">
        <v>0</v>
      </c>
      <c r="CE231" s="100">
        <v>0</v>
      </c>
      <c r="CF231" s="100">
        <v>0</v>
      </c>
      <c r="CG231" s="103">
        <v>963484.99794000003</v>
      </c>
      <c r="CH231" s="103">
        <v>44.01</v>
      </c>
      <c r="CI231" s="103">
        <v>2646264.1143499999</v>
      </c>
      <c r="CJ231" s="103">
        <v>33.82</v>
      </c>
      <c r="CK231" s="103">
        <f t="shared" si="12"/>
        <v>1488.4181999999998</v>
      </c>
      <c r="CL231" s="103">
        <v>763681.1</v>
      </c>
      <c r="CM231" s="103">
        <v>561888.5</v>
      </c>
      <c r="CN231" s="104">
        <v>1.3591328172760253</v>
      </c>
      <c r="CO231" s="103">
        <v>170615.70397999999</v>
      </c>
      <c r="CP231" s="103">
        <v>9.16</v>
      </c>
      <c r="CQ231" s="103">
        <v>1116919.9790399999</v>
      </c>
      <c r="CR231" s="103">
        <v>24.45</v>
      </c>
      <c r="CS231" s="103">
        <f t="shared" si="13"/>
        <v>223.96199999999999</v>
      </c>
      <c r="CT231" s="103">
        <v>566589.6</v>
      </c>
      <c r="CU231" s="103">
        <v>789714.3</v>
      </c>
      <c r="CV231" s="104">
        <v>0.71746149208644183</v>
      </c>
      <c r="CW231" s="103">
        <v>716577.94090000005</v>
      </c>
      <c r="CX231" s="103">
        <v>49.2</v>
      </c>
      <c r="CY231" s="103">
        <v>2843971.6298400001</v>
      </c>
      <c r="CZ231" s="103">
        <v>62.466725820763088</v>
      </c>
      <c r="DA231" s="103">
        <f t="shared" si="14"/>
        <v>3073.3629103815442</v>
      </c>
      <c r="DB231" s="103">
        <v>447276.6</v>
      </c>
      <c r="DC231" s="103">
        <v>154170.29999999999</v>
      </c>
      <c r="DD231" s="104">
        <v>2.9011852477422697</v>
      </c>
      <c r="DE231" s="103">
        <v>484710.88548</v>
      </c>
      <c r="DF231" s="103">
        <v>24.35</v>
      </c>
      <c r="DG231" s="103">
        <v>1227960.81694</v>
      </c>
      <c r="DH231" s="103">
        <v>23.47</v>
      </c>
      <c r="DI231" s="103">
        <f t="shared" si="15"/>
        <v>571.49450000000002</v>
      </c>
      <c r="DJ231" s="103">
        <v>243287.8</v>
      </c>
      <c r="DK231" s="103">
        <v>317503.8</v>
      </c>
      <c r="DL231" s="104">
        <v>0.76625161651608575</v>
      </c>
    </row>
    <row r="232" spans="1:116" s="15" customFormat="1" ht="223.7" customHeight="1" x14ac:dyDescent="0.25">
      <c r="A232" s="100" t="s">
        <v>317</v>
      </c>
      <c r="B232" s="100" t="s">
        <v>2574</v>
      </c>
      <c r="C232" s="100" t="s">
        <v>279</v>
      </c>
      <c r="D232" s="101" t="str">
        <f>"Chemistry 74"</f>
        <v>Chemistry 74</v>
      </c>
      <c r="E232" s="102" t="s">
        <v>2575</v>
      </c>
      <c r="F232" s="100">
        <v>9</v>
      </c>
      <c r="G232" s="100">
        <v>5</v>
      </c>
      <c r="H232" s="100">
        <v>0.56000000000000005</v>
      </c>
      <c r="I232" s="100">
        <v>13</v>
      </c>
      <c r="J232" s="100">
        <v>4</v>
      </c>
      <c r="K232" s="100">
        <v>4</v>
      </c>
      <c r="L232" s="100">
        <v>3</v>
      </c>
      <c r="M232" s="100">
        <v>0</v>
      </c>
      <c r="N232" s="100">
        <v>3</v>
      </c>
      <c r="O232" s="100">
        <v>1</v>
      </c>
      <c r="P232" s="100">
        <v>-0.49</v>
      </c>
      <c r="Q232" s="100">
        <v>44.7</v>
      </c>
      <c r="R232" s="100">
        <v>1</v>
      </c>
      <c r="S232" s="100">
        <v>0</v>
      </c>
      <c r="T232" s="100">
        <v>0</v>
      </c>
      <c r="U232" s="100">
        <v>1</v>
      </c>
      <c r="V232" s="100">
        <v>0</v>
      </c>
      <c r="W232" s="100">
        <v>1</v>
      </c>
      <c r="X232" s="100">
        <v>0</v>
      </c>
      <c r="Y232" s="100">
        <v>0</v>
      </c>
      <c r="Z232" s="100">
        <v>1</v>
      </c>
      <c r="AA232" s="100">
        <v>0</v>
      </c>
      <c r="AB232" s="100">
        <v>0</v>
      </c>
      <c r="AC232" s="100">
        <v>1</v>
      </c>
      <c r="AD232" s="100">
        <v>0</v>
      </c>
      <c r="AE232" s="100">
        <v>1</v>
      </c>
      <c r="AF232" s="100">
        <v>0</v>
      </c>
      <c r="AG232" s="100">
        <v>0</v>
      </c>
      <c r="AH232" s="100">
        <v>0</v>
      </c>
      <c r="AI232" s="100">
        <v>1</v>
      </c>
      <c r="AJ232" s="100">
        <v>0</v>
      </c>
      <c r="AK232" s="100">
        <v>0</v>
      </c>
      <c r="AL232" s="100">
        <v>0</v>
      </c>
      <c r="AM232" s="100">
        <v>0</v>
      </c>
      <c r="AN232" s="100">
        <v>0</v>
      </c>
      <c r="AO232" s="100">
        <v>1</v>
      </c>
      <c r="AP232" s="100">
        <v>0</v>
      </c>
      <c r="AQ232" s="100">
        <v>0</v>
      </c>
      <c r="AR232" s="100">
        <v>0</v>
      </c>
      <c r="AS232" s="100">
        <v>0</v>
      </c>
      <c r="AT232" s="100">
        <v>1</v>
      </c>
      <c r="AU232" s="100">
        <v>0</v>
      </c>
      <c r="AV232" s="100">
        <v>0</v>
      </c>
      <c r="AW232" s="100">
        <v>0</v>
      </c>
      <c r="AX232" s="100">
        <v>0</v>
      </c>
      <c r="AY232" s="100">
        <v>0</v>
      </c>
      <c r="AZ232" s="100">
        <v>0</v>
      </c>
      <c r="BA232" s="100">
        <v>0</v>
      </c>
      <c r="BB232" s="100">
        <v>0</v>
      </c>
      <c r="BC232" s="100">
        <v>0</v>
      </c>
      <c r="BD232" s="100">
        <v>0</v>
      </c>
      <c r="BE232" s="100">
        <v>0</v>
      </c>
      <c r="BF232" s="100">
        <v>0</v>
      </c>
      <c r="BG232" s="100">
        <v>0</v>
      </c>
      <c r="BH232" s="100">
        <v>0</v>
      </c>
      <c r="BI232" s="100">
        <v>0</v>
      </c>
      <c r="BJ232" s="100">
        <v>1</v>
      </c>
      <c r="BK232" s="100">
        <v>0</v>
      </c>
      <c r="BL232" s="100">
        <v>0</v>
      </c>
      <c r="BM232" s="100">
        <v>0</v>
      </c>
      <c r="BN232" s="100">
        <v>0</v>
      </c>
      <c r="BO232" s="100">
        <v>0</v>
      </c>
      <c r="BP232" s="100">
        <v>0</v>
      </c>
      <c r="BQ232" s="100">
        <v>0</v>
      </c>
      <c r="BR232" s="100">
        <v>0</v>
      </c>
      <c r="BS232" s="100">
        <v>0</v>
      </c>
      <c r="BT232" s="100">
        <v>0</v>
      </c>
      <c r="BU232" s="100">
        <v>0</v>
      </c>
      <c r="BV232" s="100">
        <v>0</v>
      </c>
      <c r="BW232" s="100">
        <v>0</v>
      </c>
      <c r="BX232" s="100">
        <v>1</v>
      </c>
      <c r="BY232" s="100">
        <v>0</v>
      </c>
      <c r="BZ232" s="100">
        <v>1</v>
      </c>
      <c r="CA232" s="100">
        <v>0</v>
      </c>
      <c r="CB232" s="100" t="s">
        <v>2090</v>
      </c>
      <c r="CC232" s="100">
        <v>0</v>
      </c>
      <c r="CD232" s="100">
        <v>1</v>
      </c>
      <c r="CE232" s="100">
        <v>0</v>
      </c>
      <c r="CF232" s="100">
        <v>0</v>
      </c>
      <c r="CG232" s="103">
        <v>131262.06117</v>
      </c>
      <c r="CH232" s="103">
        <v>7.41</v>
      </c>
      <c r="CI232" s="103">
        <v>7462.9040599999998</v>
      </c>
      <c r="CJ232" s="103">
        <v>2.17</v>
      </c>
      <c r="CK232" s="103">
        <f t="shared" si="12"/>
        <v>16.079699999999999</v>
      </c>
      <c r="CL232" s="103">
        <v>2848.9</v>
      </c>
      <c r="CM232" s="103">
        <v>730386.3</v>
      </c>
      <c r="CN232" s="104">
        <v>3.9005386601583297E-3</v>
      </c>
      <c r="CO232" s="103">
        <v>0</v>
      </c>
      <c r="CP232" s="103">
        <v>0</v>
      </c>
      <c r="CQ232" s="103">
        <v>11734.037420000001</v>
      </c>
      <c r="CR232" s="103">
        <v>0</v>
      </c>
      <c r="CS232" s="103">
        <f t="shared" si="13"/>
        <v>0</v>
      </c>
      <c r="CT232" s="103">
        <v>4300</v>
      </c>
      <c r="CU232" s="103">
        <v>783924.1</v>
      </c>
      <c r="CV232" s="104">
        <v>5.4852249088910522E-3</v>
      </c>
      <c r="CW232" s="103">
        <v>36118.791310000001</v>
      </c>
      <c r="CX232" s="103">
        <v>2.48</v>
      </c>
      <c r="CY232" s="103">
        <v>445879.36719000002</v>
      </c>
      <c r="CZ232" s="103">
        <v>12.211498111624005</v>
      </c>
      <c r="DA232" s="103">
        <f t="shared" si="14"/>
        <v>30.28451531682753</v>
      </c>
      <c r="DB232" s="103">
        <v>70690.100000000006</v>
      </c>
      <c r="DC232" s="103">
        <v>592880.6</v>
      </c>
      <c r="DD232" s="104">
        <v>0.11923159570409288</v>
      </c>
      <c r="DE232" s="103">
        <v>0</v>
      </c>
      <c r="DF232" s="103">
        <v>0</v>
      </c>
      <c r="DG232" s="103">
        <v>0</v>
      </c>
      <c r="DH232" s="103">
        <v>0</v>
      </c>
      <c r="DI232" s="103">
        <f t="shared" si="15"/>
        <v>0</v>
      </c>
      <c r="DJ232" s="103">
        <v>1195</v>
      </c>
      <c r="DK232" s="103">
        <v>273533.7</v>
      </c>
      <c r="DL232" s="104">
        <v>4.3687487135954358E-3</v>
      </c>
    </row>
    <row r="233" spans="1:116" s="15" customFormat="1" ht="196.7" customHeight="1" x14ac:dyDescent="0.25">
      <c r="A233" s="100" t="s">
        <v>318</v>
      </c>
      <c r="B233" s="100" t="s">
        <v>2576</v>
      </c>
      <c r="C233" s="100" t="s">
        <v>279</v>
      </c>
      <c r="D233" s="105" t="str">
        <f>"Chemistry 11"</f>
        <v>Chemistry 11</v>
      </c>
      <c r="E233" s="102" t="s">
        <v>2577</v>
      </c>
      <c r="F233" s="100">
        <v>12</v>
      </c>
      <c r="G233" s="100">
        <v>7</v>
      </c>
      <c r="H233" s="100">
        <v>0.57999999999999996</v>
      </c>
      <c r="I233" s="100">
        <v>18</v>
      </c>
      <c r="J233" s="100">
        <v>6</v>
      </c>
      <c r="K233" s="100">
        <v>6</v>
      </c>
      <c r="L233" s="100">
        <v>4</v>
      </c>
      <c r="M233" s="100">
        <v>0</v>
      </c>
      <c r="N233" s="100">
        <v>4</v>
      </c>
      <c r="O233" s="100">
        <v>1</v>
      </c>
      <c r="P233" s="100">
        <v>-3.24</v>
      </c>
      <c r="Q233" s="100">
        <v>65.010000000000005</v>
      </c>
      <c r="R233" s="100">
        <v>1</v>
      </c>
      <c r="S233" s="100">
        <v>0</v>
      </c>
      <c r="T233" s="100">
        <v>1</v>
      </c>
      <c r="U233" s="100">
        <v>0</v>
      </c>
      <c r="V233" s="100">
        <v>1</v>
      </c>
      <c r="W233" s="100">
        <v>0</v>
      </c>
      <c r="X233" s="100">
        <v>0</v>
      </c>
      <c r="Y233" s="100">
        <v>0</v>
      </c>
      <c r="Z233" s="100">
        <v>1</v>
      </c>
      <c r="AA233" s="100">
        <v>0</v>
      </c>
      <c r="AB233" s="100">
        <v>1</v>
      </c>
      <c r="AC233" s="100">
        <v>0</v>
      </c>
      <c r="AD233" s="100">
        <v>0</v>
      </c>
      <c r="AE233" s="100">
        <v>1</v>
      </c>
      <c r="AF233" s="100">
        <v>0</v>
      </c>
      <c r="AG233" s="100">
        <v>0</v>
      </c>
      <c r="AH233" s="100">
        <v>0</v>
      </c>
      <c r="AI233" s="100">
        <v>0</v>
      </c>
      <c r="AJ233" s="100">
        <v>1</v>
      </c>
      <c r="AK233" s="100">
        <v>0</v>
      </c>
      <c r="AL233" s="100">
        <v>0</v>
      </c>
      <c r="AM233" s="100">
        <v>0</v>
      </c>
      <c r="AN233" s="100">
        <v>0</v>
      </c>
      <c r="AO233" s="100">
        <v>1</v>
      </c>
      <c r="AP233" s="100">
        <v>0</v>
      </c>
      <c r="AQ233" s="100">
        <v>0</v>
      </c>
      <c r="AR233" s="100">
        <v>0</v>
      </c>
      <c r="AS233" s="100">
        <v>0</v>
      </c>
      <c r="AT233" s="100">
        <v>1</v>
      </c>
      <c r="AU233" s="100">
        <v>0</v>
      </c>
      <c r="AV233" s="100">
        <v>0</v>
      </c>
      <c r="AW233" s="100">
        <v>0</v>
      </c>
      <c r="AX233" s="100">
        <v>0</v>
      </c>
      <c r="AY233" s="100">
        <v>0</v>
      </c>
      <c r="AZ233" s="100">
        <v>0</v>
      </c>
      <c r="BA233" s="100">
        <v>0</v>
      </c>
      <c r="BB233" s="100">
        <v>0</v>
      </c>
      <c r="BC233" s="100">
        <v>0</v>
      </c>
      <c r="BD233" s="100">
        <v>0</v>
      </c>
      <c r="BE233" s="100">
        <v>0</v>
      </c>
      <c r="BF233" s="100">
        <v>0</v>
      </c>
      <c r="BG233" s="100">
        <v>0</v>
      </c>
      <c r="BH233" s="100">
        <v>0</v>
      </c>
      <c r="BI233" s="100">
        <v>0</v>
      </c>
      <c r="BJ233" s="100">
        <v>1</v>
      </c>
      <c r="BK233" s="100">
        <v>0</v>
      </c>
      <c r="BL233" s="100">
        <v>0</v>
      </c>
      <c r="BM233" s="100">
        <v>0</v>
      </c>
      <c r="BN233" s="100">
        <v>0</v>
      </c>
      <c r="BO233" s="100">
        <v>0</v>
      </c>
      <c r="BP233" s="100">
        <v>0</v>
      </c>
      <c r="BQ233" s="100">
        <v>0</v>
      </c>
      <c r="BR233" s="100">
        <v>0</v>
      </c>
      <c r="BS233" s="100">
        <v>0</v>
      </c>
      <c r="BT233" s="100">
        <v>0</v>
      </c>
      <c r="BU233" s="100">
        <v>0</v>
      </c>
      <c r="BV233" s="100">
        <v>0</v>
      </c>
      <c r="BW233" s="100">
        <v>0</v>
      </c>
      <c r="BX233" s="100">
        <v>1</v>
      </c>
      <c r="BY233" s="100">
        <v>0</v>
      </c>
      <c r="BZ233" s="100">
        <v>1</v>
      </c>
      <c r="CA233" s="100">
        <v>0</v>
      </c>
      <c r="CB233" s="100" t="s">
        <v>2090</v>
      </c>
      <c r="CC233" s="100">
        <v>0</v>
      </c>
      <c r="CD233" s="100">
        <v>1</v>
      </c>
      <c r="CE233" s="100">
        <v>0</v>
      </c>
      <c r="CF233" s="100">
        <v>0</v>
      </c>
      <c r="CG233" s="103">
        <v>0</v>
      </c>
      <c r="CH233" s="103">
        <v>0</v>
      </c>
      <c r="CI233" s="103">
        <v>985.51252999999997</v>
      </c>
      <c r="CJ233" s="103">
        <v>0</v>
      </c>
      <c r="CK233" s="103">
        <f t="shared" si="12"/>
        <v>0</v>
      </c>
      <c r="CL233" s="103">
        <v>1719.4</v>
      </c>
      <c r="CM233" s="103">
        <v>667162.4</v>
      </c>
      <c r="CN233" s="104">
        <v>2.5771836062703775E-3</v>
      </c>
      <c r="CO233" s="103">
        <v>0</v>
      </c>
      <c r="CP233" s="103">
        <v>0</v>
      </c>
      <c r="CQ233" s="103">
        <v>703.19439</v>
      </c>
      <c r="CR233" s="103">
        <v>0</v>
      </c>
      <c r="CS233" s="103">
        <f t="shared" si="13"/>
        <v>0</v>
      </c>
      <c r="CT233" s="103">
        <v>1873.6</v>
      </c>
      <c r="CU233" s="103">
        <v>798232.9</v>
      </c>
      <c r="CV233" s="104">
        <v>2.3471846374660825E-3</v>
      </c>
      <c r="CW233" s="103">
        <v>0</v>
      </c>
      <c r="CX233" s="103">
        <v>0</v>
      </c>
      <c r="CY233" s="103">
        <v>0</v>
      </c>
      <c r="CZ233" s="103">
        <v>0</v>
      </c>
      <c r="DA233" s="103">
        <f t="shared" si="14"/>
        <v>0</v>
      </c>
      <c r="DB233" s="103">
        <v>18920.2</v>
      </c>
      <c r="DC233" s="103">
        <v>815701.5</v>
      </c>
      <c r="DD233" s="104">
        <v>2.3195004545167566E-2</v>
      </c>
      <c r="DE233" s="103">
        <v>0</v>
      </c>
      <c r="DF233" s="103">
        <v>0</v>
      </c>
      <c r="DG233" s="103">
        <v>247.85513</v>
      </c>
      <c r="DH233" s="103">
        <v>0</v>
      </c>
      <c r="DI233" s="103">
        <f t="shared" si="15"/>
        <v>0</v>
      </c>
      <c r="DJ233" s="103">
        <v>6337.5</v>
      </c>
      <c r="DK233" s="103">
        <v>716926.4</v>
      </c>
      <c r="DL233" s="104">
        <v>8.8398195407506271E-3</v>
      </c>
    </row>
    <row r="234" spans="1:116" s="15" customFormat="1" ht="250.7" customHeight="1" x14ac:dyDescent="0.25">
      <c r="A234" s="100" t="s">
        <v>319</v>
      </c>
      <c r="B234" s="100" t="s">
        <v>2578</v>
      </c>
      <c r="C234" s="100" t="s">
        <v>279</v>
      </c>
      <c r="D234" s="101" t="str">
        <f>"Chemistry 20"</f>
        <v>Chemistry 20</v>
      </c>
      <c r="E234" s="102" t="s">
        <v>2579</v>
      </c>
      <c r="F234" s="100">
        <v>12</v>
      </c>
      <c r="G234" s="100">
        <v>3</v>
      </c>
      <c r="H234" s="100">
        <v>0.25</v>
      </c>
      <c r="I234" s="100">
        <v>17</v>
      </c>
      <c r="J234" s="100">
        <v>5</v>
      </c>
      <c r="K234" s="100">
        <v>5</v>
      </c>
      <c r="L234" s="100">
        <v>4</v>
      </c>
      <c r="M234" s="100">
        <v>1</v>
      </c>
      <c r="N234" s="100">
        <v>4</v>
      </c>
      <c r="O234" s="100">
        <v>1</v>
      </c>
      <c r="P234" s="100">
        <v>-0.62</v>
      </c>
      <c r="Q234" s="100">
        <v>57.59</v>
      </c>
      <c r="R234" s="100">
        <v>1</v>
      </c>
      <c r="S234" s="100">
        <v>0</v>
      </c>
      <c r="T234" s="100">
        <v>1</v>
      </c>
      <c r="U234" s="100">
        <v>0</v>
      </c>
      <c r="V234" s="100">
        <v>1</v>
      </c>
      <c r="W234" s="100">
        <v>0</v>
      </c>
      <c r="X234" s="100">
        <v>0</v>
      </c>
      <c r="Y234" s="100">
        <v>0</v>
      </c>
      <c r="Z234" s="100">
        <v>1</v>
      </c>
      <c r="AA234" s="100">
        <v>0</v>
      </c>
      <c r="AB234" s="100">
        <v>1</v>
      </c>
      <c r="AC234" s="100">
        <v>0</v>
      </c>
      <c r="AD234" s="100">
        <v>0</v>
      </c>
      <c r="AE234" s="100">
        <v>1</v>
      </c>
      <c r="AF234" s="100">
        <v>0</v>
      </c>
      <c r="AG234" s="100">
        <v>0</v>
      </c>
      <c r="AH234" s="100">
        <v>0</v>
      </c>
      <c r="AI234" s="100">
        <v>0</v>
      </c>
      <c r="AJ234" s="100">
        <v>1</v>
      </c>
      <c r="AK234" s="100">
        <v>0</v>
      </c>
      <c r="AL234" s="100">
        <v>0</v>
      </c>
      <c r="AM234" s="100">
        <v>0</v>
      </c>
      <c r="AN234" s="100">
        <v>0</v>
      </c>
      <c r="AO234" s="100">
        <v>0</v>
      </c>
      <c r="AP234" s="100">
        <v>0</v>
      </c>
      <c r="AQ234" s="100">
        <v>0</v>
      </c>
      <c r="AR234" s="100">
        <v>0</v>
      </c>
      <c r="AS234" s="100">
        <v>0</v>
      </c>
      <c r="AT234" s="100">
        <v>1</v>
      </c>
      <c r="AU234" s="100">
        <v>0</v>
      </c>
      <c r="AV234" s="100">
        <v>0</v>
      </c>
      <c r="AW234" s="100">
        <v>0</v>
      </c>
      <c r="AX234" s="100">
        <v>0</v>
      </c>
      <c r="AY234" s="100">
        <v>0</v>
      </c>
      <c r="AZ234" s="100">
        <v>0</v>
      </c>
      <c r="BA234" s="100">
        <v>0</v>
      </c>
      <c r="BB234" s="100">
        <v>0</v>
      </c>
      <c r="BC234" s="100">
        <v>0</v>
      </c>
      <c r="BD234" s="100">
        <v>0</v>
      </c>
      <c r="BE234" s="100">
        <v>0</v>
      </c>
      <c r="BF234" s="100">
        <v>0</v>
      </c>
      <c r="BG234" s="100">
        <v>0</v>
      </c>
      <c r="BH234" s="100">
        <v>0</v>
      </c>
      <c r="BI234" s="100">
        <v>0</v>
      </c>
      <c r="BJ234" s="100">
        <v>1</v>
      </c>
      <c r="BK234" s="100">
        <v>0</v>
      </c>
      <c r="BL234" s="100">
        <v>0</v>
      </c>
      <c r="BM234" s="100">
        <v>0</v>
      </c>
      <c r="BN234" s="100">
        <v>0</v>
      </c>
      <c r="BO234" s="100">
        <v>0</v>
      </c>
      <c r="BP234" s="100">
        <v>0</v>
      </c>
      <c r="BQ234" s="100">
        <v>0</v>
      </c>
      <c r="BR234" s="100">
        <v>0</v>
      </c>
      <c r="BS234" s="100">
        <v>0</v>
      </c>
      <c r="BT234" s="100">
        <v>0</v>
      </c>
      <c r="BU234" s="100">
        <v>0</v>
      </c>
      <c r="BV234" s="100">
        <v>0</v>
      </c>
      <c r="BW234" s="100">
        <v>0</v>
      </c>
      <c r="BX234" s="100">
        <v>1</v>
      </c>
      <c r="BY234" s="100">
        <v>0</v>
      </c>
      <c r="BZ234" s="100">
        <v>1</v>
      </c>
      <c r="CA234" s="100">
        <v>0</v>
      </c>
      <c r="CB234" s="100" t="s">
        <v>2090</v>
      </c>
      <c r="CC234" s="100">
        <v>0</v>
      </c>
      <c r="CD234" s="100">
        <v>1</v>
      </c>
      <c r="CE234" s="100">
        <v>0</v>
      </c>
      <c r="CF234" s="100">
        <v>0</v>
      </c>
      <c r="CG234" s="103">
        <v>0</v>
      </c>
      <c r="CH234" s="103">
        <v>0</v>
      </c>
      <c r="CI234" s="103">
        <v>1074.9568200000001</v>
      </c>
      <c r="CJ234" s="103">
        <v>0</v>
      </c>
      <c r="CK234" s="103">
        <f t="shared" si="12"/>
        <v>0</v>
      </c>
      <c r="CL234" s="103">
        <v>0</v>
      </c>
      <c r="CM234" s="103">
        <v>116206.9</v>
      </c>
      <c r="CN234" s="104">
        <v>0</v>
      </c>
      <c r="CO234" s="103">
        <v>0</v>
      </c>
      <c r="CP234" s="103">
        <v>0</v>
      </c>
      <c r="CQ234" s="103">
        <v>6469.1617500000002</v>
      </c>
      <c r="CR234" s="103">
        <v>0</v>
      </c>
      <c r="CS234" s="103">
        <f t="shared" si="13"/>
        <v>0</v>
      </c>
      <c r="CT234" s="103">
        <v>1789.2</v>
      </c>
      <c r="CU234" s="103">
        <v>275116.2</v>
      </c>
      <c r="CV234" s="104">
        <v>6.5034338217814869E-3</v>
      </c>
      <c r="CW234" s="103">
        <v>28715.143629999999</v>
      </c>
      <c r="CX234" s="103">
        <v>1.43</v>
      </c>
      <c r="CY234" s="103">
        <v>51893.29262</v>
      </c>
      <c r="CZ234" s="103">
        <v>1.4859197124026362</v>
      </c>
      <c r="DA234" s="103">
        <f t="shared" si="14"/>
        <v>2.1248651887357695</v>
      </c>
      <c r="DB234" s="103">
        <v>46895.9</v>
      </c>
      <c r="DC234" s="103">
        <v>450147.8</v>
      </c>
      <c r="DD234" s="104">
        <v>0.10417889413210506</v>
      </c>
      <c r="DE234" s="103">
        <v>61574.731749999999</v>
      </c>
      <c r="DF234" s="103">
        <v>2.16</v>
      </c>
      <c r="DG234" s="103">
        <v>695.67722000000003</v>
      </c>
      <c r="DH234" s="103">
        <v>2.0499999999999998</v>
      </c>
      <c r="DI234" s="103">
        <f t="shared" si="15"/>
        <v>4.4279999999999999</v>
      </c>
      <c r="DJ234" s="103">
        <v>1449.9</v>
      </c>
      <c r="DK234" s="103">
        <v>298698.90000000002</v>
      </c>
      <c r="DL234" s="104">
        <v>4.8540520236264682E-3</v>
      </c>
    </row>
    <row r="235" spans="1:116" s="15" customFormat="1" ht="196.7" customHeight="1" x14ac:dyDescent="0.25">
      <c r="A235" s="100" t="s">
        <v>320</v>
      </c>
      <c r="B235" s="100" t="s">
        <v>2580</v>
      </c>
      <c r="C235" s="100" t="s">
        <v>279</v>
      </c>
      <c r="D235" s="105" t="str">
        <f>"Chemistry 11"</f>
        <v>Chemistry 11</v>
      </c>
      <c r="E235" s="102" t="s">
        <v>2577</v>
      </c>
      <c r="F235" s="100">
        <v>13</v>
      </c>
      <c r="G235" s="100">
        <v>9</v>
      </c>
      <c r="H235" s="100">
        <v>0.69</v>
      </c>
      <c r="I235" s="100">
        <v>18</v>
      </c>
      <c r="J235" s="100">
        <v>5</v>
      </c>
      <c r="K235" s="100">
        <v>5</v>
      </c>
      <c r="L235" s="100">
        <v>4</v>
      </c>
      <c r="M235" s="100">
        <v>0</v>
      </c>
      <c r="N235" s="100">
        <v>4</v>
      </c>
      <c r="O235" s="100">
        <v>1</v>
      </c>
      <c r="P235" s="100">
        <v>-1</v>
      </c>
      <c r="Q235" s="100">
        <v>47.94</v>
      </c>
      <c r="R235" s="100">
        <v>2</v>
      </c>
      <c r="S235" s="100">
        <v>0</v>
      </c>
      <c r="T235" s="100">
        <v>1</v>
      </c>
      <c r="U235" s="100">
        <v>0</v>
      </c>
      <c r="V235" s="100">
        <v>1</v>
      </c>
      <c r="W235" s="100">
        <v>0</v>
      </c>
      <c r="X235" s="100">
        <v>0</v>
      </c>
      <c r="Y235" s="100">
        <v>0</v>
      </c>
      <c r="Z235" s="100">
        <v>1</v>
      </c>
      <c r="AA235" s="100">
        <v>0</v>
      </c>
      <c r="AB235" s="100">
        <v>1</v>
      </c>
      <c r="AC235" s="100">
        <v>0</v>
      </c>
      <c r="AD235" s="100">
        <v>0</v>
      </c>
      <c r="AE235" s="100">
        <v>1</v>
      </c>
      <c r="AF235" s="100">
        <v>0</v>
      </c>
      <c r="AG235" s="100">
        <v>0</v>
      </c>
      <c r="AH235" s="100">
        <v>0</v>
      </c>
      <c r="AI235" s="100">
        <v>1</v>
      </c>
      <c r="AJ235" s="100">
        <v>0</v>
      </c>
      <c r="AK235" s="100">
        <v>0</v>
      </c>
      <c r="AL235" s="100">
        <v>0</v>
      </c>
      <c r="AM235" s="100">
        <v>0</v>
      </c>
      <c r="AN235" s="100">
        <v>0</v>
      </c>
      <c r="AO235" s="100">
        <v>1</v>
      </c>
      <c r="AP235" s="100">
        <v>0</v>
      </c>
      <c r="AQ235" s="100">
        <v>0</v>
      </c>
      <c r="AR235" s="100">
        <v>0</v>
      </c>
      <c r="AS235" s="100">
        <v>0</v>
      </c>
      <c r="AT235" s="100">
        <v>1</v>
      </c>
      <c r="AU235" s="100">
        <v>0</v>
      </c>
      <c r="AV235" s="100">
        <v>0</v>
      </c>
      <c r="AW235" s="100">
        <v>0</v>
      </c>
      <c r="AX235" s="100">
        <v>0</v>
      </c>
      <c r="AY235" s="100">
        <v>0</v>
      </c>
      <c r="AZ235" s="100">
        <v>0</v>
      </c>
      <c r="BA235" s="100">
        <v>0</v>
      </c>
      <c r="BB235" s="100">
        <v>0</v>
      </c>
      <c r="BC235" s="100">
        <v>0</v>
      </c>
      <c r="BD235" s="100">
        <v>0</v>
      </c>
      <c r="BE235" s="100">
        <v>0</v>
      </c>
      <c r="BF235" s="100">
        <v>0</v>
      </c>
      <c r="BG235" s="100">
        <v>0</v>
      </c>
      <c r="BH235" s="100">
        <v>1</v>
      </c>
      <c r="BI235" s="100">
        <v>0</v>
      </c>
      <c r="BJ235" s="100">
        <v>2</v>
      </c>
      <c r="BK235" s="100">
        <v>0</v>
      </c>
      <c r="BL235" s="100">
        <v>0</v>
      </c>
      <c r="BM235" s="100">
        <v>0</v>
      </c>
      <c r="BN235" s="100">
        <v>0</v>
      </c>
      <c r="BO235" s="100">
        <v>0</v>
      </c>
      <c r="BP235" s="100">
        <v>0</v>
      </c>
      <c r="BQ235" s="100">
        <v>0</v>
      </c>
      <c r="BR235" s="100">
        <v>0</v>
      </c>
      <c r="BS235" s="100">
        <v>0</v>
      </c>
      <c r="BT235" s="100">
        <v>0</v>
      </c>
      <c r="BU235" s="100">
        <v>0</v>
      </c>
      <c r="BV235" s="100">
        <v>0</v>
      </c>
      <c r="BW235" s="100">
        <v>0</v>
      </c>
      <c r="BX235" s="100">
        <v>1</v>
      </c>
      <c r="BY235" s="100">
        <v>0</v>
      </c>
      <c r="BZ235" s="100">
        <v>1</v>
      </c>
      <c r="CA235" s="100">
        <v>0</v>
      </c>
      <c r="CB235" s="100" t="s">
        <v>2090</v>
      </c>
      <c r="CC235" s="100">
        <v>0</v>
      </c>
      <c r="CD235" s="100">
        <v>1</v>
      </c>
      <c r="CE235" s="100">
        <v>0</v>
      </c>
      <c r="CF235" s="100">
        <v>0</v>
      </c>
      <c r="CG235" s="103">
        <v>0</v>
      </c>
      <c r="CH235" s="103">
        <v>0</v>
      </c>
      <c r="CI235" s="103">
        <v>3332.1661800000002</v>
      </c>
      <c r="CJ235" s="103">
        <v>0</v>
      </c>
      <c r="CK235" s="103">
        <f t="shared" si="12"/>
        <v>0</v>
      </c>
      <c r="CL235" s="103">
        <v>561.29999999999995</v>
      </c>
      <c r="CM235" s="103">
        <v>79599.5</v>
      </c>
      <c r="CN235" s="104">
        <v>7.0515518313557244E-3</v>
      </c>
      <c r="CO235" s="103">
        <v>0</v>
      </c>
      <c r="CP235" s="103">
        <v>0</v>
      </c>
      <c r="CQ235" s="103">
        <v>1593.6286500000001</v>
      </c>
      <c r="CR235" s="103">
        <v>0</v>
      </c>
      <c r="CS235" s="103">
        <f t="shared" si="13"/>
        <v>0</v>
      </c>
      <c r="CT235" s="103">
        <v>6025.6</v>
      </c>
      <c r="CU235" s="103">
        <v>352039.6</v>
      </c>
      <c r="CV235" s="104">
        <v>1.7116256239354893E-2</v>
      </c>
      <c r="CW235" s="103">
        <v>0</v>
      </c>
      <c r="CX235" s="103">
        <v>0</v>
      </c>
      <c r="CY235" s="103">
        <v>2481.24215</v>
      </c>
      <c r="CZ235" s="103">
        <v>0</v>
      </c>
      <c r="DA235" s="103">
        <f t="shared" si="14"/>
        <v>0</v>
      </c>
      <c r="DB235" s="103">
        <v>22590.5</v>
      </c>
      <c r="DC235" s="103">
        <v>908580.1</v>
      </c>
      <c r="DD235" s="104">
        <v>2.4863520563569465E-2</v>
      </c>
      <c r="DE235" s="103">
        <v>0</v>
      </c>
      <c r="DF235" s="103">
        <v>0</v>
      </c>
      <c r="DG235" s="103">
        <v>1537.90463</v>
      </c>
      <c r="DH235" s="103">
        <v>0</v>
      </c>
      <c r="DI235" s="103">
        <f t="shared" si="15"/>
        <v>0</v>
      </c>
      <c r="DJ235" s="103">
        <v>2944.7</v>
      </c>
      <c r="DK235" s="103">
        <v>288822.7</v>
      </c>
      <c r="DL235" s="104">
        <v>1.0195528260070971E-2</v>
      </c>
    </row>
    <row r="236" spans="1:116" s="15" customFormat="1" ht="204.2" customHeight="1" x14ac:dyDescent="0.25">
      <c r="A236" s="100" t="s">
        <v>321</v>
      </c>
      <c r="B236" s="100" t="s">
        <v>2581</v>
      </c>
      <c r="C236" s="100" t="s">
        <v>279</v>
      </c>
      <c r="D236" s="101" t="str">
        <f>"Chemistry 172"</f>
        <v>Chemistry 172</v>
      </c>
      <c r="E236" s="102" t="s">
        <v>2582</v>
      </c>
      <c r="F236" s="100">
        <v>8</v>
      </c>
      <c r="G236" s="100">
        <v>7</v>
      </c>
      <c r="H236" s="100">
        <v>0.88</v>
      </c>
      <c r="I236" s="100">
        <v>12</v>
      </c>
      <c r="J236" s="100">
        <v>4</v>
      </c>
      <c r="K236" s="100">
        <v>4</v>
      </c>
      <c r="L236" s="100">
        <v>3</v>
      </c>
      <c r="M236" s="100">
        <v>0</v>
      </c>
      <c r="N236" s="100">
        <v>2</v>
      </c>
      <c r="O236" s="100">
        <v>1</v>
      </c>
      <c r="P236" s="100">
        <v>-0.5</v>
      </c>
      <c r="Q236" s="100">
        <v>35.58</v>
      </c>
      <c r="R236" s="100">
        <v>0</v>
      </c>
      <c r="S236" s="100">
        <v>0</v>
      </c>
      <c r="T236" s="100">
        <v>0</v>
      </c>
      <c r="U236" s="100">
        <v>1</v>
      </c>
      <c r="V236" s="100">
        <v>0</v>
      </c>
      <c r="W236" s="100">
        <v>1</v>
      </c>
      <c r="X236" s="100">
        <v>0</v>
      </c>
      <c r="Y236" s="100">
        <v>0</v>
      </c>
      <c r="Z236" s="100">
        <v>1</v>
      </c>
      <c r="AA236" s="100">
        <v>0</v>
      </c>
      <c r="AB236" s="100">
        <v>0</v>
      </c>
      <c r="AC236" s="100">
        <v>1</v>
      </c>
      <c r="AD236" s="100">
        <v>0</v>
      </c>
      <c r="AE236" s="100">
        <v>1</v>
      </c>
      <c r="AF236" s="100">
        <v>0</v>
      </c>
      <c r="AG236" s="100">
        <v>0</v>
      </c>
      <c r="AH236" s="100">
        <v>0</v>
      </c>
      <c r="AI236" s="100">
        <v>1</v>
      </c>
      <c r="AJ236" s="100">
        <v>0</v>
      </c>
      <c r="AK236" s="100">
        <v>0</v>
      </c>
      <c r="AL236" s="100">
        <v>0</v>
      </c>
      <c r="AM236" s="100">
        <v>0</v>
      </c>
      <c r="AN236" s="100">
        <v>0</v>
      </c>
      <c r="AO236" s="100">
        <v>0</v>
      </c>
      <c r="AP236" s="100">
        <v>0</v>
      </c>
      <c r="AQ236" s="100">
        <v>0</v>
      </c>
      <c r="AR236" s="100">
        <v>0</v>
      </c>
      <c r="AS236" s="100">
        <v>0</v>
      </c>
      <c r="AT236" s="100">
        <v>0</v>
      </c>
      <c r="AU236" s="100">
        <v>0</v>
      </c>
      <c r="AV236" s="100">
        <v>0</v>
      </c>
      <c r="AW236" s="100">
        <v>0</v>
      </c>
      <c r="AX236" s="100">
        <v>0</v>
      </c>
      <c r="AY236" s="100">
        <v>0</v>
      </c>
      <c r="AZ236" s="100">
        <v>0</v>
      </c>
      <c r="BA236" s="100">
        <v>0</v>
      </c>
      <c r="BB236" s="100">
        <v>0</v>
      </c>
      <c r="BC236" s="100">
        <v>0</v>
      </c>
      <c r="BD236" s="100">
        <v>0</v>
      </c>
      <c r="BE236" s="100">
        <v>0</v>
      </c>
      <c r="BF236" s="100">
        <v>0</v>
      </c>
      <c r="BG236" s="100">
        <v>0</v>
      </c>
      <c r="BH236" s="100">
        <v>0</v>
      </c>
      <c r="BI236" s="100">
        <v>1</v>
      </c>
      <c r="BJ236" s="100">
        <v>1</v>
      </c>
      <c r="BK236" s="100">
        <v>0</v>
      </c>
      <c r="BL236" s="100">
        <v>0</v>
      </c>
      <c r="BM236" s="100">
        <v>0</v>
      </c>
      <c r="BN236" s="100">
        <v>0</v>
      </c>
      <c r="BO236" s="100">
        <v>0</v>
      </c>
      <c r="BP236" s="100">
        <v>0</v>
      </c>
      <c r="BQ236" s="100">
        <v>0</v>
      </c>
      <c r="BR236" s="100">
        <v>0</v>
      </c>
      <c r="BS236" s="100">
        <v>0</v>
      </c>
      <c r="BT236" s="100">
        <v>0</v>
      </c>
      <c r="BU236" s="100">
        <v>0</v>
      </c>
      <c r="BV236" s="100">
        <v>0</v>
      </c>
      <c r="BW236" s="100">
        <v>1</v>
      </c>
      <c r="BX236" s="100">
        <v>0</v>
      </c>
      <c r="BY236" s="100">
        <v>0</v>
      </c>
      <c r="BZ236" s="100">
        <v>1</v>
      </c>
      <c r="CA236" s="100">
        <v>1</v>
      </c>
      <c r="CB236" s="100" t="s">
        <v>2090</v>
      </c>
      <c r="CC236" s="100">
        <v>0</v>
      </c>
      <c r="CD236" s="100">
        <v>0</v>
      </c>
      <c r="CE236" s="100">
        <v>0</v>
      </c>
      <c r="CF236" s="100">
        <v>0</v>
      </c>
      <c r="CG236" s="103">
        <v>326351.14504999999</v>
      </c>
      <c r="CH236" s="103">
        <v>21.25</v>
      </c>
      <c r="CI236" s="103">
        <v>2162925.1966599999</v>
      </c>
      <c r="CJ236" s="103">
        <v>39.24</v>
      </c>
      <c r="CK236" s="103">
        <f t="shared" si="12"/>
        <v>833.85</v>
      </c>
      <c r="CL236" s="103">
        <v>561850</v>
      </c>
      <c r="CM236" s="103">
        <v>755054.3</v>
      </c>
      <c r="CN236" s="104">
        <v>0.74411866802162441</v>
      </c>
      <c r="CO236" s="103">
        <v>430894.61778999999</v>
      </c>
      <c r="CP236" s="103">
        <v>23.89</v>
      </c>
      <c r="CQ236" s="103">
        <v>2382881.1534299999</v>
      </c>
      <c r="CR236" s="103">
        <v>23.82</v>
      </c>
      <c r="CS236" s="103">
        <f t="shared" si="13"/>
        <v>569.0598</v>
      </c>
      <c r="CT236" s="103">
        <v>467981.8</v>
      </c>
      <c r="CU236" s="103">
        <v>587693.5</v>
      </c>
      <c r="CV236" s="104">
        <v>0.79630249441247858</v>
      </c>
      <c r="CW236" s="103">
        <v>751873.94559999998</v>
      </c>
      <c r="CX236" s="103">
        <v>48.46</v>
      </c>
      <c r="CY236" s="103">
        <v>3308835.1522300001</v>
      </c>
      <c r="CZ236" s="103">
        <v>57.813784196313257</v>
      </c>
      <c r="DA236" s="103">
        <f t="shared" si="14"/>
        <v>2801.6559821533406</v>
      </c>
      <c r="DB236" s="103">
        <v>863533.7</v>
      </c>
      <c r="DC236" s="103">
        <v>700487.5</v>
      </c>
      <c r="DD236" s="104">
        <v>1.232761041417584</v>
      </c>
      <c r="DE236" s="103">
        <v>333678.18329000002</v>
      </c>
      <c r="DF236" s="103">
        <v>18.190000000000001</v>
      </c>
      <c r="DG236" s="103">
        <v>2234676.42876</v>
      </c>
      <c r="DH236" s="103">
        <v>30.42</v>
      </c>
      <c r="DI236" s="103">
        <f t="shared" si="15"/>
        <v>553.33980000000008</v>
      </c>
      <c r="DJ236" s="103">
        <v>186663.5</v>
      </c>
      <c r="DK236" s="103">
        <v>351481.59999999998</v>
      </c>
      <c r="DL236" s="104">
        <v>0.53107616444217853</v>
      </c>
    </row>
    <row r="237" spans="1:116" s="15" customFormat="1" ht="126.2" customHeight="1" x14ac:dyDescent="0.25">
      <c r="A237" s="100" t="s">
        <v>322</v>
      </c>
      <c r="B237" s="100" t="s">
        <v>2583</v>
      </c>
      <c r="C237" s="100" t="s">
        <v>279</v>
      </c>
      <c r="D237" s="105" t="str">
        <f>"Chemistry 139"</f>
        <v>Chemistry 139</v>
      </c>
      <c r="E237" s="102" t="s">
        <v>2584</v>
      </c>
      <c r="F237" s="100">
        <v>13</v>
      </c>
      <c r="G237" s="100">
        <v>6</v>
      </c>
      <c r="H237" s="100">
        <v>0.46</v>
      </c>
      <c r="I237" s="100">
        <v>18</v>
      </c>
      <c r="J237" s="100">
        <v>5</v>
      </c>
      <c r="K237" s="100">
        <v>4</v>
      </c>
      <c r="L237" s="100">
        <v>2</v>
      </c>
      <c r="M237" s="100">
        <v>1</v>
      </c>
      <c r="N237" s="100">
        <v>4</v>
      </c>
      <c r="O237" s="100">
        <v>1</v>
      </c>
      <c r="P237" s="100">
        <v>0.88</v>
      </c>
      <c r="Q237" s="100">
        <v>42.85</v>
      </c>
      <c r="R237" s="100">
        <v>2</v>
      </c>
      <c r="S237" s="100">
        <v>1</v>
      </c>
      <c r="T237" s="100">
        <v>0</v>
      </c>
      <c r="U237" s="100">
        <v>0</v>
      </c>
      <c r="V237" s="100">
        <v>0</v>
      </c>
      <c r="W237" s="100">
        <v>0</v>
      </c>
      <c r="X237" s="100">
        <v>0</v>
      </c>
      <c r="Y237" s="100">
        <v>0</v>
      </c>
      <c r="Z237" s="100">
        <v>1</v>
      </c>
      <c r="AA237" s="100">
        <v>0</v>
      </c>
      <c r="AB237" s="100">
        <v>1</v>
      </c>
      <c r="AC237" s="100">
        <v>0</v>
      </c>
      <c r="AD237" s="100">
        <v>0</v>
      </c>
      <c r="AE237" s="100">
        <v>0</v>
      </c>
      <c r="AF237" s="100">
        <v>1</v>
      </c>
      <c r="AG237" s="100">
        <v>0</v>
      </c>
      <c r="AH237" s="100">
        <v>0</v>
      </c>
      <c r="AI237" s="100">
        <v>1</v>
      </c>
      <c r="AJ237" s="100">
        <v>0</v>
      </c>
      <c r="AK237" s="100">
        <v>0</v>
      </c>
      <c r="AL237" s="100">
        <v>0</v>
      </c>
      <c r="AM237" s="100">
        <v>0</v>
      </c>
      <c r="AN237" s="100">
        <v>0</v>
      </c>
      <c r="AO237" s="100">
        <v>0</v>
      </c>
      <c r="AP237" s="100">
        <v>0</v>
      </c>
      <c r="AQ237" s="100">
        <v>0</v>
      </c>
      <c r="AR237" s="100">
        <v>0</v>
      </c>
      <c r="AS237" s="100">
        <v>0</v>
      </c>
      <c r="AT237" s="100">
        <v>0</v>
      </c>
      <c r="AU237" s="100">
        <v>0</v>
      </c>
      <c r="AV237" s="100">
        <v>0</v>
      </c>
      <c r="AW237" s="100">
        <v>0</v>
      </c>
      <c r="AX237" s="100">
        <v>0</v>
      </c>
      <c r="AY237" s="100">
        <v>0</v>
      </c>
      <c r="AZ237" s="100">
        <v>0</v>
      </c>
      <c r="BA237" s="100">
        <v>0</v>
      </c>
      <c r="BB237" s="100">
        <v>0</v>
      </c>
      <c r="BC237" s="100">
        <v>0</v>
      </c>
      <c r="BD237" s="100">
        <v>0</v>
      </c>
      <c r="BE237" s="100">
        <v>0</v>
      </c>
      <c r="BF237" s="100">
        <v>0</v>
      </c>
      <c r="BG237" s="100">
        <v>0</v>
      </c>
      <c r="BH237" s="100">
        <v>0</v>
      </c>
      <c r="BI237" s="100">
        <v>0</v>
      </c>
      <c r="BJ237" s="100">
        <v>0</v>
      </c>
      <c r="BK237" s="100">
        <v>0</v>
      </c>
      <c r="BL237" s="100">
        <v>0</v>
      </c>
      <c r="BM237" s="100">
        <v>0</v>
      </c>
      <c r="BN237" s="100">
        <v>0</v>
      </c>
      <c r="BO237" s="100">
        <v>0</v>
      </c>
      <c r="BP237" s="100">
        <v>0</v>
      </c>
      <c r="BQ237" s="100">
        <v>1</v>
      </c>
      <c r="BR237" s="100">
        <v>0</v>
      </c>
      <c r="BS237" s="100">
        <v>0</v>
      </c>
      <c r="BT237" s="100">
        <v>0</v>
      </c>
      <c r="BU237" s="100">
        <v>0</v>
      </c>
      <c r="BV237" s="100">
        <v>0</v>
      </c>
      <c r="BW237" s="100">
        <v>1</v>
      </c>
      <c r="BX237" s="100">
        <v>0</v>
      </c>
      <c r="BY237" s="100">
        <v>0</v>
      </c>
      <c r="BZ237" s="100">
        <v>0</v>
      </c>
      <c r="CA237" s="100">
        <v>1</v>
      </c>
      <c r="CB237" s="100" t="s">
        <v>2090</v>
      </c>
      <c r="CC237" s="100">
        <v>0</v>
      </c>
      <c r="CD237" s="100">
        <v>0</v>
      </c>
      <c r="CE237" s="100">
        <v>0</v>
      </c>
      <c r="CF237" s="100">
        <v>0</v>
      </c>
      <c r="CG237" s="103">
        <v>260969.41549000001</v>
      </c>
      <c r="CH237" s="103">
        <v>15.45</v>
      </c>
      <c r="CI237" s="103">
        <v>2008351.7832299999</v>
      </c>
      <c r="CJ237" s="103">
        <v>27.23</v>
      </c>
      <c r="CK237" s="103">
        <f t="shared" si="12"/>
        <v>420.70349999999996</v>
      </c>
      <c r="CL237" s="103">
        <v>23096.5</v>
      </c>
      <c r="CM237" s="103">
        <v>129084.5</v>
      </c>
      <c r="CN237" s="104">
        <v>0.17892543256549004</v>
      </c>
      <c r="CO237" s="103">
        <v>82981.866030000005</v>
      </c>
      <c r="CP237" s="103">
        <v>5.49</v>
      </c>
      <c r="CQ237" s="103">
        <v>671963.88509999996</v>
      </c>
      <c r="CR237" s="103">
        <v>13.47</v>
      </c>
      <c r="CS237" s="103">
        <f t="shared" si="13"/>
        <v>73.950300000000013</v>
      </c>
      <c r="CT237" s="103">
        <v>85120.4</v>
      </c>
      <c r="CU237" s="103">
        <v>913023.7</v>
      </c>
      <c r="CV237" s="104">
        <v>9.3229124282316E-2</v>
      </c>
      <c r="CW237" s="103">
        <v>98939.366209999993</v>
      </c>
      <c r="CX237" s="103">
        <v>9.2200000000000006</v>
      </c>
      <c r="CY237" s="103">
        <v>1760153.0761500001</v>
      </c>
      <c r="CZ237" s="103">
        <v>44.67362924281985</v>
      </c>
      <c r="DA237" s="103">
        <f t="shared" si="14"/>
        <v>411.89086161879902</v>
      </c>
      <c r="DB237" s="103">
        <v>518111.1</v>
      </c>
      <c r="DC237" s="103">
        <v>1000978</v>
      </c>
      <c r="DD237" s="104">
        <v>0.51760488242498837</v>
      </c>
      <c r="DE237" s="103">
        <v>57795.567929999997</v>
      </c>
      <c r="DF237" s="103">
        <v>4.01</v>
      </c>
      <c r="DG237" s="103">
        <v>1558825.64457</v>
      </c>
      <c r="DH237" s="103">
        <v>23.81</v>
      </c>
      <c r="DI237" s="103">
        <f t="shared" si="15"/>
        <v>95.478099999999984</v>
      </c>
      <c r="DJ237" s="103">
        <v>82146.600000000006</v>
      </c>
      <c r="DK237" s="103">
        <v>381338.2</v>
      </c>
      <c r="DL237" s="104">
        <v>0.21541665639581872</v>
      </c>
    </row>
    <row r="238" spans="1:116" s="15" customFormat="1" ht="220.7" customHeight="1" x14ac:dyDescent="0.25">
      <c r="A238" s="100" t="s">
        <v>323</v>
      </c>
      <c r="B238" s="100" t="s">
        <v>2585</v>
      </c>
      <c r="C238" s="100" t="s">
        <v>279</v>
      </c>
      <c r="D238" s="105" t="str">
        <f>"Chemistry 18"</f>
        <v>Chemistry 18</v>
      </c>
      <c r="E238" s="102" t="s">
        <v>2586</v>
      </c>
      <c r="F238" s="100">
        <v>16</v>
      </c>
      <c r="G238" s="100">
        <v>9</v>
      </c>
      <c r="H238" s="100">
        <v>0.56000000000000005</v>
      </c>
      <c r="I238" s="100">
        <v>21</v>
      </c>
      <c r="J238" s="100">
        <v>5</v>
      </c>
      <c r="K238" s="100">
        <v>5</v>
      </c>
      <c r="L238" s="100">
        <v>2</v>
      </c>
      <c r="M238" s="100">
        <v>1</v>
      </c>
      <c r="N238" s="100">
        <v>4</v>
      </c>
      <c r="O238" s="100">
        <v>1</v>
      </c>
      <c r="P238" s="100">
        <v>1.92</v>
      </c>
      <c r="Q238" s="100">
        <v>50.8</v>
      </c>
      <c r="R238" s="100">
        <v>4</v>
      </c>
      <c r="S238" s="100">
        <v>1</v>
      </c>
      <c r="T238" s="100">
        <v>0</v>
      </c>
      <c r="U238" s="100">
        <v>0</v>
      </c>
      <c r="V238" s="100">
        <v>0</v>
      </c>
      <c r="W238" s="100">
        <v>0</v>
      </c>
      <c r="X238" s="100">
        <v>0</v>
      </c>
      <c r="Y238" s="100">
        <v>0</v>
      </c>
      <c r="Z238" s="100">
        <v>1</v>
      </c>
      <c r="AA238" s="100">
        <v>0</v>
      </c>
      <c r="AB238" s="100">
        <v>1</v>
      </c>
      <c r="AC238" s="100">
        <v>0</v>
      </c>
      <c r="AD238" s="100">
        <v>0</v>
      </c>
      <c r="AE238" s="100">
        <v>0</v>
      </c>
      <c r="AF238" s="100">
        <v>0</v>
      </c>
      <c r="AG238" s="100">
        <v>1</v>
      </c>
      <c r="AH238" s="100">
        <v>0</v>
      </c>
      <c r="AI238" s="100">
        <v>0</v>
      </c>
      <c r="AJ238" s="100">
        <v>1</v>
      </c>
      <c r="AK238" s="100">
        <v>0</v>
      </c>
      <c r="AL238" s="100">
        <v>0</v>
      </c>
      <c r="AM238" s="100">
        <v>0</v>
      </c>
      <c r="AN238" s="100">
        <v>0</v>
      </c>
      <c r="AO238" s="100">
        <v>0</v>
      </c>
      <c r="AP238" s="100">
        <v>0</v>
      </c>
      <c r="AQ238" s="100">
        <v>0</v>
      </c>
      <c r="AR238" s="100">
        <v>0</v>
      </c>
      <c r="AS238" s="100">
        <v>0</v>
      </c>
      <c r="AT238" s="100">
        <v>0</v>
      </c>
      <c r="AU238" s="100">
        <v>0</v>
      </c>
      <c r="AV238" s="100">
        <v>1</v>
      </c>
      <c r="AW238" s="100">
        <v>0</v>
      </c>
      <c r="AX238" s="100">
        <v>0</v>
      </c>
      <c r="AY238" s="100">
        <v>0</v>
      </c>
      <c r="AZ238" s="100">
        <v>0</v>
      </c>
      <c r="BA238" s="100">
        <v>0</v>
      </c>
      <c r="BB238" s="100">
        <v>0</v>
      </c>
      <c r="BC238" s="100">
        <v>0</v>
      </c>
      <c r="BD238" s="100">
        <v>0</v>
      </c>
      <c r="BE238" s="100">
        <v>0</v>
      </c>
      <c r="BF238" s="100">
        <v>0</v>
      </c>
      <c r="BG238" s="100">
        <v>0</v>
      </c>
      <c r="BH238" s="100">
        <v>0</v>
      </c>
      <c r="BI238" s="100">
        <v>0</v>
      </c>
      <c r="BJ238" s="100">
        <v>1</v>
      </c>
      <c r="BK238" s="100">
        <v>0</v>
      </c>
      <c r="BL238" s="100">
        <v>0</v>
      </c>
      <c r="BM238" s="100">
        <v>0</v>
      </c>
      <c r="BN238" s="100">
        <v>0</v>
      </c>
      <c r="BO238" s="100">
        <v>0</v>
      </c>
      <c r="BP238" s="100">
        <v>0</v>
      </c>
      <c r="BQ238" s="100">
        <v>0</v>
      </c>
      <c r="BR238" s="100">
        <v>0</v>
      </c>
      <c r="BS238" s="100">
        <v>0</v>
      </c>
      <c r="BT238" s="100">
        <v>0</v>
      </c>
      <c r="BU238" s="100">
        <v>0</v>
      </c>
      <c r="BV238" s="100">
        <v>0</v>
      </c>
      <c r="BW238" s="100">
        <v>1</v>
      </c>
      <c r="BX238" s="100">
        <v>0</v>
      </c>
      <c r="BY238" s="100">
        <v>0</v>
      </c>
      <c r="BZ238" s="100">
        <v>0</v>
      </c>
      <c r="CA238" s="100">
        <v>1</v>
      </c>
      <c r="CB238" s="100" t="s">
        <v>2090</v>
      </c>
      <c r="CC238" s="100">
        <v>0</v>
      </c>
      <c r="CD238" s="100">
        <v>0</v>
      </c>
      <c r="CE238" s="100">
        <v>0</v>
      </c>
      <c r="CF238" s="100">
        <v>0</v>
      </c>
      <c r="CG238" s="103">
        <v>450424.85807000002</v>
      </c>
      <c r="CH238" s="103">
        <v>21.37</v>
      </c>
      <c r="CI238" s="103">
        <v>3015537.3067000001</v>
      </c>
      <c r="CJ238" s="103">
        <v>21.1</v>
      </c>
      <c r="CK238" s="103">
        <f t="shared" si="12"/>
        <v>450.90700000000004</v>
      </c>
      <c r="CL238" s="103">
        <v>728141.9</v>
      </c>
      <c r="CM238" s="103">
        <v>791105.9</v>
      </c>
      <c r="CN238" s="104">
        <v>0.92041014989270087</v>
      </c>
      <c r="CO238" s="103">
        <v>8419.8822299999993</v>
      </c>
      <c r="CP238" s="103">
        <v>0.4</v>
      </c>
      <c r="CQ238" s="103">
        <v>332944.81810999999</v>
      </c>
      <c r="CR238" s="103">
        <v>2.68</v>
      </c>
      <c r="CS238" s="103">
        <f t="shared" si="13"/>
        <v>1.0720000000000001</v>
      </c>
      <c r="CT238" s="103">
        <v>58581.3</v>
      </c>
      <c r="CU238" s="103">
        <v>750358.7</v>
      </c>
      <c r="CV238" s="104">
        <v>7.8071061213790163E-2</v>
      </c>
      <c r="CW238" s="103">
        <v>683685.71652999998</v>
      </c>
      <c r="CX238" s="103">
        <v>38.28</v>
      </c>
      <c r="CY238" s="103">
        <v>3387432.8173099998</v>
      </c>
      <c r="CZ238" s="103">
        <v>24.440485469324127</v>
      </c>
      <c r="DA238" s="103">
        <f t="shared" si="14"/>
        <v>935.58178376572755</v>
      </c>
      <c r="DB238" s="103">
        <v>85570.8</v>
      </c>
      <c r="DC238" s="103">
        <v>67781.7</v>
      </c>
      <c r="DD238" s="104">
        <v>1.2624469436440811</v>
      </c>
      <c r="DE238" s="103">
        <v>121010.94323</v>
      </c>
      <c r="DF238" s="103">
        <v>5.4</v>
      </c>
      <c r="DG238" s="103">
        <v>1697843.2197499999</v>
      </c>
      <c r="DH238" s="103">
        <v>10.54</v>
      </c>
      <c r="DI238" s="103">
        <f t="shared" si="15"/>
        <v>56.915999999999997</v>
      </c>
      <c r="DJ238" s="103">
        <v>126524.8</v>
      </c>
      <c r="DK238" s="103">
        <v>476570.5</v>
      </c>
      <c r="DL238" s="104">
        <v>0.26549020554146763</v>
      </c>
    </row>
    <row r="239" spans="1:116" s="15" customFormat="1" ht="161.44999999999999" customHeight="1" x14ac:dyDescent="0.25">
      <c r="A239" s="100" t="s">
        <v>324</v>
      </c>
      <c r="B239" s="100" t="s">
        <v>2587</v>
      </c>
      <c r="C239" s="100" t="s">
        <v>279</v>
      </c>
      <c r="D239" s="105" t="str">
        <f>"Chemistry 86"</f>
        <v>Chemistry 86</v>
      </c>
      <c r="E239" s="102" t="s">
        <v>2588</v>
      </c>
      <c r="F239" s="100">
        <v>10</v>
      </c>
      <c r="G239" s="100">
        <v>8</v>
      </c>
      <c r="H239" s="100">
        <v>0.8</v>
      </c>
      <c r="I239" s="100">
        <v>15</v>
      </c>
      <c r="J239" s="100">
        <v>5</v>
      </c>
      <c r="K239" s="100">
        <v>5</v>
      </c>
      <c r="L239" s="100">
        <v>3</v>
      </c>
      <c r="M239" s="100">
        <v>0</v>
      </c>
      <c r="N239" s="100">
        <v>4</v>
      </c>
      <c r="O239" s="100">
        <v>2</v>
      </c>
      <c r="P239" s="100">
        <v>-0.36</v>
      </c>
      <c r="Q239" s="100">
        <v>62.72</v>
      </c>
      <c r="R239" s="100">
        <v>2</v>
      </c>
      <c r="S239" s="100">
        <v>0</v>
      </c>
      <c r="T239" s="100">
        <v>1</v>
      </c>
      <c r="U239" s="100">
        <v>0</v>
      </c>
      <c r="V239" s="100">
        <v>0</v>
      </c>
      <c r="W239" s="100">
        <v>0</v>
      </c>
      <c r="X239" s="100">
        <v>0</v>
      </c>
      <c r="Y239" s="100">
        <v>1</v>
      </c>
      <c r="Z239" s="100">
        <v>0</v>
      </c>
      <c r="AA239" s="100">
        <v>0</v>
      </c>
      <c r="AB239" s="100">
        <v>1</v>
      </c>
      <c r="AC239" s="100">
        <v>0</v>
      </c>
      <c r="AD239" s="100">
        <v>0</v>
      </c>
      <c r="AE239" s="100">
        <v>1</v>
      </c>
      <c r="AF239" s="100">
        <v>0</v>
      </c>
      <c r="AG239" s="100">
        <v>0</v>
      </c>
      <c r="AH239" s="100">
        <v>0</v>
      </c>
      <c r="AI239" s="100">
        <v>0</v>
      </c>
      <c r="AJ239" s="100">
        <v>1</v>
      </c>
      <c r="AK239" s="100">
        <v>0</v>
      </c>
      <c r="AL239" s="100">
        <v>0</v>
      </c>
      <c r="AM239" s="100">
        <v>0</v>
      </c>
      <c r="AN239" s="100">
        <v>0</v>
      </c>
      <c r="AO239" s="100">
        <v>0</v>
      </c>
      <c r="AP239" s="100">
        <v>0</v>
      </c>
      <c r="AQ239" s="100">
        <v>0</v>
      </c>
      <c r="AR239" s="100">
        <v>0</v>
      </c>
      <c r="AS239" s="100">
        <v>0</v>
      </c>
      <c r="AT239" s="100">
        <v>1</v>
      </c>
      <c r="AU239" s="100">
        <v>0</v>
      </c>
      <c r="AV239" s="100">
        <v>0</v>
      </c>
      <c r="AW239" s="100">
        <v>0</v>
      </c>
      <c r="AX239" s="100">
        <v>0</v>
      </c>
      <c r="AY239" s="100">
        <v>0</v>
      </c>
      <c r="AZ239" s="100">
        <v>0</v>
      </c>
      <c r="BA239" s="100">
        <v>0</v>
      </c>
      <c r="BB239" s="100">
        <v>0</v>
      </c>
      <c r="BC239" s="100">
        <v>0</v>
      </c>
      <c r="BD239" s="100">
        <v>0</v>
      </c>
      <c r="BE239" s="100">
        <v>0</v>
      </c>
      <c r="BF239" s="100">
        <v>0</v>
      </c>
      <c r="BG239" s="100">
        <v>0</v>
      </c>
      <c r="BH239" s="100">
        <v>0</v>
      </c>
      <c r="BI239" s="100">
        <v>0</v>
      </c>
      <c r="BJ239" s="100">
        <v>1</v>
      </c>
      <c r="BK239" s="100">
        <v>0</v>
      </c>
      <c r="BL239" s="100">
        <v>1</v>
      </c>
      <c r="BM239" s="100">
        <v>0</v>
      </c>
      <c r="BN239" s="100">
        <v>0</v>
      </c>
      <c r="BO239" s="100">
        <v>0</v>
      </c>
      <c r="BP239" s="100">
        <v>0</v>
      </c>
      <c r="BQ239" s="100">
        <v>1</v>
      </c>
      <c r="BR239" s="100">
        <v>0</v>
      </c>
      <c r="BS239" s="100">
        <v>0</v>
      </c>
      <c r="BT239" s="100">
        <v>0</v>
      </c>
      <c r="BU239" s="100">
        <v>0</v>
      </c>
      <c r="BV239" s="100">
        <v>0</v>
      </c>
      <c r="BW239" s="100">
        <v>1</v>
      </c>
      <c r="BX239" s="100">
        <v>0</v>
      </c>
      <c r="BY239" s="100">
        <v>0</v>
      </c>
      <c r="BZ239" s="100">
        <v>0</v>
      </c>
      <c r="CA239" s="100">
        <v>1</v>
      </c>
      <c r="CB239" s="100" t="s">
        <v>2090</v>
      </c>
      <c r="CC239" s="100">
        <v>0</v>
      </c>
      <c r="CD239" s="100">
        <v>0</v>
      </c>
      <c r="CE239" s="100">
        <v>0</v>
      </c>
      <c r="CF239" s="100">
        <v>0</v>
      </c>
      <c r="CG239" s="103">
        <v>248683.33373000001</v>
      </c>
      <c r="CH239" s="103">
        <v>15.77</v>
      </c>
      <c r="CI239" s="103">
        <v>2306973.15417</v>
      </c>
      <c r="CJ239" s="103">
        <v>40.380000000000003</v>
      </c>
      <c r="CK239" s="103">
        <f t="shared" si="12"/>
        <v>636.79259999999999</v>
      </c>
      <c r="CL239" s="103">
        <v>341590</v>
      </c>
      <c r="CM239" s="103">
        <v>533691.6</v>
      </c>
      <c r="CN239" s="104">
        <v>0.64005129554221951</v>
      </c>
      <c r="CO239" s="103">
        <v>257310.99385</v>
      </c>
      <c r="CP239" s="103">
        <v>15.27</v>
      </c>
      <c r="CQ239" s="103">
        <v>2336659.8995500002</v>
      </c>
      <c r="CR239" s="103">
        <v>35.43</v>
      </c>
      <c r="CS239" s="103">
        <f t="shared" si="13"/>
        <v>541.01609999999994</v>
      </c>
      <c r="CT239" s="103">
        <v>757812.4</v>
      </c>
      <c r="CU239" s="103">
        <v>1006144</v>
      </c>
      <c r="CV239" s="104">
        <v>0.75318483238979717</v>
      </c>
      <c r="CW239" s="103">
        <v>406414.15077000001</v>
      </c>
      <c r="CX239" s="103">
        <v>31.01</v>
      </c>
      <c r="CY239" s="103">
        <v>2770017.6396900001</v>
      </c>
      <c r="CZ239" s="103">
        <v>61.96215837421164</v>
      </c>
      <c r="DA239" s="103">
        <f t="shared" si="14"/>
        <v>1921.446531184303</v>
      </c>
      <c r="DB239" s="103">
        <v>320339.3</v>
      </c>
      <c r="DC239" s="103">
        <v>323901.40000000002</v>
      </c>
      <c r="DD239" s="104">
        <v>0.98900251743277423</v>
      </c>
      <c r="DE239" s="103">
        <v>501508.66855</v>
      </c>
      <c r="DF239" s="103">
        <v>27.84</v>
      </c>
      <c r="DG239" s="103">
        <v>2675399.6852099998</v>
      </c>
      <c r="DH239" s="103">
        <v>34.11</v>
      </c>
      <c r="DI239" s="103">
        <f t="shared" si="15"/>
        <v>949.62239999999997</v>
      </c>
      <c r="DJ239" s="103">
        <v>322220.90000000002</v>
      </c>
      <c r="DK239" s="103">
        <v>527008.30000000005</v>
      </c>
      <c r="DL239" s="104">
        <v>0.61141522818521077</v>
      </c>
    </row>
    <row r="240" spans="1:116" s="15" customFormat="1" ht="174.2" customHeight="1" x14ac:dyDescent="0.25">
      <c r="A240" s="100" t="s">
        <v>325</v>
      </c>
      <c r="B240" s="100" t="s">
        <v>2589</v>
      </c>
      <c r="C240" s="100" t="s">
        <v>279</v>
      </c>
      <c r="D240" s="105" t="str">
        <f>"Chemistry 111"</f>
        <v>Chemistry 111</v>
      </c>
      <c r="E240" s="102" t="s">
        <v>2590</v>
      </c>
      <c r="F240" s="100">
        <v>17</v>
      </c>
      <c r="G240" s="100">
        <v>14</v>
      </c>
      <c r="H240" s="100">
        <v>0.82</v>
      </c>
      <c r="I240" s="100">
        <v>23</v>
      </c>
      <c r="J240" s="100">
        <v>6</v>
      </c>
      <c r="K240" s="100">
        <v>6</v>
      </c>
      <c r="L240" s="100">
        <v>4</v>
      </c>
      <c r="M240" s="100">
        <v>1</v>
      </c>
      <c r="N240" s="100">
        <v>5</v>
      </c>
      <c r="O240" s="100">
        <v>1</v>
      </c>
      <c r="P240" s="100">
        <v>2.46</v>
      </c>
      <c r="Q240" s="100">
        <v>69.03</v>
      </c>
      <c r="R240" s="100">
        <v>5</v>
      </c>
      <c r="S240" s="100">
        <v>1</v>
      </c>
      <c r="T240" s="100">
        <v>0</v>
      </c>
      <c r="U240" s="100">
        <v>0</v>
      </c>
      <c r="V240" s="100">
        <v>1</v>
      </c>
      <c r="W240" s="100">
        <v>0</v>
      </c>
      <c r="X240" s="100">
        <v>0</v>
      </c>
      <c r="Y240" s="100">
        <v>0</v>
      </c>
      <c r="Z240" s="100">
        <v>1</v>
      </c>
      <c r="AA240" s="100">
        <v>0</v>
      </c>
      <c r="AB240" s="100">
        <v>1</v>
      </c>
      <c r="AC240" s="100">
        <v>0</v>
      </c>
      <c r="AD240" s="100">
        <v>0</v>
      </c>
      <c r="AE240" s="100">
        <v>0</v>
      </c>
      <c r="AF240" s="100">
        <v>0</v>
      </c>
      <c r="AG240" s="100">
        <v>1</v>
      </c>
      <c r="AH240" s="100">
        <v>0</v>
      </c>
      <c r="AI240" s="100">
        <v>0</v>
      </c>
      <c r="AJ240" s="100">
        <v>1</v>
      </c>
      <c r="AK240" s="100">
        <v>0</v>
      </c>
      <c r="AL240" s="100">
        <v>0</v>
      </c>
      <c r="AM240" s="100">
        <v>0</v>
      </c>
      <c r="AN240" s="100">
        <v>1</v>
      </c>
      <c r="AO240" s="100">
        <v>0</v>
      </c>
      <c r="AP240" s="100">
        <v>0</v>
      </c>
      <c r="AQ240" s="100">
        <v>0</v>
      </c>
      <c r="AR240" s="100">
        <v>0</v>
      </c>
      <c r="AS240" s="100">
        <v>0</v>
      </c>
      <c r="AT240" s="100">
        <v>0</v>
      </c>
      <c r="AU240" s="100">
        <v>0</v>
      </c>
      <c r="AV240" s="100">
        <v>0</v>
      </c>
      <c r="AW240" s="100">
        <v>0</v>
      </c>
      <c r="AX240" s="100">
        <v>1</v>
      </c>
      <c r="AY240" s="100">
        <v>0</v>
      </c>
      <c r="AZ240" s="100">
        <v>0</v>
      </c>
      <c r="BA240" s="100">
        <v>0</v>
      </c>
      <c r="BB240" s="100">
        <v>0</v>
      </c>
      <c r="BC240" s="100">
        <v>0</v>
      </c>
      <c r="BD240" s="100">
        <v>0</v>
      </c>
      <c r="BE240" s="100">
        <v>0</v>
      </c>
      <c r="BF240" s="100">
        <v>0</v>
      </c>
      <c r="BG240" s="100">
        <v>0</v>
      </c>
      <c r="BH240" s="100">
        <v>0</v>
      </c>
      <c r="BI240" s="100">
        <v>0</v>
      </c>
      <c r="BJ240" s="100">
        <v>1</v>
      </c>
      <c r="BK240" s="100">
        <v>0</v>
      </c>
      <c r="BL240" s="100">
        <v>0</v>
      </c>
      <c r="BM240" s="100">
        <v>0</v>
      </c>
      <c r="BN240" s="100">
        <v>0</v>
      </c>
      <c r="BO240" s="100">
        <v>0</v>
      </c>
      <c r="BP240" s="100">
        <v>0</v>
      </c>
      <c r="BQ240" s="100">
        <v>0</v>
      </c>
      <c r="BR240" s="100">
        <v>0</v>
      </c>
      <c r="BS240" s="100">
        <v>0</v>
      </c>
      <c r="BT240" s="100">
        <v>0</v>
      </c>
      <c r="BU240" s="100">
        <v>0</v>
      </c>
      <c r="BV240" s="100">
        <v>1</v>
      </c>
      <c r="BW240" s="100">
        <v>1</v>
      </c>
      <c r="BX240" s="100">
        <v>0</v>
      </c>
      <c r="BY240" s="100">
        <v>0</v>
      </c>
      <c r="BZ240" s="100">
        <v>0</v>
      </c>
      <c r="CA240" s="100">
        <v>1</v>
      </c>
      <c r="CB240" s="100" t="s">
        <v>2090</v>
      </c>
      <c r="CC240" s="100">
        <v>0</v>
      </c>
      <c r="CD240" s="100">
        <v>0</v>
      </c>
      <c r="CE240" s="100">
        <v>0</v>
      </c>
      <c r="CF240" s="100">
        <v>0</v>
      </c>
      <c r="CG240" s="103">
        <v>85127.073959999994</v>
      </c>
      <c r="CH240" s="103">
        <v>5.2</v>
      </c>
      <c r="CI240" s="103">
        <v>1367825.36179</v>
      </c>
      <c r="CJ240" s="103">
        <v>13.3</v>
      </c>
      <c r="CK240" s="103">
        <f t="shared" si="12"/>
        <v>69.160000000000011</v>
      </c>
      <c r="CL240" s="103">
        <v>27193.599999999999</v>
      </c>
      <c r="CM240" s="103">
        <v>533836.1</v>
      </c>
      <c r="CN240" s="104">
        <v>5.0939979518058072E-2</v>
      </c>
      <c r="CO240" s="103">
        <v>87604.68075</v>
      </c>
      <c r="CP240" s="103">
        <v>4.5600000000000005</v>
      </c>
      <c r="CQ240" s="103">
        <v>1750939.7279300001</v>
      </c>
      <c r="CR240" s="103">
        <v>10.71</v>
      </c>
      <c r="CS240" s="103">
        <f t="shared" si="13"/>
        <v>48.837600000000009</v>
      </c>
      <c r="CT240" s="103">
        <v>35394.9</v>
      </c>
      <c r="CU240" s="103">
        <v>787425.1</v>
      </c>
      <c r="CV240" s="104">
        <v>4.4950180023471439E-2</v>
      </c>
      <c r="CW240" s="103">
        <v>315673.40729</v>
      </c>
      <c r="CX240" s="103">
        <v>24.55</v>
      </c>
      <c r="CY240" s="103">
        <v>3047335.4108099998</v>
      </c>
      <c r="CZ240" s="103">
        <v>29.901385301714011</v>
      </c>
      <c r="DA240" s="103">
        <f t="shared" si="14"/>
        <v>734.07900915707899</v>
      </c>
      <c r="DB240" s="103">
        <v>84572.7</v>
      </c>
      <c r="DC240" s="103">
        <v>877580.7</v>
      </c>
      <c r="DD240" s="104">
        <v>9.6370282527863255E-2</v>
      </c>
      <c r="DE240" s="103">
        <v>69006.247340000002</v>
      </c>
      <c r="DF240" s="103">
        <v>3.8</v>
      </c>
      <c r="DG240" s="103">
        <v>1299731.1121</v>
      </c>
      <c r="DH240" s="103">
        <v>8.67</v>
      </c>
      <c r="DI240" s="103">
        <f t="shared" si="15"/>
        <v>32.945999999999998</v>
      </c>
      <c r="DJ240" s="103">
        <v>10522.7</v>
      </c>
      <c r="DK240" s="103">
        <v>428462.6</v>
      </c>
      <c r="DL240" s="104">
        <v>2.4559203066965473E-2</v>
      </c>
    </row>
    <row r="241" spans="1:116" s="15" customFormat="1" ht="261.95" customHeight="1" x14ac:dyDescent="0.25">
      <c r="A241" s="100" t="s">
        <v>326</v>
      </c>
      <c r="B241" s="100" t="s">
        <v>2591</v>
      </c>
      <c r="C241" s="100" t="s">
        <v>279</v>
      </c>
      <c r="D241" s="105" t="str">
        <f>"Chemistry 68"</f>
        <v>Chemistry 68</v>
      </c>
      <c r="E241" s="102" t="s">
        <v>2592</v>
      </c>
      <c r="F241" s="100">
        <v>17</v>
      </c>
      <c r="G241" s="100">
        <v>14</v>
      </c>
      <c r="H241" s="100">
        <v>0.82</v>
      </c>
      <c r="I241" s="100">
        <v>24</v>
      </c>
      <c r="J241" s="100">
        <v>7</v>
      </c>
      <c r="K241" s="100">
        <v>7</v>
      </c>
      <c r="L241" s="100">
        <v>4</v>
      </c>
      <c r="M241" s="100">
        <v>0</v>
      </c>
      <c r="N241" s="100">
        <v>6</v>
      </c>
      <c r="O241" s="100">
        <v>2</v>
      </c>
      <c r="P241" s="100">
        <v>1.1299999999999999</v>
      </c>
      <c r="Q241" s="100">
        <v>83.02</v>
      </c>
      <c r="R241" s="100">
        <v>3</v>
      </c>
      <c r="S241" s="100">
        <v>1</v>
      </c>
      <c r="T241" s="100">
        <v>0</v>
      </c>
      <c r="U241" s="100">
        <v>0</v>
      </c>
      <c r="V241" s="100">
        <v>1</v>
      </c>
      <c r="W241" s="100">
        <v>0</v>
      </c>
      <c r="X241" s="100">
        <v>0</v>
      </c>
      <c r="Y241" s="100">
        <v>1</v>
      </c>
      <c r="Z241" s="100">
        <v>0</v>
      </c>
      <c r="AA241" s="100">
        <v>0</v>
      </c>
      <c r="AB241" s="100">
        <v>1</v>
      </c>
      <c r="AC241" s="100">
        <v>0</v>
      </c>
      <c r="AD241" s="100">
        <v>0</v>
      </c>
      <c r="AE241" s="100">
        <v>0</v>
      </c>
      <c r="AF241" s="100">
        <v>1</v>
      </c>
      <c r="AG241" s="100">
        <v>0</v>
      </c>
      <c r="AH241" s="100">
        <v>0</v>
      </c>
      <c r="AI241" s="100">
        <v>0</v>
      </c>
      <c r="AJ241" s="100">
        <v>1</v>
      </c>
      <c r="AK241" s="100">
        <v>0</v>
      </c>
      <c r="AL241" s="100">
        <v>0</v>
      </c>
      <c r="AM241" s="100">
        <v>0</v>
      </c>
      <c r="AN241" s="100">
        <v>0</v>
      </c>
      <c r="AO241" s="100">
        <v>0</v>
      </c>
      <c r="AP241" s="100">
        <v>0</v>
      </c>
      <c r="AQ241" s="100">
        <v>0</v>
      </c>
      <c r="AR241" s="100">
        <v>0</v>
      </c>
      <c r="AS241" s="100">
        <v>0</v>
      </c>
      <c r="AT241" s="100">
        <v>1</v>
      </c>
      <c r="AU241" s="100">
        <v>0</v>
      </c>
      <c r="AV241" s="100">
        <v>1</v>
      </c>
      <c r="AW241" s="100">
        <v>0</v>
      </c>
      <c r="AX241" s="100">
        <v>0</v>
      </c>
      <c r="AY241" s="100">
        <v>1</v>
      </c>
      <c r="AZ241" s="100">
        <v>0</v>
      </c>
      <c r="BA241" s="100">
        <v>0</v>
      </c>
      <c r="BB241" s="100">
        <v>0</v>
      </c>
      <c r="BC241" s="100">
        <v>0</v>
      </c>
      <c r="BD241" s="100">
        <v>0</v>
      </c>
      <c r="BE241" s="100">
        <v>0</v>
      </c>
      <c r="BF241" s="100">
        <v>0</v>
      </c>
      <c r="BG241" s="100">
        <v>0</v>
      </c>
      <c r="BH241" s="100">
        <v>0</v>
      </c>
      <c r="BI241" s="100">
        <v>0</v>
      </c>
      <c r="BJ241" s="100">
        <v>3</v>
      </c>
      <c r="BK241" s="100">
        <v>0</v>
      </c>
      <c r="BL241" s="100">
        <v>0</v>
      </c>
      <c r="BM241" s="100">
        <v>0</v>
      </c>
      <c r="BN241" s="100">
        <v>0</v>
      </c>
      <c r="BO241" s="100">
        <v>0</v>
      </c>
      <c r="BP241" s="100">
        <v>0</v>
      </c>
      <c r="BQ241" s="100">
        <v>0</v>
      </c>
      <c r="BR241" s="100">
        <v>0</v>
      </c>
      <c r="BS241" s="100">
        <v>0</v>
      </c>
      <c r="BT241" s="100">
        <v>0</v>
      </c>
      <c r="BU241" s="100">
        <v>0</v>
      </c>
      <c r="BV241" s="100">
        <v>0</v>
      </c>
      <c r="BW241" s="100">
        <v>1</v>
      </c>
      <c r="BX241" s="100">
        <v>0</v>
      </c>
      <c r="BY241" s="100">
        <v>0</v>
      </c>
      <c r="BZ241" s="100">
        <v>0</v>
      </c>
      <c r="CA241" s="100">
        <v>1</v>
      </c>
      <c r="CB241" s="100" t="s">
        <v>2090</v>
      </c>
      <c r="CC241" s="100">
        <v>0</v>
      </c>
      <c r="CD241" s="100">
        <v>0</v>
      </c>
      <c r="CE241" s="100">
        <v>0</v>
      </c>
      <c r="CF241" s="100">
        <v>0</v>
      </c>
      <c r="CG241" s="103">
        <v>28934.546190000001</v>
      </c>
      <c r="CH241" s="103">
        <v>1.8399999999999999</v>
      </c>
      <c r="CI241" s="103">
        <v>367178.09574999998</v>
      </c>
      <c r="CJ241" s="103">
        <v>5.63</v>
      </c>
      <c r="CK241" s="103">
        <f t="shared" si="12"/>
        <v>10.3592</v>
      </c>
      <c r="CL241" s="103">
        <v>9901.2000000000007</v>
      </c>
      <c r="CM241" s="103">
        <v>806433.6</v>
      </c>
      <c r="CN241" s="104">
        <v>1.2277762236097306E-2</v>
      </c>
      <c r="CO241" s="103">
        <v>64771.782809999997</v>
      </c>
      <c r="CP241" s="103">
        <v>2.5099999999999998</v>
      </c>
      <c r="CQ241" s="103">
        <v>1324927.56277</v>
      </c>
      <c r="CR241" s="103">
        <v>6.32</v>
      </c>
      <c r="CS241" s="103">
        <f t="shared" si="13"/>
        <v>15.863199999999999</v>
      </c>
      <c r="CT241" s="103">
        <v>3228.8</v>
      </c>
      <c r="CU241" s="103">
        <v>525727.9</v>
      </c>
      <c r="CV241" s="104">
        <v>6.1415800835375109E-3</v>
      </c>
      <c r="CW241" s="103">
        <v>23003.608789999998</v>
      </c>
      <c r="CX241" s="103">
        <v>1.46</v>
      </c>
      <c r="CY241" s="103">
        <v>675054.47627999994</v>
      </c>
      <c r="CZ241" s="103">
        <v>7.155613763543279</v>
      </c>
      <c r="DA241" s="103">
        <f t="shared" si="14"/>
        <v>10.447196094773187</v>
      </c>
      <c r="DB241" s="103">
        <v>15733.2</v>
      </c>
      <c r="DC241" s="103">
        <v>666994.1</v>
      </c>
      <c r="DD241" s="104">
        <v>2.3588214648375454E-2</v>
      </c>
      <c r="DE241" s="103">
        <v>64565.80053</v>
      </c>
      <c r="DF241" s="103">
        <v>2.4</v>
      </c>
      <c r="DG241" s="103">
        <v>1028576.61161</v>
      </c>
      <c r="DH241" s="103">
        <v>4.62</v>
      </c>
      <c r="DI241" s="103">
        <f t="shared" si="15"/>
        <v>11.087999999999999</v>
      </c>
      <c r="DJ241" s="103">
        <v>20011.8</v>
      </c>
      <c r="DK241" s="103">
        <v>865528</v>
      </c>
      <c r="DL241" s="104">
        <v>2.3120915787819687E-2</v>
      </c>
    </row>
    <row r="242" spans="1:116" s="15" customFormat="1" ht="265.7" customHeight="1" x14ac:dyDescent="0.25">
      <c r="A242" s="100" t="s">
        <v>327</v>
      </c>
      <c r="B242" s="100" t="s">
        <v>2593</v>
      </c>
      <c r="C242" s="100" t="s">
        <v>279</v>
      </c>
      <c r="D242" s="101" t="str">
        <f>"Chemistry 147"</f>
        <v>Chemistry 147</v>
      </c>
      <c r="E242" s="102" t="s">
        <v>2594</v>
      </c>
      <c r="F242" s="100">
        <v>19</v>
      </c>
      <c r="G242" s="100">
        <v>7</v>
      </c>
      <c r="H242" s="100">
        <v>0.37</v>
      </c>
      <c r="I242" s="100">
        <v>29</v>
      </c>
      <c r="J242" s="100">
        <v>10</v>
      </c>
      <c r="K242" s="100">
        <v>10</v>
      </c>
      <c r="L242" s="100">
        <v>4</v>
      </c>
      <c r="M242" s="100">
        <v>2</v>
      </c>
      <c r="N242" s="100">
        <v>7</v>
      </c>
      <c r="O242" s="100">
        <v>2</v>
      </c>
      <c r="P242" s="100">
        <v>3.05</v>
      </c>
      <c r="Q242" s="100">
        <v>116.49</v>
      </c>
      <c r="R242" s="100">
        <v>9</v>
      </c>
      <c r="S242" s="100">
        <v>1</v>
      </c>
      <c r="T242" s="100">
        <v>0</v>
      </c>
      <c r="U242" s="100">
        <v>0</v>
      </c>
      <c r="V242" s="100">
        <v>1</v>
      </c>
      <c r="W242" s="100">
        <v>0</v>
      </c>
      <c r="X242" s="100">
        <v>0</v>
      </c>
      <c r="Y242" s="100">
        <v>1</v>
      </c>
      <c r="Z242" s="100">
        <v>0</v>
      </c>
      <c r="AA242" s="100">
        <v>0</v>
      </c>
      <c r="AB242" s="100">
        <v>1</v>
      </c>
      <c r="AC242" s="100">
        <v>0</v>
      </c>
      <c r="AD242" s="100">
        <v>0</v>
      </c>
      <c r="AE242" s="100">
        <v>0</v>
      </c>
      <c r="AF242" s="100">
        <v>0</v>
      </c>
      <c r="AG242" s="100">
        <v>1</v>
      </c>
      <c r="AH242" s="100">
        <v>0</v>
      </c>
      <c r="AI242" s="100">
        <v>0</v>
      </c>
      <c r="AJ242" s="100">
        <v>1</v>
      </c>
      <c r="AK242" s="100">
        <v>0</v>
      </c>
      <c r="AL242" s="100">
        <v>0</v>
      </c>
      <c r="AM242" s="100">
        <v>0</v>
      </c>
      <c r="AN242" s="100">
        <v>0</v>
      </c>
      <c r="AO242" s="100">
        <v>0</v>
      </c>
      <c r="AP242" s="100">
        <v>0</v>
      </c>
      <c r="AQ242" s="100">
        <v>0</v>
      </c>
      <c r="AR242" s="100">
        <v>0</v>
      </c>
      <c r="AS242" s="100">
        <v>0</v>
      </c>
      <c r="AT242" s="100">
        <v>0</v>
      </c>
      <c r="AU242" s="100">
        <v>0</v>
      </c>
      <c r="AV242" s="100">
        <v>0</v>
      </c>
      <c r="AW242" s="100">
        <v>0</v>
      </c>
      <c r="AX242" s="100">
        <v>0</v>
      </c>
      <c r="AY242" s="100">
        <v>0</v>
      </c>
      <c r="AZ242" s="100">
        <v>0</v>
      </c>
      <c r="BA242" s="100">
        <v>0</v>
      </c>
      <c r="BB242" s="100">
        <v>0</v>
      </c>
      <c r="BC242" s="100">
        <v>1</v>
      </c>
      <c r="BD242" s="100">
        <v>0</v>
      </c>
      <c r="BE242" s="100">
        <v>0</v>
      </c>
      <c r="BF242" s="100">
        <v>1</v>
      </c>
      <c r="BG242" s="100">
        <v>0</v>
      </c>
      <c r="BH242" s="100">
        <v>1</v>
      </c>
      <c r="BI242" s="100">
        <v>0</v>
      </c>
      <c r="BJ242" s="100">
        <v>3</v>
      </c>
      <c r="BK242" s="100">
        <v>0</v>
      </c>
      <c r="BL242" s="100">
        <v>0</v>
      </c>
      <c r="BM242" s="100">
        <v>0</v>
      </c>
      <c r="BN242" s="100">
        <v>0</v>
      </c>
      <c r="BO242" s="100">
        <v>0</v>
      </c>
      <c r="BP242" s="100">
        <v>0</v>
      </c>
      <c r="BQ242" s="100">
        <v>0</v>
      </c>
      <c r="BR242" s="100">
        <v>0</v>
      </c>
      <c r="BS242" s="100">
        <v>0</v>
      </c>
      <c r="BT242" s="100">
        <v>0</v>
      </c>
      <c r="BU242" s="100">
        <v>0</v>
      </c>
      <c r="BV242" s="100">
        <v>0</v>
      </c>
      <c r="BW242" s="100">
        <v>0</v>
      </c>
      <c r="BX242" s="100">
        <v>1</v>
      </c>
      <c r="BY242" s="100">
        <v>0</v>
      </c>
      <c r="BZ242" s="100">
        <v>0</v>
      </c>
      <c r="CA242" s="100">
        <v>0</v>
      </c>
      <c r="CB242" s="100" t="s">
        <v>2090</v>
      </c>
      <c r="CC242" s="100">
        <v>1</v>
      </c>
      <c r="CD242" s="100">
        <v>0</v>
      </c>
      <c r="CE242" s="100">
        <v>0</v>
      </c>
      <c r="CF242" s="100">
        <v>0</v>
      </c>
      <c r="CG242" s="103">
        <v>571163.83207</v>
      </c>
      <c r="CH242" s="103">
        <v>25.73</v>
      </c>
      <c r="CI242" s="103">
        <v>2890474.4839900001</v>
      </c>
      <c r="CJ242" s="103">
        <v>28.69</v>
      </c>
      <c r="CK242" s="103">
        <f t="shared" si="12"/>
        <v>738.19370000000004</v>
      </c>
      <c r="CL242" s="103">
        <v>77357</v>
      </c>
      <c r="CM242" s="103">
        <v>256589.9</v>
      </c>
      <c r="CN242" s="104">
        <v>0.30148107934100293</v>
      </c>
      <c r="CO242" s="103">
        <v>15430.49754</v>
      </c>
      <c r="CP242" s="103">
        <v>0.52</v>
      </c>
      <c r="CQ242" s="103">
        <v>1275.8143700000001</v>
      </c>
      <c r="CR242" s="103">
        <v>0</v>
      </c>
      <c r="CS242" s="103">
        <f t="shared" si="13"/>
        <v>0</v>
      </c>
      <c r="CT242" s="103">
        <v>992.5</v>
      </c>
      <c r="CU242" s="103">
        <v>244305.8</v>
      </c>
      <c r="CV242" s="104">
        <v>4.0625314667109827E-3</v>
      </c>
      <c r="CW242" s="103">
        <v>0</v>
      </c>
      <c r="CX242" s="103">
        <v>0</v>
      </c>
      <c r="CY242" s="103">
        <v>0</v>
      </c>
      <c r="CZ242" s="103">
        <v>0</v>
      </c>
      <c r="DA242" s="103">
        <f t="shared" si="14"/>
        <v>0</v>
      </c>
      <c r="DB242" s="103">
        <v>17649</v>
      </c>
      <c r="DC242" s="103">
        <v>642467.6</v>
      </c>
      <c r="DD242" s="104">
        <v>2.7470645990552676E-2</v>
      </c>
      <c r="DE242" s="103">
        <v>0</v>
      </c>
      <c r="DF242" s="103">
        <v>0</v>
      </c>
      <c r="DG242" s="103">
        <v>0</v>
      </c>
      <c r="DH242" s="103">
        <v>0</v>
      </c>
      <c r="DI242" s="103">
        <f t="shared" si="15"/>
        <v>0</v>
      </c>
      <c r="DJ242" s="103">
        <v>1811.3</v>
      </c>
      <c r="DK242" s="103">
        <v>527615.5</v>
      </c>
      <c r="DL242" s="104">
        <v>3.4329923969254124E-3</v>
      </c>
    </row>
    <row r="243" spans="1:116" s="15" customFormat="1" ht="265.7" customHeight="1" x14ac:dyDescent="0.25">
      <c r="A243" s="100" t="s">
        <v>328</v>
      </c>
      <c r="B243" s="100" t="s">
        <v>2595</v>
      </c>
      <c r="C243" s="100" t="s">
        <v>279</v>
      </c>
      <c r="D243" s="101" t="str">
        <f>"Chemistry 174"</f>
        <v>Chemistry 174</v>
      </c>
      <c r="E243" s="102" t="s">
        <v>2596</v>
      </c>
      <c r="F243" s="100">
        <v>13</v>
      </c>
      <c r="G243" s="100">
        <v>7</v>
      </c>
      <c r="H243" s="100">
        <v>0.54</v>
      </c>
      <c r="I243" s="100">
        <v>22</v>
      </c>
      <c r="J243" s="100">
        <v>9</v>
      </c>
      <c r="K243" s="100">
        <v>9</v>
      </c>
      <c r="L243" s="100">
        <v>4</v>
      </c>
      <c r="M243" s="100">
        <v>1</v>
      </c>
      <c r="N243" s="100">
        <v>6</v>
      </c>
      <c r="O243" s="100">
        <v>2</v>
      </c>
      <c r="P243" s="100">
        <v>1.42</v>
      </c>
      <c r="Q243" s="100">
        <v>107.26</v>
      </c>
      <c r="R243" s="100">
        <v>6</v>
      </c>
      <c r="S243" s="100">
        <v>1</v>
      </c>
      <c r="T243" s="100">
        <v>0</v>
      </c>
      <c r="U243" s="100">
        <v>0</v>
      </c>
      <c r="V243" s="100">
        <v>1</v>
      </c>
      <c r="W243" s="100">
        <v>0</v>
      </c>
      <c r="X243" s="100">
        <v>0</v>
      </c>
      <c r="Y243" s="100">
        <v>1</v>
      </c>
      <c r="Z243" s="100">
        <v>0</v>
      </c>
      <c r="AA243" s="100">
        <v>0</v>
      </c>
      <c r="AB243" s="100">
        <v>1</v>
      </c>
      <c r="AC243" s="100">
        <v>0</v>
      </c>
      <c r="AD243" s="100">
        <v>0</v>
      </c>
      <c r="AE243" s="100">
        <v>0</v>
      </c>
      <c r="AF243" s="100">
        <v>1</v>
      </c>
      <c r="AG243" s="100">
        <v>0</v>
      </c>
      <c r="AH243" s="100">
        <v>0</v>
      </c>
      <c r="AI243" s="100">
        <v>0</v>
      </c>
      <c r="AJ243" s="100">
        <v>1</v>
      </c>
      <c r="AK243" s="100">
        <v>0</v>
      </c>
      <c r="AL243" s="100">
        <v>0</v>
      </c>
      <c r="AM243" s="100">
        <v>0</v>
      </c>
      <c r="AN243" s="100">
        <v>0</v>
      </c>
      <c r="AO243" s="100">
        <v>0</v>
      </c>
      <c r="AP243" s="100">
        <v>0</v>
      </c>
      <c r="AQ243" s="100">
        <v>0</v>
      </c>
      <c r="AR243" s="100">
        <v>0</v>
      </c>
      <c r="AS243" s="100">
        <v>0</v>
      </c>
      <c r="AT243" s="100">
        <v>0</v>
      </c>
      <c r="AU243" s="100">
        <v>0</v>
      </c>
      <c r="AV243" s="100">
        <v>0</v>
      </c>
      <c r="AW243" s="100">
        <v>0</v>
      </c>
      <c r="AX243" s="100">
        <v>0</v>
      </c>
      <c r="AY243" s="100">
        <v>0</v>
      </c>
      <c r="AZ243" s="100">
        <v>0</v>
      </c>
      <c r="BA243" s="100">
        <v>0</v>
      </c>
      <c r="BB243" s="100">
        <v>0</v>
      </c>
      <c r="BC243" s="100">
        <v>1</v>
      </c>
      <c r="BD243" s="100">
        <v>0</v>
      </c>
      <c r="BE243" s="100">
        <v>0</v>
      </c>
      <c r="BF243" s="100">
        <v>1</v>
      </c>
      <c r="BG243" s="100">
        <v>0</v>
      </c>
      <c r="BH243" s="100">
        <v>1</v>
      </c>
      <c r="BI243" s="100">
        <v>0</v>
      </c>
      <c r="BJ243" s="100">
        <v>3</v>
      </c>
      <c r="BK243" s="100">
        <v>0</v>
      </c>
      <c r="BL243" s="100">
        <v>0</v>
      </c>
      <c r="BM243" s="100">
        <v>0</v>
      </c>
      <c r="BN243" s="100">
        <v>0</v>
      </c>
      <c r="BO243" s="100">
        <v>0</v>
      </c>
      <c r="BP243" s="100">
        <v>0</v>
      </c>
      <c r="BQ243" s="100">
        <v>0</v>
      </c>
      <c r="BR243" s="100">
        <v>0</v>
      </c>
      <c r="BS243" s="100">
        <v>0</v>
      </c>
      <c r="BT243" s="100">
        <v>0</v>
      </c>
      <c r="BU243" s="100">
        <v>0</v>
      </c>
      <c r="BV243" s="100">
        <v>0</v>
      </c>
      <c r="BW243" s="100">
        <v>0</v>
      </c>
      <c r="BX243" s="100">
        <v>1</v>
      </c>
      <c r="BY243" s="100">
        <v>0</v>
      </c>
      <c r="BZ243" s="100">
        <v>0</v>
      </c>
      <c r="CA243" s="100">
        <v>0</v>
      </c>
      <c r="CB243" s="100" t="s">
        <v>2090</v>
      </c>
      <c r="CC243" s="100">
        <v>1</v>
      </c>
      <c r="CD243" s="100">
        <v>0</v>
      </c>
      <c r="CE243" s="100">
        <v>0</v>
      </c>
      <c r="CF243" s="100">
        <v>0</v>
      </c>
      <c r="CG243" s="103">
        <v>482396.58314</v>
      </c>
      <c r="CH243" s="103">
        <v>24.63</v>
      </c>
      <c r="CI243" s="103">
        <v>2725877.1672</v>
      </c>
      <c r="CJ243" s="103">
        <v>29.35</v>
      </c>
      <c r="CK243" s="103">
        <f t="shared" si="12"/>
        <v>722.89049999999997</v>
      </c>
      <c r="CL243" s="103">
        <v>153963.5</v>
      </c>
      <c r="CM243" s="103">
        <v>453969.7</v>
      </c>
      <c r="CN243" s="104">
        <v>0.33914928683566326</v>
      </c>
      <c r="CO243" s="103">
        <v>19011.917089999999</v>
      </c>
      <c r="CP243" s="103">
        <v>0.86</v>
      </c>
      <c r="CQ243" s="103">
        <v>3876.6158399999999</v>
      </c>
      <c r="CR243" s="103">
        <v>0</v>
      </c>
      <c r="CS243" s="103">
        <f t="shared" si="13"/>
        <v>0</v>
      </c>
      <c r="CT243" s="103">
        <v>3304.5</v>
      </c>
      <c r="CU243" s="103">
        <v>627177.1</v>
      </c>
      <c r="CV243" s="104">
        <v>5.2688467101238232E-3</v>
      </c>
      <c r="CW243" s="103">
        <v>547260.41798999999</v>
      </c>
      <c r="CX243" s="103">
        <v>34.96</v>
      </c>
      <c r="CY243" s="103">
        <v>3022222.0678300001</v>
      </c>
      <c r="CZ243" s="103">
        <v>40.871654083733695</v>
      </c>
      <c r="DA243" s="103">
        <f t="shared" si="14"/>
        <v>1428.87302676733</v>
      </c>
      <c r="DB243" s="103">
        <v>408795.5</v>
      </c>
      <c r="DC243" s="103">
        <v>894490.1</v>
      </c>
      <c r="DD243" s="104">
        <v>0.4570151195636486</v>
      </c>
      <c r="DE243" s="103">
        <v>0</v>
      </c>
      <c r="DF243" s="103">
        <v>0</v>
      </c>
      <c r="DG243" s="103">
        <v>7362.3574500000004</v>
      </c>
      <c r="DH243" s="103">
        <v>0</v>
      </c>
      <c r="DI243" s="103">
        <f t="shared" si="15"/>
        <v>0</v>
      </c>
      <c r="DJ243" s="103">
        <v>3005.3</v>
      </c>
      <c r="DK243" s="103">
        <v>529134.5</v>
      </c>
      <c r="DL243" s="104">
        <v>5.6796523379216441E-3</v>
      </c>
    </row>
    <row r="244" spans="1:116" s="15" customFormat="1" ht="169.7" customHeight="1" x14ac:dyDescent="0.25">
      <c r="A244" s="100" t="s">
        <v>329</v>
      </c>
      <c r="B244" s="100" t="s">
        <v>2597</v>
      </c>
      <c r="C244" s="100" t="s">
        <v>279</v>
      </c>
      <c r="D244" s="101" t="str">
        <f>"Chemistry 64"</f>
        <v>Chemistry 64</v>
      </c>
      <c r="E244" s="102" t="s">
        <v>2598</v>
      </c>
      <c r="F244" s="100">
        <v>8</v>
      </c>
      <c r="G244" s="100">
        <v>7</v>
      </c>
      <c r="H244" s="100">
        <v>0.88</v>
      </c>
      <c r="I244" s="100">
        <v>12</v>
      </c>
      <c r="J244" s="100">
        <v>4</v>
      </c>
      <c r="K244" s="100">
        <v>4</v>
      </c>
      <c r="L244" s="100">
        <v>2</v>
      </c>
      <c r="M244" s="100">
        <v>0</v>
      </c>
      <c r="N244" s="100">
        <v>4</v>
      </c>
      <c r="O244" s="100">
        <v>1</v>
      </c>
      <c r="P244" s="100">
        <v>-0.54</v>
      </c>
      <c r="Q244" s="100">
        <v>42.85</v>
      </c>
      <c r="R244" s="100">
        <v>1</v>
      </c>
      <c r="S244" s="100">
        <v>0</v>
      </c>
      <c r="T244" s="100">
        <v>0</v>
      </c>
      <c r="U244" s="100">
        <v>1</v>
      </c>
      <c r="V244" s="100">
        <v>0</v>
      </c>
      <c r="W244" s="100">
        <v>0</v>
      </c>
      <c r="X244" s="100">
        <v>0</v>
      </c>
      <c r="Y244" s="100">
        <v>0</v>
      </c>
      <c r="Z244" s="100">
        <v>1</v>
      </c>
      <c r="AA244" s="100">
        <v>0</v>
      </c>
      <c r="AB244" s="100">
        <v>1</v>
      </c>
      <c r="AC244" s="100">
        <v>0</v>
      </c>
      <c r="AD244" s="100">
        <v>0</v>
      </c>
      <c r="AE244" s="100">
        <v>1</v>
      </c>
      <c r="AF244" s="100">
        <v>0</v>
      </c>
      <c r="AG244" s="100">
        <v>0</v>
      </c>
      <c r="AH244" s="100">
        <v>0</v>
      </c>
      <c r="AI244" s="100">
        <v>1</v>
      </c>
      <c r="AJ244" s="100">
        <v>0</v>
      </c>
      <c r="AK244" s="100">
        <v>0</v>
      </c>
      <c r="AL244" s="100">
        <v>0</v>
      </c>
      <c r="AM244" s="100">
        <v>0</v>
      </c>
      <c r="AN244" s="100">
        <v>0</v>
      </c>
      <c r="AO244" s="100">
        <v>0</v>
      </c>
      <c r="AP244" s="100">
        <v>0</v>
      </c>
      <c r="AQ244" s="100">
        <v>0</v>
      </c>
      <c r="AR244" s="100">
        <v>0</v>
      </c>
      <c r="AS244" s="100">
        <v>0</v>
      </c>
      <c r="AT244" s="100">
        <v>0</v>
      </c>
      <c r="AU244" s="100">
        <v>0</v>
      </c>
      <c r="AV244" s="100">
        <v>0</v>
      </c>
      <c r="AW244" s="100">
        <v>0</v>
      </c>
      <c r="AX244" s="100">
        <v>0</v>
      </c>
      <c r="AY244" s="100">
        <v>0</v>
      </c>
      <c r="AZ244" s="100">
        <v>0</v>
      </c>
      <c r="BA244" s="100">
        <v>0</v>
      </c>
      <c r="BB244" s="100">
        <v>0</v>
      </c>
      <c r="BC244" s="100">
        <v>0</v>
      </c>
      <c r="BD244" s="100">
        <v>0</v>
      </c>
      <c r="BE244" s="100">
        <v>0</v>
      </c>
      <c r="BF244" s="100">
        <v>0</v>
      </c>
      <c r="BG244" s="100">
        <v>0</v>
      </c>
      <c r="BH244" s="100">
        <v>0</v>
      </c>
      <c r="BI244" s="100">
        <v>0</v>
      </c>
      <c r="BJ244" s="100">
        <v>0</v>
      </c>
      <c r="BK244" s="100">
        <v>0</v>
      </c>
      <c r="BL244" s="100">
        <v>0</v>
      </c>
      <c r="BM244" s="100">
        <v>0</v>
      </c>
      <c r="BN244" s="100">
        <v>0</v>
      </c>
      <c r="BO244" s="100">
        <v>0</v>
      </c>
      <c r="BP244" s="100">
        <v>0</v>
      </c>
      <c r="BQ244" s="100">
        <v>1</v>
      </c>
      <c r="BR244" s="100">
        <v>0</v>
      </c>
      <c r="BS244" s="100">
        <v>0</v>
      </c>
      <c r="BT244" s="100">
        <v>0</v>
      </c>
      <c r="BU244" s="100">
        <v>0</v>
      </c>
      <c r="BV244" s="100">
        <v>0</v>
      </c>
      <c r="BW244" s="100">
        <v>1</v>
      </c>
      <c r="BX244" s="100">
        <v>0</v>
      </c>
      <c r="BY244" s="100">
        <v>0</v>
      </c>
      <c r="BZ244" s="100">
        <v>1</v>
      </c>
      <c r="CA244" s="100">
        <v>1</v>
      </c>
      <c r="CB244" s="100" t="s">
        <v>2090</v>
      </c>
      <c r="CC244" s="100">
        <v>0</v>
      </c>
      <c r="CD244" s="100">
        <v>0</v>
      </c>
      <c r="CE244" s="100">
        <v>0</v>
      </c>
      <c r="CF244" s="100">
        <v>0</v>
      </c>
      <c r="CG244" s="103">
        <v>0</v>
      </c>
      <c r="CH244" s="103">
        <v>0</v>
      </c>
      <c r="CI244" s="103">
        <v>55073.525880000001</v>
      </c>
      <c r="CJ244" s="103">
        <v>1.8</v>
      </c>
      <c r="CK244" s="103">
        <f t="shared" si="12"/>
        <v>0</v>
      </c>
      <c r="CL244" s="103">
        <v>3556.2</v>
      </c>
      <c r="CM244" s="103">
        <v>606260.4</v>
      </c>
      <c r="CN244" s="104">
        <v>5.8657962815978079E-3</v>
      </c>
      <c r="CO244" s="103">
        <v>18667.589319999999</v>
      </c>
      <c r="CP244" s="103">
        <v>1.2</v>
      </c>
      <c r="CQ244" s="103">
        <v>82922.445510000005</v>
      </c>
      <c r="CR244" s="103">
        <v>2.08</v>
      </c>
      <c r="CS244" s="103">
        <f t="shared" si="13"/>
        <v>2.496</v>
      </c>
      <c r="CT244" s="103">
        <v>7368.3</v>
      </c>
      <c r="CU244" s="103">
        <v>615964.4</v>
      </c>
      <c r="CV244" s="104">
        <v>1.1962217296973656E-2</v>
      </c>
      <c r="CW244" s="103">
        <v>519767.67908999999</v>
      </c>
      <c r="CX244" s="103">
        <v>38.31</v>
      </c>
      <c r="CY244" s="103">
        <v>4068721.0962499999</v>
      </c>
      <c r="CZ244" s="103">
        <v>39.314194577352467</v>
      </c>
      <c r="DA244" s="103">
        <f t="shared" si="14"/>
        <v>1506.1267942583731</v>
      </c>
      <c r="DB244" s="103">
        <v>26170.6</v>
      </c>
      <c r="DC244" s="103">
        <v>18864.5</v>
      </c>
      <c r="DD244" s="104">
        <v>1.3872935937872723</v>
      </c>
      <c r="DE244" s="103">
        <v>16856.357530000001</v>
      </c>
      <c r="DF244" s="103">
        <v>1.2</v>
      </c>
      <c r="DG244" s="103">
        <v>132721.08556000001</v>
      </c>
      <c r="DH244" s="103">
        <v>3.35</v>
      </c>
      <c r="DI244" s="103">
        <f t="shared" si="15"/>
        <v>4.0199999999999996</v>
      </c>
      <c r="DJ244" s="103">
        <v>4571.7</v>
      </c>
      <c r="DK244" s="103">
        <v>330572.40000000002</v>
      </c>
      <c r="DL244" s="104">
        <v>1.3829648210195404E-2</v>
      </c>
    </row>
    <row r="245" spans="1:116" s="15" customFormat="1" ht="237.2" customHeight="1" x14ac:dyDescent="0.25">
      <c r="A245" s="100" t="s">
        <v>330</v>
      </c>
      <c r="B245" s="100" t="s">
        <v>2599</v>
      </c>
      <c r="C245" s="100" t="s">
        <v>279</v>
      </c>
      <c r="D245" s="101" t="str">
        <f>"Chemistry 36"</f>
        <v>Chemistry 36</v>
      </c>
      <c r="E245" s="102" t="s">
        <v>2600</v>
      </c>
      <c r="F245" s="100">
        <v>13</v>
      </c>
      <c r="G245" s="100">
        <v>12</v>
      </c>
      <c r="H245" s="100">
        <v>0.92</v>
      </c>
      <c r="I245" s="100">
        <v>19</v>
      </c>
      <c r="J245" s="100">
        <v>6</v>
      </c>
      <c r="K245" s="100">
        <v>6</v>
      </c>
      <c r="L245" s="100">
        <v>2</v>
      </c>
      <c r="M245" s="100">
        <v>0</v>
      </c>
      <c r="N245" s="100">
        <v>5</v>
      </c>
      <c r="O245" s="100">
        <v>1</v>
      </c>
      <c r="P245" s="100">
        <v>0.09</v>
      </c>
      <c r="Q245" s="100">
        <v>60.03</v>
      </c>
      <c r="R245" s="100">
        <v>0</v>
      </c>
      <c r="S245" s="100">
        <v>1</v>
      </c>
      <c r="T245" s="100">
        <v>0</v>
      </c>
      <c r="U245" s="100">
        <v>0</v>
      </c>
      <c r="V245" s="100">
        <v>0</v>
      </c>
      <c r="W245" s="100">
        <v>0</v>
      </c>
      <c r="X245" s="100">
        <v>0</v>
      </c>
      <c r="Y245" s="100">
        <v>0</v>
      </c>
      <c r="Z245" s="100">
        <v>1</v>
      </c>
      <c r="AA245" s="100">
        <v>0</v>
      </c>
      <c r="AB245" s="100">
        <v>1</v>
      </c>
      <c r="AC245" s="100">
        <v>0</v>
      </c>
      <c r="AD245" s="100">
        <v>0</v>
      </c>
      <c r="AE245" s="100">
        <v>1</v>
      </c>
      <c r="AF245" s="100">
        <v>0</v>
      </c>
      <c r="AG245" s="100">
        <v>0</v>
      </c>
      <c r="AH245" s="100">
        <v>0</v>
      </c>
      <c r="AI245" s="100">
        <v>0</v>
      </c>
      <c r="AJ245" s="100">
        <v>1</v>
      </c>
      <c r="AK245" s="100">
        <v>0</v>
      </c>
      <c r="AL245" s="100">
        <v>0</v>
      </c>
      <c r="AM245" s="100">
        <v>0</v>
      </c>
      <c r="AN245" s="100">
        <v>0</v>
      </c>
      <c r="AO245" s="100">
        <v>0</v>
      </c>
      <c r="AP245" s="100">
        <v>0</v>
      </c>
      <c r="AQ245" s="100">
        <v>0</v>
      </c>
      <c r="AR245" s="100">
        <v>0</v>
      </c>
      <c r="AS245" s="100">
        <v>0</v>
      </c>
      <c r="AT245" s="100">
        <v>0</v>
      </c>
      <c r="AU245" s="100">
        <v>0</v>
      </c>
      <c r="AV245" s="100">
        <v>1</v>
      </c>
      <c r="AW245" s="100">
        <v>0</v>
      </c>
      <c r="AX245" s="100">
        <v>0</v>
      </c>
      <c r="AY245" s="100">
        <v>0</v>
      </c>
      <c r="AZ245" s="100">
        <v>0</v>
      </c>
      <c r="BA245" s="100">
        <v>0</v>
      </c>
      <c r="BB245" s="100">
        <v>0</v>
      </c>
      <c r="BC245" s="100">
        <v>0</v>
      </c>
      <c r="BD245" s="100">
        <v>0</v>
      </c>
      <c r="BE245" s="100">
        <v>0</v>
      </c>
      <c r="BF245" s="100">
        <v>0</v>
      </c>
      <c r="BG245" s="100">
        <v>0</v>
      </c>
      <c r="BH245" s="100">
        <v>0</v>
      </c>
      <c r="BI245" s="100">
        <v>0</v>
      </c>
      <c r="BJ245" s="100">
        <v>1</v>
      </c>
      <c r="BK245" s="100">
        <v>0</v>
      </c>
      <c r="BL245" s="100">
        <v>0</v>
      </c>
      <c r="BM245" s="100">
        <v>0</v>
      </c>
      <c r="BN245" s="100">
        <v>0</v>
      </c>
      <c r="BO245" s="100">
        <v>0</v>
      </c>
      <c r="BP245" s="100">
        <v>0</v>
      </c>
      <c r="BQ245" s="100">
        <v>0</v>
      </c>
      <c r="BR245" s="100">
        <v>0</v>
      </c>
      <c r="BS245" s="100">
        <v>0</v>
      </c>
      <c r="BT245" s="100">
        <v>0</v>
      </c>
      <c r="BU245" s="100">
        <v>0</v>
      </c>
      <c r="BV245" s="100">
        <v>0</v>
      </c>
      <c r="BW245" s="100">
        <v>0</v>
      </c>
      <c r="BX245" s="100">
        <v>1</v>
      </c>
      <c r="BY245" s="100">
        <v>0</v>
      </c>
      <c r="BZ245" s="100">
        <v>1</v>
      </c>
      <c r="CA245" s="100">
        <v>0</v>
      </c>
      <c r="CB245" s="100" t="s">
        <v>2090</v>
      </c>
      <c r="CC245" s="100">
        <v>0</v>
      </c>
      <c r="CD245" s="100">
        <v>1</v>
      </c>
      <c r="CE245" s="100">
        <v>0</v>
      </c>
      <c r="CF245" s="100">
        <v>0</v>
      </c>
      <c r="CG245" s="103">
        <v>313310.74494</v>
      </c>
      <c r="CH245" s="103">
        <v>20.84</v>
      </c>
      <c r="CI245" s="103">
        <v>2292556.03994</v>
      </c>
      <c r="CJ245" s="103">
        <v>30.04</v>
      </c>
      <c r="CK245" s="103">
        <f t="shared" si="12"/>
        <v>626.03359999999998</v>
      </c>
      <c r="CL245" s="103">
        <v>664438.5</v>
      </c>
      <c r="CM245" s="103">
        <v>1040641.9</v>
      </c>
      <c r="CN245" s="104">
        <v>0.63848909024324307</v>
      </c>
      <c r="CO245" s="103">
        <v>125326.06784</v>
      </c>
      <c r="CP245" s="103">
        <v>7.7</v>
      </c>
      <c r="CQ245" s="103">
        <v>1739983.99098</v>
      </c>
      <c r="CR245" s="103">
        <v>31.64</v>
      </c>
      <c r="CS245" s="103">
        <f t="shared" si="13"/>
        <v>243.62800000000001</v>
      </c>
      <c r="CT245" s="103">
        <v>125275</v>
      </c>
      <c r="CU245" s="103">
        <v>431608.4</v>
      </c>
      <c r="CV245" s="104">
        <v>0.29025153356607514</v>
      </c>
      <c r="CW245" s="103">
        <v>55148.723109999999</v>
      </c>
      <c r="CX245" s="103">
        <v>5.39</v>
      </c>
      <c r="CY245" s="103">
        <v>932044.35447000002</v>
      </c>
      <c r="CZ245" s="103">
        <v>25.733563470892829</v>
      </c>
      <c r="DA245" s="103">
        <f t="shared" si="14"/>
        <v>138.70390710811233</v>
      </c>
      <c r="DB245" s="103">
        <v>108078.9</v>
      </c>
      <c r="DC245" s="103">
        <v>227397.5</v>
      </c>
      <c r="DD245" s="104">
        <v>0.47528622786090435</v>
      </c>
      <c r="DE245" s="103">
        <v>447411.91422999999</v>
      </c>
      <c r="DF245" s="103">
        <v>26.52</v>
      </c>
      <c r="DG245" s="103">
        <v>2730158.1915799999</v>
      </c>
      <c r="DH245" s="103">
        <v>35</v>
      </c>
      <c r="DI245" s="103">
        <f t="shared" si="15"/>
        <v>928.19999999999993</v>
      </c>
      <c r="DJ245" s="103">
        <v>111189.9</v>
      </c>
      <c r="DK245" s="103">
        <v>217194.7</v>
      </c>
      <c r="DL245" s="104">
        <v>0.51193652515461929</v>
      </c>
    </row>
    <row r="246" spans="1:116" s="15" customFormat="1" ht="265.7" customHeight="1" x14ac:dyDescent="0.25">
      <c r="A246" s="100" t="s">
        <v>331</v>
      </c>
      <c r="B246" s="100" t="s">
        <v>2601</v>
      </c>
      <c r="C246" s="100" t="s">
        <v>279</v>
      </c>
      <c r="D246" s="101" t="str">
        <f>"Chemistry 14"</f>
        <v>Chemistry 14</v>
      </c>
      <c r="E246" s="102" t="s">
        <v>2602</v>
      </c>
      <c r="F246" s="100">
        <v>14</v>
      </c>
      <c r="G246" s="100">
        <v>7</v>
      </c>
      <c r="H246" s="100">
        <v>0.5</v>
      </c>
      <c r="I246" s="100">
        <v>20</v>
      </c>
      <c r="J246" s="100">
        <v>6</v>
      </c>
      <c r="K246" s="100">
        <v>6</v>
      </c>
      <c r="L246" s="100">
        <v>1</v>
      </c>
      <c r="M246" s="100">
        <v>1</v>
      </c>
      <c r="N246" s="100">
        <v>3</v>
      </c>
      <c r="O246" s="100">
        <v>1</v>
      </c>
      <c r="P246" s="100">
        <v>2.98</v>
      </c>
      <c r="Q246" s="100">
        <v>38.33</v>
      </c>
      <c r="R246" s="100">
        <v>4</v>
      </c>
      <c r="S246" s="100">
        <v>1</v>
      </c>
      <c r="T246" s="100">
        <v>0</v>
      </c>
      <c r="U246" s="100">
        <v>0</v>
      </c>
      <c r="V246" s="100">
        <v>0</v>
      </c>
      <c r="W246" s="100">
        <v>0</v>
      </c>
      <c r="X246" s="100">
        <v>1</v>
      </c>
      <c r="Y246" s="100">
        <v>0</v>
      </c>
      <c r="Z246" s="100">
        <v>1</v>
      </c>
      <c r="AA246" s="100">
        <v>0</v>
      </c>
      <c r="AB246" s="100">
        <v>0</v>
      </c>
      <c r="AC246" s="100">
        <v>1</v>
      </c>
      <c r="AD246" s="100">
        <v>0</v>
      </c>
      <c r="AE246" s="100">
        <v>0</v>
      </c>
      <c r="AF246" s="100">
        <v>0</v>
      </c>
      <c r="AG246" s="100">
        <v>1</v>
      </c>
      <c r="AH246" s="100">
        <v>0</v>
      </c>
      <c r="AI246" s="100">
        <v>1</v>
      </c>
      <c r="AJ246" s="100">
        <v>0</v>
      </c>
      <c r="AK246" s="100">
        <v>0</v>
      </c>
      <c r="AL246" s="100">
        <v>0</v>
      </c>
      <c r="AM246" s="100">
        <v>0</v>
      </c>
      <c r="AN246" s="100">
        <v>0</v>
      </c>
      <c r="AO246" s="100">
        <v>0</v>
      </c>
      <c r="AP246" s="100">
        <v>0</v>
      </c>
      <c r="AQ246" s="100">
        <v>0</v>
      </c>
      <c r="AR246" s="100">
        <v>0</v>
      </c>
      <c r="AS246" s="100">
        <v>0</v>
      </c>
      <c r="AT246" s="100">
        <v>0</v>
      </c>
      <c r="AU246" s="100">
        <v>0</v>
      </c>
      <c r="AV246" s="100">
        <v>0</v>
      </c>
      <c r="AW246" s="100">
        <v>0</v>
      </c>
      <c r="AX246" s="100">
        <v>1</v>
      </c>
      <c r="AY246" s="100">
        <v>0</v>
      </c>
      <c r="AZ246" s="100">
        <v>0</v>
      </c>
      <c r="BA246" s="100">
        <v>0</v>
      </c>
      <c r="BB246" s="100">
        <v>0</v>
      </c>
      <c r="BC246" s="100">
        <v>0</v>
      </c>
      <c r="BD246" s="100">
        <v>0</v>
      </c>
      <c r="BE246" s="100">
        <v>0</v>
      </c>
      <c r="BF246" s="100">
        <v>0</v>
      </c>
      <c r="BG246" s="100">
        <v>0</v>
      </c>
      <c r="BH246" s="100">
        <v>0</v>
      </c>
      <c r="BI246" s="100">
        <v>0</v>
      </c>
      <c r="BJ246" s="100">
        <v>1</v>
      </c>
      <c r="BK246" s="100">
        <v>0</v>
      </c>
      <c r="BL246" s="100">
        <v>0</v>
      </c>
      <c r="BM246" s="100">
        <v>0</v>
      </c>
      <c r="BN246" s="100">
        <v>0</v>
      </c>
      <c r="BO246" s="100">
        <v>0</v>
      </c>
      <c r="BP246" s="100">
        <v>0</v>
      </c>
      <c r="BQ246" s="100">
        <v>0</v>
      </c>
      <c r="BR246" s="100">
        <v>0</v>
      </c>
      <c r="BS246" s="100">
        <v>0</v>
      </c>
      <c r="BT246" s="100">
        <v>0</v>
      </c>
      <c r="BU246" s="100">
        <v>0</v>
      </c>
      <c r="BV246" s="100">
        <v>0</v>
      </c>
      <c r="BW246" s="100">
        <v>1</v>
      </c>
      <c r="BX246" s="100">
        <v>0</v>
      </c>
      <c r="BY246" s="100">
        <v>0</v>
      </c>
      <c r="BZ246" s="100">
        <v>1</v>
      </c>
      <c r="CA246" s="100">
        <v>0</v>
      </c>
      <c r="CB246" s="100" t="s">
        <v>2090</v>
      </c>
      <c r="CC246" s="100">
        <v>0</v>
      </c>
      <c r="CD246" s="100">
        <v>0</v>
      </c>
      <c r="CE246" s="100">
        <v>0</v>
      </c>
      <c r="CF246" s="100">
        <v>0</v>
      </c>
      <c r="CG246" s="103">
        <v>0</v>
      </c>
      <c r="CH246" s="103">
        <v>0</v>
      </c>
      <c r="CI246" s="103">
        <v>25866.221219999999</v>
      </c>
      <c r="CJ246" s="103">
        <v>0</v>
      </c>
      <c r="CK246" s="103">
        <f t="shared" si="12"/>
        <v>0</v>
      </c>
      <c r="CL246" s="103">
        <v>24403</v>
      </c>
      <c r="CM246" s="103">
        <v>65320</v>
      </c>
      <c r="CN246" s="104">
        <v>0.37359154929577465</v>
      </c>
      <c r="CO246" s="103">
        <v>0</v>
      </c>
      <c r="CP246" s="103">
        <v>0</v>
      </c>
      <c r="CQ246" s="103">
        <v>592.16952000000003</v>
      </c>
      <c r="CR246" s="103">
        <v>0</v>
      </c>
      <c r="CS246" s="103">
        <f t="shared" si="13"/>
        <v>0</v>
      </c>
      <c r="CT246" s="103">
        <v>8228.2000000000007</v>
      </c>
      <c r="CU246" s="103">
        <v>985101.5</v>
      </c>
      <c r="CV246" s="104">
        <v>8.3526418343693523E-3</v>
      </c>
      <c r="CW246" s="103">
        <v>0</v>
      </c>
      <c r="CX246" s="103">
        <v>0</v>
      </c>
      <c r="CY246" s="103">
        <v>3530.39743</v>
      </c>
      <c r="CZ246" s="103">
        <v>0</v>
      </c>
      <c r="DA246" s="103">
        <f t="shared" si="14"/>
        <v>0</v>
      </c>
      <c r="DB246" s="103">
        <v>2460.9</v>
      </c>
      <c r="DC246" s="103">
        <v>333635.40000000002</v>
      </c>
      <c r="DD246" s="104">
        <v>7.3760158544327126E-3</v>
      </c>
      <c r="DE246" s="103">
        <v>0</v>
      </c>
      <c r="DF246" s="103">
        <v>0</v>
      </c>
      <c r="DG246" s="103">
        <v>0</v>
      </c>
      <c r="DH246" s="103">
        <v>0</v>
      </c>
      <c r="DI246" s="103">
        <f t="shared" si="15"/>
        <v>0</v>
      </c>
      <c r="DJ246" s="103">
        <v>564.29999999999995</v>
      </c>
      <c r="DK246" s="103">
        <v>206403.20000000001</v>
      </c>
      <c r="DL246" s="104">
        <v>2.7339692407869643E-3</v>
      </c>
    </row>
    <row r="247" spans="1:116" s="15" customFormat="1" ht="219.2" customHeight="1" x14ac:dyDescent="0.25">
      <c r="A247" s="100" t="s">
        <v>332</v>
      </c>
      <c r="B247" s="100" t="s">
        <v>2603</v>
      </c>
      <c r="C247" s="100" t="s">
        <v>279</v>
      </c>
      <c r="D247" s="101" t="str">
        <f>"Chemistry 22"</f>
        <v>Chemistry 22</v>
      </c>
      <c r="E247" s="102" t="s">
        <v>2604</v>
      </c>
      <c r="F247" s="100">
        <v>13</v>
      </c>
      <c r="G247" s="100">
        <v>7</v>
      </c>
      <c r="H247" s="100">
        <v>0.54</v>
      </c>
      <c r="I247" s="100">
        <v>16</v>
      </c>
      <c r="J247" s="100">
        <v>3</v>
      </c>
      <c r="K247" s="100">
        <v>3</v>
      </c>
      <c r="L247" s="100">
        <v>2</v>
      </c>
      <c r="M247" s="100">
        <v>1</v>
      </c>
      <c r="N247" s="100">
        <v>3</v>
      </c>
      <c r="O247" s="100">
        <v>1</v>
      </c>
      <c r="P247" s="100">
        <v>2.15</v>
      </c>
      <c r="Q247" s="100">
        <v>24.5</v>
      </c>
      <c r="R247" s="100">
        <v>1</v>
      </c>
      <c r="S247" s="100">
        <v>0</v>
      </c>
      <c r="T247" s="100">
        <v>1</v>
      </c>
      <c r="U247" s="100">
        <v>0</v>
      </c>
      <c r="V247" s="100">
        <v>0</v>
      </c>
      <c r="W247" s="100">
        <v>1</v>
      </c>
      <c r="X247" s="100">
        <v>0</v>
      </c>
      <c r="Y247" s="100">
        <v>0</v>
      </c>
      <c r="Z247" s="100">
        <v>1</v>
      </c>
      <c r="AA247" s="100">
        <v>0</v>
      </c>
      <c r="AB247" s="100">
        <v>0</v>
      </c>
      <c r="AC247" s="100">
        <v>1</v>
      </c>
      <c r="AD247" s="100">
        <v>0</v>
      </c>
      <c r="AE247" s="100">
        <v>0</v>
      </c>
      <c r="AF247" s="100">
        <v>0</v>
      </c>
      <c r="AG247" s="100">
        <v>1</v>
      </c>
      <c r="AH247" s="100">
        <v>1</v>
      </c>
      <c r="AI247" s="100">
        <v>0</v>
      </c>
      <c r="AJ247" s="100">
        <v>0</v>
      </c>
      <c r="AK247" s="100">
        <v>0</v>
      </c>
      <c r="AL247" s="100">
        <v>0</v>
      </c>
      <c r="AM247" s="100">
        <v>0</v>
      </c>
      <c r="AN247" s="100">
        <v>0</v>
      </c>
      <c r="AO247" s="100">
        <v>0</v>
      </c>
      <c r="AP247" s="100">
        <v>0</v>
      </c>
      <c r="AQ247" s="100">
        <v>0</v>
      </c>
      <c r="AR247" s="100">
        <v>0</v>
      </c>
      <c r="AS247" s="100">
        <v>0</v>
      </c>
      <c r="AT247" s="100">
        <v>0</v>
      </c>
      <c r="AU247" s="100">
        <v>0</v>
      </c>
      <c r="AV247" s="100">
        <v>0</v>
      </c>
      <c r="AW247" s="100">
        <v>0</v>
      </c>
      <c r="AX247" s="100">
        <v>0</v>
      </c>
      <c r="AY247" s="100">
        <v>0</v>
      </c>
      <c r="AZ247" s="100">
        <v>0</v>
      </c>
      <c r="BA247" s="100">
        <v>0</v>
      </c>
      <c r="BB247" s="100">
        <v>0</v>
      </c>
      <c r="BC247" s="100">
        <v>0</v>
      </c>
      <c r="BD247" s="100">
        <v>0</v>
      </c>
      <c r="BE247" s="100">
        <v>0</v>
      </c>
      <c r="BF247" s="100">
        <v>0</v>
      </c>
      <c r="BG247" s="100">
        <v>0</v>
      </c>
      <c r="BH247" s="100">
        <v>0</v>
      </c>
      <c r="BI247" s="100">
        <v>0</v>
      </c>
      <c r="BJ247" s="100">
        <v>0</v>
      </c>
      <c r="BK247" s="100">
        <v>0</v>
      </c>
      <c r="BL247" s="100">
        <v>0</v>
      </c>
      <c r="BM247" s="100">
        <v>0</v>
      </c>
      <c r="BN247" s="100">
        <v>0</v>
      </c>
      <c r="BO247" s="100">
        <v>0</v>
      </c>
      <c r="BP247" s="100">
        <v>0</v>
      </c>
      <c r="BQ247" s="100">
        <v>1</v>
      </c>
      <c r="BR247" s="100">
        <v>0</v>
      </c>
      <c r="BS247" s="100">
        <v>0</v>
      </c>
      <c r="BT247" s="100">
        <v>0</v>
      </c>
      <c r="BU247" s="100">
        <v>0</v>
      </c>
      <c r="BV247" s="100">
        <v>0</v>
      </c>
      <c r="BW247" s="100">
        <v>1</v>
      </c>
      <c r="BX247" s="100">
        <v>0</v>
      </c>
      <c r="BY247" s="100">
        <v>0</v>
      </c>
      <c r="BZ247" s="100">
        <v>1</v>
      </c>
      <c r="CA247" s="100">
        <v>1</v>
      </c>
      <c r="CB247" s="100" t="s">
        <v>2090</v>
      </c>
      <c r="CC247" s="100">
        <v>0</v>
      </c>
      <c r="CD247" s="100">
        <v>0</v>
      </c>
      <c r="CE247" s="100">
        <v>0</v>
      </c>
      <c r="CF247" s="100">
        <v>0</v>
      </c>
      <c r="CG247" s="103">
        <v>93582.783920000002</v>
      </c>
      <c r="CH247" s="103">
        <v>6.3</v>
      </c>
      <c r="CI247" s="103">
        <v>1848803.7723099999</v>
      </c>
      <c r="CJ247" s="103">
        <v>19.57</v>
      </c>
      <c r="CK247" s="103">
        <f t="shared" si="12"/>
        <v>123.291</v>
      </c>
      <c r="CL247" s="103">
        <v>237797</v>
      </c>
      <c r="CM247" s="103">
        <v>581254.40000000002</v>
      </c>
      <c r="CN247" s="104">
        <v>0.40911002136069852</v>
      </c>
      <c r="CO247" s="103">
        <v>109380.64801999999</v>
      </c>
      <c r="CP247" s="103">
        <v>5.58</v>
      </c>
      <c r="CQ247" s="103">
        <v>1939263.91986</v>
      </c>
      <c r="CR247" s="103">
        <v>13.14</v>
      </c>
      <c r="CS247" s="103">
        <f t="shared" si="13"/>
        <v>73.321200000000005</v>
      </c>
      <c r="CT247" s="103">
        <v>91569.8</v>
      </c>
      <c r="CU247" s="103">
        <v>485662.9</v>
      </c>
      <c r="CV247" s="104">
        <v>0.18854600588185755</v>
      </c>
      <c r="CW247" s="103">
        <v>734697.83077999996</v>
      </c>
      <c r="CX247" s="103">
        <v>49.45</v>
      </c>
      <c r="CY247" s="103">
        <v>3950333.6367600001</v>
      </c>
      <c r="CZ247" s="103">
        <v>39.121314532105814</v>
      </c>
      <c r="DA247" s="103">
        <f t="shared" si="14"/>
        <v>1934.5490036126325</v>
      </c>
      <c r="DB247" s="103">
        <v>256175.7</v>
      </c>
      <c r="DC247" s="103">
        <v>226590.3</v>
      </c>
      <c r="DD247" s="104">
        <v>1.1305678133618253</v>
      </c>
      <c r="DE247" s="103">
        <v>48830.992250000003</v>
      </c>
      <c r="DF247" s="103">
        <v>2.33</v>
      </c>
      <c r="DG247" s="103">
        <v>1196150.91842</v>
      </c>
      <c r="DH247" s="103">
        <v>9.2200000000000006</v>
      </c>
      <c r="DI247" s="103">
        <f t="shared" si="15"/>
        <v>21.482600000000001</v>
      </c>
      <c r="DJ247" s="103">
        <v>22778.400000000001</v>
      </c>
      <c r="DK247" s="103">
        <v>200893.7</v>
      </c>
      <c r="DL247" s="104">
        <v>0.11338533761885017</v>
      </c>
    </row>
    <row r="248" spans="1:116" s="15" customFormat="1" ht="240.95" customHeight="1" x14ac:dyDescent="0.25">
      <c r="A248" s="100" t="s">
        <v>333</v>
      </c>
      <c r="B248" s="100" t="s">
        <v>2605</v>
      </c>
      <c r="C248" s="100" t="s">
        <v>279</v>
      </c>
      <c r="D248" s="105" t="str">
        <f>"Chemistry 9"</f>
        <v>Chemistry 9</v>
      </c>
      <c r="E248" s="102" t="s">
        <v>2606</v>
      </c>
      <c r="F248" s="100">
        <v>14</v>
      </c>
      <c r="G248" s="100">
        <v>6</v>
      </c>
      <c r="H248" s="100">
        <v>0.43</v>
      </c>
      <c r="I248" s="100">
        <v>21</v>
      </c>
      <c r="J248" s="100">
        <v>7</v>
      </c>
      <c r="K248" s="100">
        <v>7</v>
      </c>
      <c r="L248" s="100">
        <v>6</v>
      </c>
      <c r="M248" s="100">
        <v>2</v>
      </c>
      <c r="N248" s="100">
        <v>5</v>
      </c>
      <c r="O248" s="100">
        <v>2</v>
      </c>
      <c r="P248" s="100">
        <v>-0.79</v>
      </c>
      <c r="Q248" s="100">
        <v>84.73</v>
      </c>
      <c r="R248" s="100">
        <v>3</v>
      </c>
      <c r="S248" s="100">
        <v>1</v>
      </c>
      <c r="T248" s="100">
        <v>0</v>
      </c>
      <c r="U248" s="100">
        <v>0</v>
      </c>
      <c r="V248" s="100">
        <v>1</v>
      </c>
      <c r="W248" s="100">
        <v>0</v>
      </c>
      <c r="X248" s="100">
        <v>0</v>
      </c>
      <c r="Y248" s="100">
        <v>1</v>
      </c>
      <c r="Z248" s="100">
        <v>0</v>
      </c>
      <c r="AA248" s="100">
        <v>0</v>
      </c>
      <c r="AB248" s="100">
        <v>1</v>
      </c>
      <c r="AC248" s="100">
        <v>0</v>
      </c>
      <c r="AD248" s="100">
        <v>0</v>
      </c>
      <c r="AE248" s="100">
        <v>1</v>
      </c>
      <c r="AF248" s="100">
        <v>0</v>
      </c>
      <c r="AG248" s="100">
        <v>0</v>
      </c>
      <c r="AH248" s="100">
        <v>0</v>
      </c>
      <c r="AI248" s="100">
        <v>0</v>
      </c>
      <c r="AJ248" s="100">
        <v>1</v>
      </c>
      <c r="AK248" s="100">
        <v>0</v>
      </c>
      <c r="AL248" s="100">
        <v>0</v>
      </c>
      <c r="AM248" s="100">
        <v>0</v>
      </c>
      <c r="AN248" s="100">
        <v>1</v>
      </c>
      <c r="AO248" s="100">
        <v>1</v>
      </c>
      <c r="AP248" s="100">
        <v>0</v>
      </c>
      <c r="AQ248" s="100">
        <v>0</v>
      </c>
      <c r="AR248" s="100">
        <v>0</v>
      </c>
      <c r="AS248" s="100">
        <v>0</v>
      </c>
      <c r="AT248" s="100">
        <v>1</v>
      </c>
      <c r="AU248" s="100">
        <v>0</v>
      </c>
      <c r="AV248" s="100">
        <v>0</v>
      </c>
      <c r="AW248" s="100">
        <v>0</v>
      </c>
      <c r="AX248" s="100">
        <v>0</v>
      </c>
      <c r="AY248" s="100">
        <v>0</v>
      </c>
      <c r="AZ248" s="100">
        <v>0</v>
      </c>
      <c r="BA248" s="100">
        <v>0</v>
      </c>
      <c r="BB248" s="100">
        <v>0</v>
      </c>
      <c r="BC248" s="100">
        <v>0</v>
      </c>
      <c r="BD248" s="100">
        <v>0</v>
      </c>
      <c r="BE248" s="100">
        <v>0</v>
      </c>
      <c r="BF248" s="100">
        <v>0</v>
      </c>
      <c r="BG248" s="100">
        <v>0</v>
      </c>
      <c r="BH248" s="100">
        <v>0</v>
      </c>
      <c r="BI248" s="100">
        <v>0</v>
      </c>
      <c r="BJ248" s="100">
        <v>1</v>
      </c>
      <c r="BK248" s="100">
        <v>0</v>
      </c>
      <c r="BL248" s="100">
        <v>1</v>
      </c>
      <c r="BM248" s="100">
        <v>0</v>
      </c>
      <c r="BN248" s="100">
        <v>0</v>
      </c>
      <c r="BO248" s="100">
        <v>0</v>
      </c>
      <c r="BP248" s="100">
        <v>0</v>
      </c>
      <c r="BQ248" s="100">
        <v>0</v>
      </c>
      <c r="BR248" s="100">
        <v>0</v>
      </c>
      <c r="BS248" s="100">
        <v>0</v>
      </c>
      <c r="BT248" s="100">
        <v>0</v>
      </c>
      <c r="BU248" s="100">
        <v>0</v>
      </c>
      <c r="BV248" s="100">
        <v>1</v>
      </c>
      <c r="BW248" s="100">
        <v>1</v>
      </c>
      <c r="BX248" s="100">
        <v>0</v>
      </c>
      <c r="BY248" s="100">
        <v>0</v>
      </c>
      <c r="BZ248" s="100">
        <v>0</v>
      </c>
      <c r="CA248" s="100">
        <v>1</v>
      </c>
      <c r="CB248" s="100" t="s">
        <v>2090</v>
      </c>
      <c r="CC248" s="100">
        <v>0</v>
      </c>
      <c r="CD248" s="100">
        <v>0</v>
      </c>
      <c r="CE248" s="100">
        <v>0</v>
      </c>
      <c r="CF248" s="100">
        <v>0</v>
      </c>
      <c r="CG248" s="103">
        <v>721024.84323999996</v>
      </c>
      <c r="CH248" s="103">
        <v>36.369999999999997</v>
      </c>
      <c r="CI248" s="103">
        <v>3262587.1185300001</v>
      </c>
      <c r="CJ248" s="103">
        <v>39.619999999999997</v>
      </c>
      <c r="CK248" s="103">
        <f t="shared" si="12"/>
        <v>1440.9793999999997</v>
      </c>
      <c r="CL248" s="103">
        <v>704673.3</v>
      </c>
      <c r="CM248" s="103">
        <v>771612.5</v>
      </c>
      <c r="CN248" s="104">
        <v>0.91324764697305971</v>
      </c>
      <c r="CO248" s="103">
        <v>1060525.79993</v>
      </c>
      <c r="CP248" s="103">
        <v>40.75</v>
      </c>
      <c r="CQ248" s="103">
        <v>3145793.2019699998</v>
      </c>
      <c r="CR248" s="103">
        <v>30.9</v>
      </c>
      <c r="CS248" s="103">
        <f t="shared" si="13"/>
        <v>1259.175</v>
      </c>
      <c r="CT248" s="103">
        <v>532400.69999999995</v>
      </c>
      <c r="CU248" s="103">
        <v>499162.4</v>
      </c>
      <c r="CV248" s="104">
        <v>1.0665881484663107</v>
      </c>
      <c r="CW248" s="103">
        <v>142007.40265</v>
      </c>
      <c r="CX248" s="103">
        <v>7.51</v>
      </c>
      <c r="CY248" s="103">
        <v>895573.47204000002</v>
      </c>
      <c r="CZ248" s="103">
        <v>17.855724685638652</v>
      </c>
      <c r="DA248" s="103">
        <f t="shared" si="14"/>
        <v>134.09649238914628</v>
      </c>
      <c r="DB248" s="103">
        <v>76963.899999999994</v>
      </c>
      <c r="DC248" s="103">
        <v>412470.2</v>
      </c>
      <c r="DD248" s="104">
        <v>0.186592631419191</v>
      </c>
      <c r="DE248" s="103">
        <v>669972.59190999996</v>
      </c>
      <c r="DF248" s="103">
        <v>27.74</v>
      </c>
      <c r="DG248" s="103">
        <v>2609624.1870300001</v>
      </c>
      <c r="DH248" s="103">
        <v>24.93</v>
      </c>
      <c r="DI248" s="103">
        <f t="shared" si="15"/>
        <v>691.55819999999994</v>
      </c>
      <c r="DJ248" s="103">
        <v>388171.6</v>
      </c>
      <c r="DK248" s="103">
        <v>494112.9</v>
      </c>
      <c r="DL248" s="104">
        <v>0.78559292825587024</v>
      </c>
    </row>
    <row r="249" spans="1:116" s="15" customFormat="1" ht="265.7" customHeight="1" x14ac:dyDescent="0.25">
      <c r="A249" s="100" t="s">
        <v>334</v>
      </c>
      <c r="B249" s="100" t="s">
        <v>2607</v>
      </c>
      <c r="C249" s="100" t="s">
        <v>279</v>
      </c>
      <c r="D249" s="105" t="str">
        <f>"Chemistry 9"</f>
        <v>Chemistry 9</v>
      </c>
      <c r="E249" s="102" t="s">
        <v>2608</v>
      </c>
      <c r="F249" s="100">
        <v>17</v>
      </c>
      <c r="G249" s="100">
        <v>8</v>
      </c>
      <c r="H249" s="100">
        <v>0.47</v>
      </c>
      <c r="I249" s="100">
        <v>23</v>
      </c>
      <c r="J249" s="100">
        <v>6</v>
      </c>
      <c r="K249" s="100">
        <v>6</v>
      </c>
      <c r="L249" s="100">
        <v>5</v>
      </c>
      <c r="M249" s="100">
        <v>2</v>
      </c>
      <c r="N249" s="100">
        <v>4</v>
      </c>
      <c r="O249" s="100">
        <v>1</v>
      </c>
      <c r="P249" s="100">
        <v>0.13</v>
      </c>
      <c r="Q249" s="100">
        <v>63.05</v>
      </c>
      <c r="R249" s="100">
        <v>4</v>
      </c>
      <c r="S249" s="100">
        <v>1</v>
      </c>
      <c r="T249" s="100">
        <v>0</v>
      </c>
      <c r="U249" s="100">
        <v>0</v>
      </c>
      <c r="V249" s="100">
        <v>1</v>
      </c>
      <c r="W249" s="100">
        <v>0</v>
      </c>
      <c r="X249" s="100">
        <v>0</v>
      </c>
      <c r="Y249" s="100">
        <v>0</v>
      </c>
      <c r="Z249" s="100">
        <v>1</v>
      </c>
      <c r="AA249" s="100">
        <v>0</v>
      </c>
      <c r="AB249" s="100">
        <v>1</v>
      </c>
      <c r="AC249" s="100">
        <v>0</v>
      </c>
      <c r="AD249" s="100">
        <v>0</v>
      </c>
      <c r="AE249" s="100">
        <v>1</v>
      </c>
      <c r="AF249" s="100">
        <v>0</v>
      </c>
      <c r="AG249" s="100">
        <v>0</v>
      </c>
      <c r="AH249" s="100">
        <v>0</v>
      </c>
      <c r="AI249" s="100">
        <v>0</v>
      </c>
      <c r="AJ249" s="100">
        <v>1</v>
      </c>
      <c r="AK249" s="100">
        <v>0</v>
      </c>
      <c r="AL249" s="100">
        <v>0</v>
      </c>
      <c r="AM249" s="100">
        <v>0</v>
      </c>
      <c r="AN249" s="100">
        <v>1</v>
      </c>
      <c r="AO249" s="100">
        <v>0</v>
      </c>
      <c r="AP249" s="100">
        <v>0</v>
      </c>
      <c r="AQ249" s="100">
        <v>0</v>
      </c>
      <c r="AR249" s="100">
        <v>0</v>
      </c>
      <c r="AS249" s="100">
        <v>0</v>
      </c>
      <c r="AT249" s="100">
        <v>1</v>
      </c>
      <c r="AU249" s="100">
        <v>0</v>
      </c>
      <c r="AV249" s="100">
        <v>0</v>
      </c>
      <c r="AW249" s="100">
        <v>0</v>
      </c>
      <c r="AX249" s="100">
        <v>0</v>
      </c>
      <c r="AY249" s="100">
        <v>0</v>
      </c>
      <c r="AZ249" s="100">
        <v>0</v>
      </c>
      <c r="BA249" s="100">
        <v>0</v>
      </c>
      <c r="BB249" s="100">
        <v>0</v>
      </c>
      <c r="BC249" s="100">
        <v>0</v>
      </c>
      <c r="BD249" s="100">
        <v>0</v>
      </c>
      <c r="BE249" s="100">
        <v>0</v>
      </c>
      <c r="BF249" s="100">
        <v>0</v>
      </c>
      <c r="BG249" s="100">
        <v>0</v>
      </c>
      <c r="BH249" s="100">
        <v>0</v>
      </c>
      <c r="BI249" s="100">
        <v>0</v>
      </c>
      <c r="BJ249" s="100">
        <v>1</v>
      </c>
      <c r="BK249" s="100">
        <v>0</v>
      </c>
      <c r="BL249" s="100">
        <v>0</v>
      </c>
      <c r="BM249" s="100">
        <v>0</v>
      </c>
      <c r="BN249" s="100">
        <v>0</v>
      </c>
      <c r="BO249" s="100">
        <v>0</v>
      </c>
      <c r="BP249" s="100">
        <v>0</v>
      </c>
      <c r="BQ249" s="100">
        <v>0</v>
      </c>
      <c r="BR249" s="100">
        <v>0</v>
      </c>
      <c r="BS249" s="100">
        <v>0</v>
      </c>
      <c r="BT249" s="100">
        <v>0</v>
      </c>
      <c r="BU249" s="100">
        <v>0</v>
      </c>
      <c r="BV249" s="100">
        <v>1</v>
      </c>
      <c r="BW249" s="100">
        <v>1</v>
      </c>
      <c r="BX249" s="100">
        <v>0</v>
      </c>
      <c r="BY249" s="100">
        <v>0</v>
      </c>
      <c r="BZ249" s="100">
        <v>0</v>
      </c>
      <c r="CA249" s="100">
        <v>1</v>
      </c>
      <c r="CB249" s="100" t="s">
        <v>2090</v>
      </c>
      <c r="CC249" s="100">
        <v>0</v>
      </c>
      <c r="CD249" s="100">
        <v>0</v>
      </c>
      <c r="CE249" s="100">
        <v>0</v>
      </c>
      <c r="CF249" s="100">
        <v>0</v>
      </c>
      <c r="CG249" s="103">
        <v>481946.16424000001</v>
      </c>
      <c r="CH249" s="103">
        <v>25.3</v>
      </c>
      <c r="CI249" s="103">
        <v>2980870.92105</v>
      </c>
      <c r="CJ249" s="103">
        <v>29.92</v>
      </c>
      <c r="CK249" s="103">
        <f t="shared" si="12"/>
        <v>756.97600000000011</v>
      </c>
      <c r="CL249" s="103">
        <v>825480.4</v>
      </c>
      <c r="CM249" s="103">
        <v>861144.1</v>
      </c>
      <c r="CN249" s="104">
        <v>0.95858567689193952</v>
      </c>
      <c r="CO249" s="103">
        <v>204271.9944</v>
      </c>
      <c r="CP249" s="103">
        <v>8.81</v>
      </c>
      <c r="CQ249" s="103">
        <v>2305414.1854300001</v>
      </c>
      <c r="CR249" s="103">
        <v>16.87</v>
      </c>
      <c r="CS249" s="103">
        <f t="shared" si="13"/>
        <v>148.62470000000002</v>
      </c>
      <c r="CT249" s="103">
        <v>359040.5</v>
      </c>
      <c r="CU249" s="103">
        <v>628159.6</v>
      </c>
      <c r="CV249" s="104">
        <v>0.57157528118650103</v>
      </c>
      <c r="CW249" s="103">
        <v>1006377.03143</v>
      </c>
      <c r="CX249" s="103">
        <v>58.87</v>
      </c>
      <c r="CY249" s="103">
        <v>3622310.5339899999</v>
      </c>
      <c r="CZ249" s="103">
        <v>47.753882915173229</v>
      </c>
      <c r="DA249" s="103">
        <f t="shared" si="14"/>
        <v>2811.2710872162479</v>
      </c>
      <c r="DB249" s="103">
        <v>755537.2</v>
      </c>
      <c r="DC249" s="103">
        <v>521026.4</v>
      </c>
      <c r="DD249" s="104">
        <v>1.4500938915955122</v>
      </c>
      <c r="DE249" s="103">
        <v>488032.31182</v>
      </c>
      <c r="DF249" s="103">
        <v>22.22</v>
      </c>
      <c r="DG249" s="103">
        <v>2622379.0145299998</v>
      </c>
      <c r="DH249" s="103">
        <v>18.97</v>
      </c>
      <c r="DI249" s="103">
        <f t="shared" si="15"/>
        <v>421.51339999999993</v>
      </c>
      <c r="DJ249" s="103">
        <v>887854.3</v>
      </c>
      <c r="DK249" s="103">
        <v>1018597.9</v>
      </c>
      <c r="DL249" s="104">
        <v>0.87164356023117662</v>
      </c>
    </row>
    <row r="250" spans="1:116" s="15" customFormat="1" ht="240.95" customHeight="1" x14ac:dyDescent="0.25">
      <c r="A250" s="100" t="s">
        <v>335</v>
      </c>
      <c r="B250" s="100" t="s">
        <v>2609</v>
      </c>
      <c r="C250" s="100" t="s">
        <v>279</v>
      </c>
      <c r="D250" s="105" t="str">
        <f>"Chemistry 9"</f>
        <v>Chemistry 9</v>
      </c>
      <c r="E250" s="102" t="s">
        <v>2606</v>
      </c>
      <c r="F250" s="100">
        <v>19</v>
      </c>
      <c r="G250" s="100">
        <v>10</v>
      </c>
      <c r="H250" s="100">
        <v>0.53</v>
      </c>
      <c r="I250" s="100">
        <v>25</v>
      </c>
      <c r="J250" s="100">
        <v>6</v>
      </c>
      <c r="K250" s="100">
        <v>6</v>
      </c>
      <c r="L250" s="100">
        <v>5</v>
      </c>
      <c r="M250" s="100">
        <v>2</v>
      </c>
      <c r="N250" s="100">
        <v>4</v>
      </c>
      <c r="O250" s="100">
        <v>2</v>
      </c>
      <c r="P250" s="100">
        <v>0.79</v>
      </c>
      <c r="Q250" s="100">
        <v>71.84</v>
      </c>
      <c r="R250" s="100">
        <v>6</v>
      </c>
      <c r="S250" s="100">
        <v>1</v>
      </c>
      <c r="T250" s="100">
        <v>0</v>
      </c>
      <c r="U250" s="100">
        <v>0</v>
      </c>
      <c r="V250" s="100">
        <v>1</v>
      </c>
      <c r="W250" s="100">
        <v>0</v>
      </c>
      <c r="X250" s="100">
        <v>0</v>
      </c>
      <c r="Y250" s="100">
        <v>1</v>
      </c>
      <c r="Z250" s="100">
        <v>0</v>
      </c>
      <c r="AA250" s="100">
        <v>0</v>
      </c>
      <c r="AB250" s="100">
        <v>1</v>
      </c>
      <c r="AC250" s="100">
        <v>0</v>
      </c>
      <c r="AD250" s="100">
        <v>0</v>
      </c>
      <c r="AE250" s="100">
        <v>0</v>
      </c>
      <c r="AF250" s="100">
        <v>1</v>
      </c>
      <c r="AG250" s="100">
        <v>0</v>
      </c>
      <c r="AH250" s="100">
        <v>0</v>
      </c>
      <c r="AI250" s="100">
        <v>0</v>
      </c>
      <c r="AJ250" s="100">
        <v>1</v>
      </c>
      <c r="AK250" s="100">
        <v>0</v>
      </c>
      <c r="AL250" s="100">
        <v>0</v>
      </c>
      <c r="AM250" s="100">
        <v>0</v>
      </c>
      <c r="AN250" s="100">
        <v>1</v>
      </c>
      <c r="AO250" s="100">
        <v>0</v>
      </c>
      <c r="AP250" s="100">
        <v>0</v>
      </c>
      <c r="AQ250" s="100">
        <v>0</v>
      </c>
      <c r="AR250" s="100">
        <v>0</v>
      </c>
      <c r="AS250" s="100">
        <v>0</v>
      </c>
      <c r="AT250" s="100">
        <v>1</v>
      </c>
      <c r="AU250" s="100">
        <v>0</v>
      </c>
      <c r="AV250" s="100">
        <v>0</v>
      </c>
      <c r="AW250" s="100">
        <v>0</v>
      </c>
      <c r="AX250" s="100">
        <v>0</v>
      </c>
      <c r="AY250" s="100">
        <v>0</v>
      </c>
      <c r="AZ250" s="100">
        <v>0</v>
      </c>
      <c r="BA250" s="100">
        <v>0</v>
      </c>
      <c r="BB250" s="100">
        <v>0</v>
      </c>
      <c r="BC250" s="100">
        <v>0</v>
      </c>
      <c r="BD250" s="100">
        <v>0</v>
      </c>
      <c r="BE250" s="100">
        <v>0</v>
      </c>
      <c r="BF250" s="100">
        <v>0</v>
      </c>
      <c r="BG250" s="100">
        <v>0</v>
      </c>
      <c r="BH250" s="100">
        <v>0</v>
      </c>
      <c r="BI250" s="100">
        <v>0</v>
      </c>
      <c r="BJ250" s="100">
        <v>1</v>
      </c>
      <c r="BK250" s="100">
        <v>0</v>
      </c>
      <c r="BL250" s="100">
        <v>1</v>
      </c>
      <c r="BM250" s="100">
        <v>0</v>
      </c>
      <c r="BN250" s="100">
        <v>0</v>
      </c>
      <c r="BO250" s="100">
        <v>0</v>
      </c>
      <c r="BP250" s="100">
        <v>0</v>
      </c>
      <c r="BQ250" s="100">
        <v>0</v>
      </c>
      <c r="BR250" s="100">
        <v>0</v>
      </c>
      <c r="BS250" s="100">
        <v>0</v>
      </c>
      <c r="BT250" s="100">
        <v>0</v>
      </c>
      <c r="BU250" s="100">
        <v>0</v>
      </c>
      <c r="BV250" s="100">
        <v>1</v>
      </c>
      <c r="BW250" s="100">
        <v>1</v>
      </c>
      <c r="BX250" s="100">
        <v>0</v>
      </c>
      <c r="BY250" s="100">
        <v>0</v>
      </c>
      <c r="BZ250" s="100">
        <v>0</v>
      </c>
      <c r="CA250" s="100">
        <v>1</v>
      </c>
      <c r="CB250" s="100" t="s">
        <v>2090</v>
      </c>
      <c r="CC250" s="100">
        <v>0</v>
      </c>
      <c r="CD250" s="100">
        <v>0</v>
      </c>
      <c r="CE250" s="100">
        <v>0</v>
      </c>
      <c r="CF250" s="100">
        <v>0</v>
      </c>
      <c r="CG250" s="103">
        <v>679032.62867999997</v>
      </c>
      <c r="CH250" s="103">
        <v>28.14</v>
      </c>
      <c r="CI250" s="103">
        <v>3512993.4261400001</v>
      </c>
      <c r="CJ250" s="103">
        <v>26.61</v>
      </c>
      <c r="CK250" s="103">
        <f t="shared" si="12"/>
        <v>748.80539999999996</v>
      </c>
      <c r="CL250" s="103">
        <v>617265.6</v>
      </c>
      <c r="CM250" s="103">
        <v>661450.4</v>
      </c>
      <c r="CN250" s="104">
        <v>0.93320013110582434</v>
      </c>
      <c r="CO250" s="103">
        <v>438368.63118999999</v>
      </c>
      <c r="CP250" s="103">
        <v>18.170000000000002</v>
      </c>
      <c r="CQ250" s="103">
        <v>3151447.73092</v>
      </c>
      <c r="CR250" s="103">
        <v>16.690000000000001</v>
      </c>
      <c r="CS250" s="103">
        <f t="shared" si="13"/>
        <v>303.25730000000004</v>
      </c>
      <c r="CT250" s="103">
        <v>309845.3</v>
      </c>
      <c r="CU250" s="103">
        <v>622280.6</v>
      </c>
      <c r="CV250" s="104">
        <v>0.49791894524752983</v>
      </c>
      <c r="CW250" s="103">
        <v>131845.04402999999</v>
      </c>
      <c r="CX250" s="103">
        <v>7</v>
      </c>
      <c r="CY250" s="103">
        <v>2152977.60329</v>
      </c>
      <c r="CZ250" s="103">
        <v>16.894820898927676</v>
      </c>
      <c r="DA250" s="103">
        <f t="shared" si="14"/>
        <v>118.26374629249374</v>
      </c>
      <c r="DB250" s="103">
        <v>224292</v>
      </c>
      <c r="DC250" s="103">
        <v>616612.6</v>
      </c>
      <c r="DD250" s="104">
        <v>0.3637486486653046</v>
      </c>
      <c r="DE250" s="103">
        <v>686570.07085999998</v>
      </c>
      <c r="DF250" s="103">
        <v>29.53</v>
      </c>
      <c r="DG250" s="103">
        <v>3456315.1155699999</v>
      </c>
      <c r="DH250" s="103">
        <v>21.14</v>
      </c>
      <c r="DI250" s="103">
        <f t="shared" si="15"/>
        <v>624.26420000000007</v>
      </c>
      <c r="DJ250" s="103">
        <v>441967.6</v>
      </c>
      <c r="DK250" s="103">
        <v>706259</v>
      </c>
      <c r="DL250" s="104">
        <v>0.62578685722942995</v>
      </c>
    </row>
    <row r="251" spans="1:116" s="15" customFormat="1" ht="240.95" customHeight="1" x14ac:dyDescent="0.25">
      <c r="A251" s="100" t="s">
        <v>336</v>
      </c>
      <c r="B251" s="100" t="s">
        <v>2610</v>
      </c>
      <c r="C251" s="100" t="s">
        <v>279</v>
      </c>
      <c r="D251" s="105" t="str">
        <f>"Chemistry 9"</f>
        <v>Chemistry 9</v>
      </c>
      <c r="E251" s="102" t="s">
        <v>2606</v>
      </c>
      <c r="F251" s="100">
        <v>16</v>
      </c>
      <c r="G251" s="100">
        <v>7</v>
      </c>
      <c r="H251" s="100">
        <v>0.44</v>
      </c>
      <c r="I251" s="100">
        <v>22</v>
      </c>
      <c r="J251" s="100">
        <v>6</v>
      </c>
      <c r="K251" s="100">
        <v>6</v>
      </c>
      <c r="L251" s="100">
        <v>5</v>
      </c>
      <c r="M251" s="100">
        <v>2</v>
      </c>
      <c r="N251" s="100">
        <v>4</v>
      </c>
      <c r="O251" s="100">
        <v>2</v>
      </c>
      <c r="P251" s="100">
        <v>-0.18</v>
      </c>
      <c r="Q251" s="100">
        <v>71.84</v>
      </c>
      <c r="R251" s="100">
        <v>4</v>
      </c>
      <c r="S251" s="100">
        <v>1</v>
      </c>
      <c r="T251" s="100">
        <v>0</v>
      </c>
      <c r="U251" s="100">
        <v>0</v>
      </c>
      <c r="V251" s="100">
        <v>1</v>
      </c>
      <c r="W251" s="100">
        <v>0</v>
      </c>
      <c r="X251" s="100">
        <v>0</v>
      </c>
      <c r="Y251" s="100">
        <v>1</v>
      </c>
      <c r="Z251" s="100">
        <v>0</v>
      </c>
      <c r="AA251" s="100">
        <v>0</v>
      </c>
      <c r="AB251" s="100">
        <v>1</v>
      </c>
      <c r="AC251" s="100">
        <v>0</v>
      </c>
      <c r="AD251" s="100">
        <v>0</v>
      </c>
      <c r="AE251" s="100">
        <v>1</v>
      </c>
      <c r="AF251" s="100">
        <v>0</v>
      </c>
      <c r="AG251" s="100">
        <v>0</v>
      </c>
      <c r="AH251" s="100">
        <v>0</v>
      </c>
      <c r="AI251" s="100">
        <v>0</v>
      </c>
      <c r="AJ251" s="100">
        <v>1</v>
      </c>
      <c r="AK251" s="100">
        <v>0</v>
      </c>
      <c r="AL251" s="100">
        <v>0</v>
      </c>
      <c r="AM251" s="100">
        <v>0</v>
      </c>
      <c r="AN251" s="100">
        <v>1</v>
      </c>
      <c r="AO251" s="100">
        <v>0</v>
      </c>
      <c r="AP251" s="100">
        <v>0</v>
      </c>
      <c r="AQ251" s="100">
        <v>0</v>
      </c>
      <c r="AR251" s="100">
        <v>0</v>
      </c>
      <c r="AS251" s="100">
        <v>0</v>
      </c>
      <c r="AT251" s="100">
        <v>1</v>
      </c>
      <c r="AU251" s="100">
        <v>0</v>
      </c>
      <c r="AV251" s="100">
        <v>0</v>
      </c>
      <c r="AW251" s="100">
        <v>0</v>
      </c>
      <c r="AX251" s="100">
        <v>0</v>
      </c>
      <c r="AY251" s="100">
        <v>0</v>
      </c>
      <c r="AZ251" s="100">
        <v>0</v>
      </c>
      <c r="BA251" s="100">
        <v>0</v>
      </c>
      <c r="BB251" s="100">
        <v>0</v>
      </c>
      <c r="BC251" s="100">
        <v>0</v>
      </c>
      <c r="BD251" s="100">
        <v>0</v>
      </c>
      <c r="BE251" s="100">
        <v>0</v>
      </c>
      <c r="BF251" s="100">
        <v>0</v>
      </c>
      <c r="BG251" s="100">
        <v>0</v>
      </c>
      <c r="BH251" s="100">
        <v>0</v>
      </c>
      <c r="BI251" s="100">
        <v>0</v>
      </c>
      <c r="BJ251" s="100">
        <v>1</v>
      </c>
      <c r="BK251" s="100">
        <v>0</v>
      </c>
      <c r="BL251" s="100">
        <v>1</v>
      </c>
      <c r="BM251" s="100">
        <v>0</v>
      </c>
      <c r="BN251" s="100">
        <v>0</v>
      </c>
      <c r="BO251" s="100">
        <v>0</v>
      </c>
      <c r="BP251" s="100">
        <v>0</v>
      </c>
      <c r="BQ251" s="100">
        <v>0</v>
      </c>
      <c r="BR251" s="100">
        <v>0</v>
      </c>
      <c r="BS251" s="100">
        <v>0</v>
      </c>
      <c r="BT251" s="100">
        <v>0</v>
      </c>
      <c r="BU251" s="100">
        <v>0</v>
      </c>
      <c r="BV251" s="100">
        <v>1</v>
      </c>
      <c r="BW251" s="100">
        <v>1</v>
      </c>
      <c r="BX251" s="100">
        <v>0</v>
      </c>
      <c r="BY251" s="100">
        <v>0</v>
      </c>
      <c r="BZ251" s="100">
        <v>0</v>
      </c>
      <c r="CA251" s="100">
        <v>1</v>
      </c>
      <c r="CB251" s="100" t="s">
        <v>2090</v>
      </c>
      <c r="CC251" s="100">
        <v>0</v>
      </c>
      <c r="CD251" s="100">
        <v>0</v>
      </c>
      <c r="CE251" s="100">
        <v>0</v>
      </c>
      <c r="CF251" s="100">
        <v>0</v>
      </c>
      <c r="CG251" s="103">
        <v>559237.90154999995</v>
      </c>
      <c r="CH251" s="103">
        <v>28.42</v>
      </c>
      <c r="CI251" s="103">
        <v>3321199.3876100001</v>
      </c>
      <c r="CJ251" s="103">
        <v>27.41</v>
      </c>
      <c r="CK251" s="103">
        <f t="shared" si="12"/>
        <v>778.99220000000003</v>
      </c>
      <c r="CL251" s="103">
        <v>820550.2</v>
      </c>
      <c r="CM251" s="103">
        <v>899705.8</v>
      </c>
      <c r="CN251" s="104">
        <v>0.91202057383646951</v>
      </c>
      <c r="CO251" s="103">
        <v>409842.26721000002</v>
      </c>
      <c r="CP251" s="103">
        <v>16.440000000000001</v>
      </c>
      <c r="CQ251" s="103">
        <v>3117241.0542700002</v>
      </c>
      <c r="CR251" s="103">
        <v>18.649999999999999</v>
      </c>
      <c r="CS251" s="103">
        <f t="shared" si="13"/>
        <v>306.60599999999999</v>
      </c>
      <c r="CT251" s="103">
        <v>300629</v>
      </c>
      <c r="CU251" s="103">
        <v>346051.2</v>
      </c>
      <c r="CV251" s="104">
        <v>0.86874138855753136</v>
      </c>
      <c r="CW251" s="103">
        <v>0</v>
      </c>
      <c r="CX251" s="103">
        <v>0</v>
      </c>
      <c r="CY251" s="103">
        <v>433800.65531</v>
      </c>
      <c r="CZ251" s="103">
        <v>4.9739733950260261</v>
      </c>
      <c r="DA251" s="103">
        <f t="shared" si="14"/>
        <v>0</v>
      </c>
      <c r="DB251" s="103">
        <v>37789.699999999997</v>
      </c>
      <c r="DC251" s="103">
        <v>671363.5</v>
      </c>
      <c r="DD251" s="104">
        <v>5.6287987059171367E-2</v>
      </c>
      <c r="DE251" s="103">
        <v>457152.29985000001</v>
      </c>
      <c r="DF251" s="103">
        <v>20.36</v>
      </c>
      <c r="DG251" s="103">
        <v>3007368.89353</v>
      </c>
      <c r="DH251" s="103">
        <v>20.47</v>
      </c>
      <c r="DI251" s="103">
        <f t="shared" si="15"/>
        <v>416.76919999999996</v>
      </c>
      <c r="DJ251" s="103">
        <v>467997.6</v>
      </c>
      <c r="DK251" s="103">
        <v>661032.19999999995</v>
      </c>
      <c r="DL251" s="104">
        <v>0.70798003486063166</v>
      </c>
    </row>
    <row r="252" spans="1:116" s="15" customFormat="1" ht="265.7" customHeight="1" x14ac:dyDescent="0.25">
      <c r="A252" s="100" t="s">
        <v>337</v>
      </c>
      <c r="B252" s="100" t="s">
        <v>2611</v>
      </c>
      <c r="C252" s="100" t="s">
        <v>279</v>
      </c>
      <c r="D252" s="101" t="str">
        <f>"Chemistry 52"</f>
        <v>Chemistry 52</v>
      </c>
      <c r="E252" s="102" t="s">
        <v>2612</v>
      </c>
      <c r="F252" s="100">
        <v>16</v>
      </c>
      <c r="G252" s="100">
        <v>5</v>
      </c>
      <c r="H252" s="100">
        <v>0.31</v>
      </c>
      <c r="I252" s="100">
        <v>20</v>
      </c>
      <c r="J252" s="100">
        <v>4</v>
      </c>
      <c r="K252" s="100">
        <v>4</v>
      </c>
      <c r="L252" s="100">
        <v>2</v>
      </c>
      <c r="M252" s="100">
        <v>2</v>
      </c>
      <c r="N252" s="100">
        <v>4</v>
      </c>
      <c r="O252" s="100">
        <v>1</v>
      </c>
      <c r="P252" s="100">
        <v>3.22</v>
      </c>
      <c r="Q252" s="100">
        <v>41.57</v>
      </c>
      <c r="R252" s="100">
        <v>3</v>
      </c>
      <c r="S252" s="100">
        <v>1</v>
      </c>
      <c r="T252" s="100">
        <v>0</v>
      </c>
      <c r="U252" s="100">
        <v>0</v>
      </c>
      <c r="V252" s="100">
        <v>0</v>
      </c>
      <c r="W252" s="100">
        <v>0</v>
      </c>
      <c r="X252" s="100">
        <v>0</v>
      </c>
      <c r="Y252" s="100">
        <v>0</v>
      </c>
      <c r="Z252" s="100">
        <v>1</v>
      </c>
      <c r="AA252" s="100">
        <v>0</v>
      </c>
      <c r="AB252" s="100">
        <v>1</v>
      </c>
      <c r="AC252" s="100">
        <v>0</v>
      </c>
      <c r="AD252" s="100">
        <v>0</v>
      </c>
      <c r="AE252" s="100">
        <v>0</v>
      </c>
      <c r="AF252" s="100">
        <v>0</v>
      </c>
      <c r="AG252" s="100">
        <v>1</v>
      </c>
      <c r="AH252" s="100">
        <v>0</v>
      </c>
      <c r="AI252" s="100">
        <v>1</v>
      </c>
      <c r="AJ252" s="100">
        <v>0</v>
      </c>
      <c r="AK252" s="100">
        <v>1</v>
      </c>
      <c r="AL252" s="100">
        <v>1</v>
      </c>
      <c r="AM252" s="100">
        <v>0</v>
      </c>
      <c r="AN252" s="100">
        <v>0</v>
      </c>
      <c r="AO252" s="100">
        <v>0</v>
      </c>
      <c r="AP252" s="100">
        <v>0</v>
      </c>
      <c r="AQ252" s="100">
        <v>0</v>
      </c>
      <c r="AR252" s="100">
        <v>0</v>
      </c>
      <c r="AS252" s="100">
        <v>0</v>
      </c>
      <c r="AT252" s="100">
        <v>0</v>
      </c>
      <c r="AU252" s="100">
        <v>1</v>
      </c>
      <c r="AV252" s="100">
        <v>0</v>
      </c>
      <c r="AW252" s="100">
        <v>0</v>
      </c>
      <c r="AX252" s="100">
        <v>1</v>
      </c>
      <c r="AY252" s="100">
        <v>0</v>
      </c>
      <c r="AZ252" s="100">
        <v>0</v>
      </c>
      <c r="BA252" s="100">
        <v>0</v>
      </c>
      <c r="BB252" s="100">
        <v>0</v>
      </c>
      <c r="BC252" s="100">
        <v>0</v>
      </c>
      <c r="BD252" s="100">
        <v>0</v>
      </c>
      <c r="BE252" s="100">
        <v>0</v>
      </c>
      <c r="BF252" s="100">
        <v>0</v>
      </c>
      <c r="BG252" s="100">
        <v>0</v>
      </c>
      <c r="BH252" s="100">
        <v>0</v>
      </c>
      <c r="BI252" s="100">
        <v>0</v>
      </c>
      <c r="BJ252" s="100">
        <v>2</v>
      </c>
      <c r="BK252" s="100">
        <v>0</v>
      </c>
      <c r="BL252" s="100">
        <v>0</v>
      </c>
      <c r="BM252" s="100">
        <v>0</v>
      </c>
      <c r="BN252" s="100">
        <v>0</v>
      </c>
      <c r="BO252" s="100">
        <v>0</v>
      </c>
      <c r="BP252" s="100">
        <v>0</v>
      </c>
      <c r="BQ252" s="100">
        <v>0</v>
      </c>
      <c r="BR252" s="100">
        <v>0</v>
      </c>
      <c r="BS252" s="100">
        <v>0</v>
      </c>
      <c r="BT252" s="100">
        <v>0</v>
      </c>
      <c r="BU252" s="100">
        <v>0</v>
      </c>
      <c r="BV252" s="100">
        <v>0</v>
      </c>
      <c r="BW252" s="100">
        <v>0</v>
      </c>
      <c r="BX252" s="100">
        <v>1</v>
      </c>
      <c r="BY252" s="100">
        <v>0</v>
      </c>
      <c r="BZ252" s="100">
        <v>0</v>
      </c>
      <c r="CA252" s="100">
        <v>0</v>
      </c>
      <c r="CB252" s="100" t="s">
        <v>2090</v>
      </c>
      <c r="CC252" s="100">
        <v>0</v>
      </c>
      <c r="CD252" s="100">
        <v>0</v>
      </c>
      <c r="CE252" s="100">
        <v>0</v>
      </c>
      <c r="CF252" s="100">
        <v>1</v>
      </c>
      <c r="CG252" s="103">
        <v>0</v>
      </c>
      <c r="CH252" s="103">
        <v>0</v>
      </c>
      <c r="CI252" s="103">
        <v>15573.63069</v>
      </c>
      <c r="CJ252" s="103">
        <v>0</v>
      </c>
      <c r="CK252" s="103">
        <f t="shared" si="12"/>
        <v>0</v>
      </c>
      <c r="CL252" s="103">
        <v>718.2</v>
      </c>
      <c r="CM252" s="103">
        <v>108302.5</v>
      </c>
      <c r="CN252" s="104">
        <v>6.6314258673622496E-3</v>
      </c>
      <c r="CO252" s="103">
        <v>144324.38245</v>
      </c>
      <c r="CP252" s="103">
        <v>3.84</v>
      </c>
      <c r="CQ252" s="103">
        <v>18727.39791</v>
      </c>
      <c r="CR252" s="103">
        <v>1.9100000000000001</v>
      </c>
      <c r="CS252" s="103">
        <f t="shared" si="13"/>
        <v>7.3344000000000005</v>
      </c>
      <c r="CT252" s="103">
        <v>13840.3</v>
      </c>
      <c r="CU252" s="103">
        <v>570967.9</v>
      </c>
      <c r="CV252" s="104">
        <v>2.424006673580073E-2</v>
      </c>
      <c r="CW252" s="103">
        <v>0</v>
      </c>
      <c r="CX252" s="103">
        <v>0</v>
      </c>
      <c r="CY252" s="103">
        <v>4608.8480799999998</v>
      </c>
      <c r="CZ252" s="103">
        <v>0</v>
      </c>
      <c r="DA252" s="103">
        <f t="shared" si="14"/>
        <v>0</v>
      </c>
      <c r="DB252" s="103">
        <v>17389.5</v>
      </c>
      <c r="DC252" s="103">
        <v>954961.2</v>
      </c>
      <c r="DD252" s="104">
        <v>1.8209640349785939E-2</v>
      </c>
      <c r="DE252" s="103">
        <v>0</v>
      </c>
      <c r="DF252" s="103">
        <v>0</v>
      </c>
      <c r="DG252" s="103">
        <v>33490.844790000003</v>
      </c>
      <c r="DH252" s="103">
        <v>0</v>
      </c>
      <c r="DI252" s="103">
        <f t="shared" si="15"/>
        <v>0</v>
      </c>
      <c r="DJ252" s="103">
        <v>5893.9</v>
      </c>
      <c r="DK252" s="103">
        <v>730517.1</v>
      </c>
      <c r="DL252" s="104">
        <v>8.0681205135376029E-3</v>
      </c>
    </row>
    <row r="253" spans="1:116" s="15" customFormat="1" ht="265.7" customHeight="1" x14ac:dyDescent="0.25">
      <c r="A253" s="100" t="s">
        <v>338</v>
      </c>
      <c r="B253" s="100" t="s">
        <v>2613</v>
      </c>
      <c r="C253" s="100" t="s">
        <v>279</v>
      </c>
      <c r="D253" s="101" t="str">
        <f>"Chemistry 114"</f>
        <v>Chemistry 114</v>
      </c>
      <c r="E253" s="102" t="s">
        <v>2614</v>
      </c>
      <c r="F253" s="100">
        <v>12</v>
      </c>
      <c r="G253" s="100">
        <v>5</v>
      </c>
      <c r="H253" s="100">
        <v>0.42</v>
      </c>
      <c r="I253" s="100">
        <v>17</v>
      </c>
      <c r="J253" s="100">
        <v>5</v>
      </c>
      <c r="K253" s="100">
        <v>3</v>
      </c>
      <c r="L253" s="100">
        <v>2</v>
      </c>
      <c r="M253" s="100">
        <v>1</v>
      </c>
      <c r="N253" s="100">
        <v>2</v>
      </c>
      <c r="O253" s="100">
        <v>1</v>
      </c>
      <c r="P253" s="100">
        <v>2.08</v>
      </c>
      <c r="Q253" s="100">
        <v>32.340000000000003</v>
      </c>
      <c r="R253" s="100">
        <v>2</v>
      </c>
      <c r="S253" s="100">
        <v>0</v>
      </c>
      <c r="T253" s="100">
        <v>1</v>
      </c>
      <c r="U253" s="100">
        <v>0</v>
      </c>
      <c r="V253" s="100">
        <v>0</v>
      </c>
      <c r="W253" s="100">
        <v>1</v>
      </c>
      <c r="X253" s="100">
        <v>0</v>
      </c>
      <c r="Y253" s="100">
        <v>0</v>
      </c>
      <c r="Z253" s="100">
        <v>1</v>
      </c>
      <c r="AA253" s="100">
        <v>0</v>
      </c>
      <c r="AB253" s="100">
        <v>0</v>
      </c>
      <c r="AC253" s="100">
        <v>1</v>
      </c>
      <c r="AD253" s="100">
        <v>0</v>
      </c>
      <c r="AE253" s="100">
        <v>0</v>
      </c>
      <c r="AF253" s="100">
        <v>0</v>
      </c>
      <c r="AG253" s="100">
        <v>1</v>
      </c>
      <c r="AH253" s="100">
        <v>0</v>
      </c>
      <c r="AI253" s="100">
        <v>1</v>
      </c>
      <c r="AJ253" s="100">
        <v>0</v>
      </c>
      <c r="AK253" s="100">
        <v>0</v>
      </c>
      <c r="AL253" s="100">
        <v>0</v>
      </c>
      <c r="AM253" s="100">
        <v>0</v>
      </c>
      <c r="AN253" s="100">
        <v>0</v>
      </c>
      <c r="AO253" s="100">
        <v>0</v>
      </c>
      <c r="AP253" s="100">
        <v>0</v>
      </c>
      <c r="AQ253" s="100">
        <v>0</v>
      </c>
      <c r="AR253" s="100">
        <v>0</v>
      </c>
      <c r="AS253" s="100">
        <v>0</v>
      </c>
      <c r="AT253" s="100">
        <v>1</v>
      </c>
      <c r="AU253" s="100">
        <v>0</v>
      </c>
      <c r="AV253" s="100">
        <v>0</v>
      </c>
      <c r="AW253" s="100">
        <v>0</v>
      </c>
      <c r="AX253" s="100">
        <v>0</v>
      </c>
      <c r="AY253" s="100">
        <v>0</v>
      </c>
      <c r="AZ253" s="100">
        <v>0</v>
      </c>
      <c r="BA253" s="100">
        <v>0</v>
      </c>
      <c r="BB253" s="100">
        <v>0</v>
      </c>
      <c r="BC253" s="100">
        <v>0</v>
      </c>
      <c r="BD253" s="100">
        <v>0</v>
      </c>
      <c r="BE253" s="100">
        <v>0</v>
      </c>
      <c r="BF253" s="100">
        <v>0</v>
      </c>
      <c r="BG253" s="100">
        <v>0</v>
      </c>
      <c r="BH253" s="100">
        <v>0</v>
      </c>
      <c r="BI253" s="100">
        <v>0</v>
      </c>
      <c r="BJ253" s="100">
        <v>1</v>
      </c>
      <c r="BK253" s="100">
        <v>0</v>
      </c>
      <c r="BL253" s="100">
        <v>0</v>
      </c>
      <c r="BM253" s="100">
        <v>0</v>
      </c>
      <c r="BN253" s="100">
        <v>0</v>
      </c>
      <c r="BO253" s="100">
        <v>0</v>
      </c>
      <c r="BP253" s="100">
        <v>0</v>
      </c>
      <c r="BQ253" s="100">
        <v>0</v>
      </c>
      <c r="BR253" s="100">
        <v>0</v>
      </c>
      <c r="BS253" s="100">
        <v>0</v>
      </c>
      <c r="BT253" s="100">
        <v>0</v>
      </c>
      <c r="BU253" s="100">
        <v>0</v>
      </c>
      <c r="BV253" s="100">
        <v>0</v>
      </c>
      <c r="BW253" s="100">
        <v>0</v>
      </c>
      <c r="BX253" s="100">
        <v>1</v>
      </c>
      <c r="BY253" s="100">
        <v>0</v>
      </c>
      <c r="BZ253" s="100">
        <v>0</v>
      </c>
      <c r="CA253" s="100">
        <v>0</v>
      </c>
      <c r="CB253" s="100" t="s">
        <v>2090</v>
      </c>
      <c r="CC253" s="100">
        <v>0</v>
      </c>
      <c r="CD253" s="100">
        <v>1</v>
      </c>
      <c r="CE253" s="100">
        <v>0</v>
      </c>
      <c r="CF253" s="100">
        <v>0</v>
      </c>
      <c r="CG253" s="103">
        <v>855464.88312000001</v>
      </c>
      <c r="CH253" s="103">
        <v>55.6</v>
      </c>
      <c r="CI253" s="103">
        <v>349123.23288999998</v>
      </c>
      <c r="CJ253" s="103">
        <v>25.16</v>
      </c>
      <c r="CK253" s="103">
        <f t="shared" si="12"/>
        <v>1398.896</v>
      </c>
      <c r="CL253" s="103">
        <v>96123.4</v>
      </c>
      <c r="CM253" s="103">
        <v>1018986</v>
      </c>
      <c r="CN253" s="104">
        <v>9.4332404959440064E-2</v>
      </c>
      <c r="CO253" s="103">
        <v>128105.65867</v>
      </c>
      <c r="CP253" s="103">
        <v>8.09</v>
      </c>
      <c r="CQ253" s="103">
        <v>1196015.3171699999</v>
      </c>
      <c r="CR253" s="103">
        <v>46.6</v>
      </c>
      <c r="CS253" s="103">
        <f t="shared" si="13"/>
        <v>376.99400000000003</v>
      </c>
      <c r="CT253" s="103">
        <v>49127.4</v>
      </c>
      <c r="CU253" s="103">
        <v>541071.6</v>
      </c>
      <c r="CV253" s="104">
        <v>9.0796486084281647E-2</v>
      </c>
      <c r="CW253" s="103">
        <v>1333354.8333699999</v>
      </c>
      <c r="CX253" s="103">
        <v>71.16</v>
      </c>
      <c r="CY253" s="103">
        <v>4648885.6347200004</v>
      </c>
      <c r="CZ253" s="103">
        <v>50.987640060067001</v>
      </c>
      <c r="DA253" s="103">
        <f t="shared" si="14"/>
        <v>3628.2804666743677</v>
      </c>
      <c r="DB253" s="103">
        <v>736324.3</v>
      </c>
      <c r="DC253" s="103">
        <v>750027.8</v>
      </c>
      <c r="DD253" s="104">
        <v>0.98172934389898614</v>
      </c>
      <c r="DE253" s="103">
        <v>1124237.4475799999</v>
      </c>
      <c r="DF253" s="103">
        <v>63.83</v>
      </c>
      <c r="DG253" s="103">
        <v>3441981.5524200001</v>
      </c>
      <c r="DH253" s="103">
        <v>25.98</v>
      </c>
      <c r="DI253" s="103">
        <f t="shared" si="15"/>
        <v>1658.3034</v>
      </c>
      <c r="DJ253" s="103">
        <v>617495.80000000005</v>
      </c>
      <c r="DK253" s="103">
        <v>852730.3</v>
      </c>
      <c r="DL253" s="104">
        <v>0.72413962538917642</v>
      </c>
    </row>
    <row r="254" spans="1:116" s="15" customFormat="1" ht="265.7" customHeight="1" x14ac:dyDescent="0.25">
      <c r="A254" s="100" t="s">
        <v>339</v>
      </c>
      <c r="B254" s="100" t="s">
        <v>2615</v>
      </c>
      <c r="C254" s="100" t="s">
        <v>279</v>
      </c>
      <c r="D254" s="105" t="str">
        <f>"Chemistry 50"</f>
        <v>Chemistry 50</v>
      </c>
      <c r="E254" s="102" t="s">
        <v>2616</v>
      </c>
      <c r="F254" s="100">
        <v>24</v>
      </c>
      <c r="G254" s="100">
        <v>9</v>
      </c>
      <c r="H254" s="100">
        <v>0.38</v>
      </c>
      <c r="I254" s="100">
        <v>33</v>
      </c>
      <c r="J254" s="100">
        <v>9</v>
      </c>
      <c r="K254" s="100">
        <v>9</v>
      </c>
      <c r="L254" s="100">
        <v>6</v>
      </c>
      <c r="M254" s="100">
        <v>4</v>
      </c>
      <c r="N254" s="100">
        <v>8</v>
      </c>
      <c r="O254" s="100">
        <v>2</v>
      </c>
      <c r="P254" s="100">
        <v>3.33</v>
      </c>
      <c r="Q254" s="100">
        <v>94.83</v>
      </c>
      <c r="R254" s="100">
        <v>7</v>
      </c>
      <c r="S254" s="100">
        <v>1</v>
      </c>
      <c r="T254" s="100">
        <v>0</v>
      </c>
      <c r="U254" s="100">
        <v>0</v>
      </c>
      <c r="V254" s="100">
        <v>1</v>
      </c>
      <c r="W254" s="100">
        <v>0</v>
      </c>
      <c r="X254" s="100">
        <v>0</v>
      </c>
      <c r="Y254" s="100">
        <v>1</v>
      </c>
      <c r="Z254" s="100">
        <v>0</v>
      </c>
      <c r="AA254" s="100">
        <v>0</v>
      </c>
      <c r="AB254" s="100">
        <v>1</v>
      </c>
      <c r="AC254" s="100">
        <v>0</v>
      </c>
      <c r="AD254" s="100">
        <v>0</v>
      </c>
      <c r="AE254" s="100">
        <v>0</v>
      </c>
      <c r="AF254" s="100">
        <v>0</v>
      </c>
      <c r="AG254" s="100">
        <v>1</v>
      </c>
      <c r="AH254" s="100">
        <v>0</v>
      </c>
      <c r="AI254" s="100">
        <v>0</v>
      </c>
      <c r="AJ254" s="100">
        <v>1</v>
      </c>
      <c r="AK254" s="100">
        <v>0</v>
      </c>
      <c r="AL254" s="100">
        <v>0</v>
      </c>
      <c r="AM254" s="100">
        <v>0</v>
      </c>
      <c r="AN254" s="100">
        <v>1</v>
      </c>
      <c r="AO254" s="100">
        <v>1</v>
      </c>
      <c r="AP254" s="100">
        <v>0</v>
      </c>
      <c r="AQ254" s="100">
        <v>0</v>
      </c>
      <c r="AR254" s="100">
        <v>0</v>
      </c>
      <c r="AS254" s="100">
        <v>0</v>
      </c>
      <c r="AT254" s="100">
        <v>0</v>
      </c>
      <c r="AU254" s="100">
        <v>1</v>
      </c>
      <c r="AV254" s="100">
        <v>0</v>
      </c>
      <c r="AW254" s="100">
        <v>0</v>
      </c>
      <c r="AX254" s="100">
        <v>0</v>
      </c>
      <c r="AY254" s="100">
        <v>0</v>
      </c>
      <c r="AZ254" s="100">
        <v>0</v>
      </c>
      <c r="BA254" s="100">
        <v>0</v>
      </c>
      <c r="BB254" s="100">
        <v>0</v>
      </c>
      <c r="BC254" s="100">
        <v>0</v>
      </c>
      <c r="BD254" s="100">
        <v>0</v>
      </c>
      <c r="BE254" s="100">
        <v>0</v>
      </c>
      <c r="BF254" s="100">
        <v>0</v>
      </c>
      <c r="BG254" s="100">
        <v>0</v>
      </c>
      <c r="BH254" s="100">
        <v>0</v>
      </c>
      <c r="BI254" s="100">
        <v>0</v>
      </c>
      <c r="BJ254" s="100">
        <v>1</v>
      </c>
      <c r="BK254" s="100">
        <v>0</v>
      </c>
      <c r="BL254" s="100">
        <v>0</v>
      </c>
      <c r="BM254" s="100">
        <v>1</v>
      </c>
      <c r="BN254" s="100">
        <v>0</v>
      </c>
      <c r="BO254" s="100">
        <v>0</v>
      </c>
      <c r="BP254" s="100">
        <v>0</v>
      </c>
      <c r="BQ254" s="100">
        <v>0</v>
      </c>
      <c r="BR254" s="100">
        <v>0</v>
      </c>
      <c r="BS254" s="100">
        <v>0</v>
      </c>
      <c r="BT254" s="100">
        <v>0</v>
      </c>
      <c r="BU254" s="100">
        <v>0</v>
      </c>
      <c r="BV254" s="100">
        <v>1</v>
      </c>
      <c r="BW254" s="100">
        <v>1</v>
      </c>
      <c r="BX254" s="100">
        <v>0</v>
      </c>
      <c r="BY254" s="100">
        <v>0</v>
      </c>
      <c r="BZ254" s="100">
        <v>1</v>
      </c>
      <c r="CA254" s="100">
        <v>0</v>
      </c>
      <c r="CB254" s="100" t="s">
        <v>2090</v>
      </c>
      <c r="CC254" s="100">
        <v>0</v>
      </c>
      <c r="CD254" s="100">
        <v>0</v>
      </c>
      <c r="CE254" s="100">
        <v>0</v>
      </c>
      <c r="CF254" s="100">
        <v>0</v>
      </c>
      <c r="CG254" s="103">
        <v>127298.04522</v>
      </c>
      <c r="CH254" s="103">
        <v>3.19</v>
      </c>
      <c r="CI254" s="103">
        <v>1505379.8515300001</v>
      </c>
      <c r="CJ254" s="103">
        <v>11.68</v>
      </c>
      <c r="CK254" s="103">
        <f t="shared" si="12"/>
        <v>37.2592</v>
      </c>
      <c r="CL254" s="103">
        <v>46803.6</v>
      </c>
      <c r="CM254" s="103">
        <v>289994.90000000002</v>
      </c>
      <c r="CN254" s="104">
        <v>0.16139456245609834</v>
      </c>
      <c r="CO254" s="103">
        <v>193687.31213000001</v>
      </c>
      <c r="CP254" s="103">
        <v>4.17</v>
      </c>
      <c r="CQ254" s="103">
        <v>1962409.16016</v>
      </c>
      <c r="CR254" s="103">
        <v>10.83</v>
      </c>
      <c r="CS254" s="103">
        <f t="shared" si="13"/>
        <v>45.161099999999998</v>
      </c>
      <c r="CT254" s="103">
        <v>144422.29999999999</v>
      </c>
      <c r="CU254" s="103">
        <v>132257.9</v>
      </c>
      <c r="CV254" s="104">
        <v>1.0919748461150525</v>
      </c>
      <c r="CW254" s="103">
        <v>0</v>
      </c>
      <c r="CX254" s="103">
        <v>0</v>
      </c>
      <c r="CY254" s="103">
        <v>4630.7757000000001</v>
      </c>
      <c r="CZ254" s="103">
        <v>0</v>
      </c>
      <c r="DA254" s="103">
        <f t="shared" si="14"/>
        <v>0</v>
      </c>
      <c r="DB254" s="103">
        <v>0</v>
      </c>
      <c r="DC254" s="103">
        <v>543984.5</v>
      </c>
      <c r="DD254" s="104">
        <v>0</v>
      </c>
      <c r="DE254" s="103">
        <v>539716.59080999997</v>
      </c>
      <c r="DF254" s="103">
        <v>13.32</v>
      </c>
      <c r="DG254" s="103">
        <v>1466383.45092</v>
      </c>
      <c r="DH254" s="103">
        <v>10.28</v>
      </c>
      <c r="DI254" s="103">
        <f t="shared" si="15"/>
        <v>136.92959999999999</v>
      </c>
      <c r="DJ254" s="103">
        <v>93980.5</v>
      </c>
      <c r="DK254" s="103">
        <v>127673.3</v>
      </c>
      <c r="DL254" s="104">
        <v>0.73610144016015877</v>
      </c>
    </row>
    <row r="255" spans="1:116" s="15" customFormat="1" ht="240.95" customHeight="1" x14ac:dyDescent="0.25">
      <c r="A255" s="100" t="s">
        <v>340</v>
      </c>
      <c r="B255" s="100" t="s">
        <v>2617</v>
      </c>
      <c r="C255" s="100" t="s">
        <v>279</v>
      </c>
      <c r="D255" s="105" t="str">
        <f>"Chemistry 12"</f>
        <v>Chemistry 12</v>
      </c>
      <c r="E255" s="102" t="s">
        <v>2586</v>
      </c>
      <c r="F255" s="100">
        <v>20</v>
      </c>
      <c r="G255" s="100">
        <v>7</v>
      </c>
      <c r="H255" s="100">
        <v>0.35</v>
      </c>
      <c r="I255" s="100">
        <v>24</v>
      </c>
      <c r="J255" s="100">
        <v>4</v>
      </c>
      <c r="K255" s="100">
        <v>4</v>
      </c>
      <c r="L255" s="100">
        <v>2</v>
      </c>
      <c r="M255" s="100">
        <v>2</v>
      </c>
      <c r="N255" s="100">
        <v>3</v>
      </c>
      <c r="O255" s="100">
        <v>1</v>
      </c>
      <c r="P255" s="100">
        <v>3.46</v>
      </c>
      <c r="Q255" s="100">
        <v>41.57</v>
      </c>
      <c r="R255" s="100">
        <v>3</v>
      </c>
      <c r="S255" s="100">
        <v>1</v>
      </c>
      <c r="T255" s="100">
        <v>0</v>
      </c>
      <c r="U255" s="100">
        <v>0</v>
      </c>
      <c r="V255" s="100">
        <v>0</v>
      </c>
      <c r="W255" s="100">
        <v>1</v>
      </c>
      <c r="X255" s="100">
        <v>0</v>
      </c>
      <c r="Y255" s="100">
        <v>0</v>
      </c>
      <c r="Z255" s="100">
        <v>1</v>
      </c>
      <c r="AA255" s="100">
        <v>0</v>
      </c>
      <c r="AB255" s="100">
        <v>0</v>
      </c>
      <c r="AC255" s="100">
        <v>1</v>
      </c>
      <c r="AD255" s="100">
        <v>0</v>
      </c>
      <c r="AE255" s="100">
        <v>0</v>
      </c>
      <c r="AF255" s="100">
        <v>0</v>
      </c>
      <c r="AG255" s="100">
        <v>1</v>
      </c>
      <c r="AH255" s="100">
        <v>0</v>
      </c>
      <c r="AI255" s="100">
        <v>1</v>
      </c>
      <c r="AJ255" s="100">
        <v>0</v>
      </c>
      <c r="AK255" s="100">
        <v>0</v>
      </c>
      <c r="AL255" s="100">
        <v>0</v>
      </c>
      <c r="AM255" s="100">
        <v>0</v>
      </c>
      <c r="AN255" s="100">
        <v>0</v>
      </c>
      <c r="AO255" s="100">
        <v>0</v>
      </c>
      <c r="AP255" s="100">
        <v>0</v>
      </c>
      <c r="AQ255" s="100">
        <v>0</v>
      </c>
      <c r="AR255" s="100">
        <v>0</v>
      </c>
      <c r="AS255" s="100">
        <v>0</v>
      </c>
      <c r="AT255" s="100">
        <v>0</v>
      </c>
      <c r="AU255" s="100">
        <v>0</v>
      </c>
      <c r="AV255" s="100">
        <v>1</v>
      </c>
      <c r="AW255" s="100">
        <v>0</v>
      </c>
      <c r="AX255" s="100">
        <v>0</v>
      </c>
      <c r="AY255" s="100">
        <v>0</v>
      </c>
      <c r="AZ255" s="100">
        <v>0</v>
      </c>
      <c r="BA255" s="100">
        <v>0</v>
      </c>
      <c r="BB255" s="100">
        <v>0</v>
      </c>
      <c r="BC255" s="100">
        <v>0</v>
      </c>
      <c r="BD255" s="100">
        <v>0</v>
      </c>
      <c r="BE255" s="100">
        <v>0</v>
      </c>
      <c r="BF255" s="100">
        <v>0</v>
      </c>
      <c r="BG255" s="100">
        <v>0</v>
      </c>
      <c r="BH255" s="100">
        <v>0</v>
      </c>
      <c r="BI255" s="100">
        <v>0</v>
      </c>
      <c r="BJ255" s="100">
        <v>1</v>
      </c>
      <c r="BK255" s="100">
        <v>0</v>
      </c>
      <c r="BL255" s="100">
        <v>0</v>
      </c>
      <c r="BM255" s="100">
        <v>0</v>
      </c>
      <c r="BN255" s="100">
        <v>0</v>
      </c>
      <c r="BO255" s="100">
        <v>0</v>
      </c>
      <c r="BP255" s="100">
        <v>0</v>
      </c>
      <c r="BQ255" s="100">
        <v>0</v>
      </c>
      <c r="BR255" s="100">
        <v>0</v>
      </c>
      <c r="BS255" s="100">
        <v>0</v>
      </c>
      <c r="BT255" s="100">
        <v>0</v>
      </c>
      <c r="BU255" s="100">
        <v>0</v>
      </c>
      <c r="BV255" s="100">
        <v>0</v>
      </c>
      <c r="BW255" s="100">
        <v>1</v>
      </c>
      <c r="BX255" s="100">
        <v>0</v>
      </c>
      <c r="BY255" s="100">
        <v>0</v>
      </c>
      <c r="BZ255" s="100">
        <v>0</v>
      </c>
      <c r="CA255" s="100">
        <v>1</v>
      </c>
      <c r="CB255" s="100" t="s">
        <v>2090</v>
      </c>
      <c r="CC255" s="100">
        <v>0</v>
      </c>
      <c r="CD255" s="100">
        <v>0</v>
      </c>
      <c r="CE255" s="100">
        <v>0</v>
      </c>
      <c r="CF255" s="100">
        <v>0</v>
      </c>
      <c r="CG255" s="103">
        <v>0</v>
      </c>
      <c r="CH255" s="103">
        <v>0</v>
      </c>
      <c r="CI255" s="103">
        <v>235606.70527999999</v>
      </c>
      <c r="CJ255" s="103">
        <v>3.67</v>
      </c>
      <c r="CK255" s="103">
        <f t="shared" si="12"/>
        <v>0</v>
      </c>
      <c r="CL255" s="103">
        <v>32631.8</v>
      </c>
      <c r="CM255" s="103">
        <v>393430.4</v>
      </c>
      <c r="CN255" s="104">
        <v>8.2941735056569085E-2</v>
      </c>
      <c r="CO255" s="103">
        <v>0</v>
      </c>
      <c r="CP255" s="103">
        <v>0</v>
      </c>
      <c r="CQ255" s="103">
        <v>168795.45250000001</v>
      </c>
      <c r="CR255" s="103">
        <v>3.94</v>
      </c>
      <c r="CS255" s="103">
        <f t="shared" si="13"/>
        <v>0</v>
      </c>
      <c r="CT255" s="103">
        <v>16071.2</v>
      </c>
      <c r="CU255" s="103">
        <v>698545.6</v>
      </c>
      <c r="CV255" s="104">
        <v>2.3006658405693201E-2</v>
      </c>
      <c r="CW255" s="103">
        <v>206233.14116</v>
      </c>
      <c r="CX255" s="103">
        <v>15.55</v>
      </c>
      <c r="CY255" s="103">
        <v>3166038.3623299999</v>
      </c>
      <c r="CZ255" s="103">
        <v>28.896103896103899</v>
      </c>
      <c r="DA255" s="103">
        <f t="shared" si="14"/>
        <v>449.33441558441564</v>
      </c>
      <c r="DB255" s="103">
        <v>315393.40000000002</v>
      </c>
      <c r="DC255" s="103">
        <v>703913</v>
      </c>
      <c r="DD255" s="104">
        <v>0.44805735936117108</v>
      </c>
      <c r="DE255" s="103">
        <v>0</v>
      </c>
      <c r="DF255" s="103">
        <v>0</v>
      </c>
      <c r="DG255" s="103">
        <v>338781.32173999998</v>
      </c>
      <c r="DH255" s="103">
        <v>7.38</v>
      </c>
      <c r="DI255" s="103">
        <f t="shared" si="15"/>
        <v>0</v>
      </c>
      <c r="DJ255" s="103">
        <v>38203.599999999999</v>
      </c>
      <c r="DK255" s="103">
        <v>857145.5</v>
      </c>
      <c r="DL255" s="104">
        <v>4.457072924025151E-2</v>
      </c>
    </row>
    <row r="256" spans="1:116" s="15" customFormat="1" ht="148.69999999999999" customHeight="1" x14ac:dyDescent="0.25">
      <c r="A256" s="100" t="s">
        <v>341</v>
      </c>
      <c r="B256" s="100" t="s">
        <v>2618</v>
      </c>
      <c r="C256" s="100" t="s">
        <v>279</v>
      </c>
      <c r="D256" s="105" t="str">
        <f>"Chemistry 98"</f>
        <v>Chemistry 98</v>
      </c>
      <c r="E256" s="102" t="s">
        <v>2619</v>
      </c>
      <c r="F256" s="100">
        <v>18</v>
      </c>
      <c r="G256" s="100">
        <v>11</v>
      </c>
      <c r="H256" s="100">
        <v>0.61</v>
      </c>
      <c r="I256" s="100">
        <v>23</v>
      </c>
      <c r="J256" s="100">
        <v>5</v>
      </c>
      <c r="K256" s="100">
        <v>5</v>
      </c>
      <c r="L256" s="100">
        <v>2</v>
      </c>
      <c r="M256" s="100">
        <v>1</v>
      </c>
      <c r="N256" s="100">
        <v>4</v>
      </c>
      <c r="O256" s="100">
        <v>1</v>
      </c>
      <c r="P256" s="100">
        <v>1.18</v>
      </c>
      <c r="Q256" s="100">
        <v>50.8</v>
      </c>
      <c r="R256" s="100">
        <v>4</v>
      </c>
      <c r="S256" s="100">
        <v>1</v>
      </c>
      <c r="T256" s="100">
        <v>0</v>
      </c>
      <c r="U256" s="100">
        <v>0</v>
      </c>
      <c r="V256" s="100">
        <v>0</v>
      </c>
      <c r="W256" s="100">
        <v>0</v>
      </c>
      <c r="X256" s="100">
        <v>0</v>
      </c>
      <c r="Y256" s="100">
        <v>0</v>
      </c>
      <c r="Z256" s="100">
        <v>1</v>
      </c>
      <c r="AA256" s="100">
        <v>0</v>
      </c>
      <c r="AB256" s="100">
        <v>1</v>
      </c>
      <c r="AC256" s="100">
        <v>0</v>
      </c>
      <c r="AD256" s="100">
        <v>0</v>
      </c>
      <c r="AE256" s="100">
        <v>0</v>
      </c>
      <c r="AF256" s="100">
        <v>1</v>
      </c>
      <c r="AG256" s="100">
        <v>0</v>
      </c>
      <c r="AH256" s="100">
        <v>0</v>
      </c>
      <c r="AI256" s="100">
        <v>0</v>
      </c>
      <c r="AJ256" s="100">
        <v>1</v>
      </c>
      <c r="AK256" s="100">
        <v>0</v>
      </c>
      <c r="AL256" s="100">
        <v>0</v>
      </c>
      <c r="AM256" s="100">
        <v>0</v>
      </c>
      <c r="AN256" s="100">
        <v>0</v>
      </c>
      <c r="AO256" s="100">
        <v>0</v>
      </c>
      <c r="AP256" s="100">
        <v>0</v>
      </c>
      <c r="AQ256" s="100">
        <v>0</v>
      </c>
      <c r="AR256" s="100">
        <v>0</v>
      </c>
      <c r="AS256" s="100">
        <v>0</v>
      </c>
      <c r="AT256" s="100">
        <v>1</v>
      </c>
      <c r="AU256" s="100">
        <v>0</v>
      </c>
      <c r="AV256" s="100">
        <v>0</v>
      </c>
      <c r="AW256" s="100">
        <v>0</v>
      </c>
      <c r="AX256" s="100">
        <v>0</v>
      </c>
      <c r="AY256" s="100">
        <v>0</v>
      </c>
      <c r="AZ256" s="100">
        <v>0</v>
      </c>
      <c r="BA256" s="100">
        <v>0</v>
      </c>
      <c r="BB256" s="100">
        <v>0</v>
      </c>
      <c r="BC256" s="100">
        <v>0</v>
      </c>
      <c r="BD256" s="100">
        <v>0</v>
      </c>
      <c r="BE256" s="100">
        <v>0</v>
      </c>
      <c r="BF256" s="100">
        <v>0</v>
      </c>
      <c r="BG256" s="100">
        <v>0</v>
      </c>
      <c r="BH256" s="100">
        <v>0</v>
      </c>
      <c r="BI256" s="100">
        <v>0</v>
      </c>
      <c r="BJ256" s="100">
        <v>1</v>
      </c>
      <c r="BK256" s="100">
        <v>0</v>
      </c>
      <c r="BL256" s="100">
        <v>0</v>
      </c>
      <c r="BM256" s="100">
        <v>0</v>
      </c>
      <c r="BN256" s="100">
        <v>0</v>
      </c>
      <c r="BO256" s="100">
        <v>0</v>
      </c>
      <c r="BP256" s="100">
        <v>0</v>
      </c>
      <c r="BQ256" s="100">
        <v>0</v>
      </c>
      <c r="BR256" s="100">
        <v>0</v>
      </c>
      <c r="BS256" s="100">
        <v>0</v>
      </c>
      <c r="BT256" s="100">
        <v>0</v>
      </c>
      <c r="BU256" s="100">
        <v>0</v>
      </c>
      <c r="BV256" s="100">
        <v>0</v>
      </c>
      <c r="BW256" s="100">
        <v>1</v>
      </c>
      <c r="BX256" s="100">
        <v>0</v>
      </c>
      <c r="BY256" s="100">
        <v>0</v>
      </c>
      <c r="BZ256" s="100">
        <v>0</v>
      </c>
      <c r="CA256" s="100">
        <v>1</v>
      </c>
      <c r="CB256" s="100" t="s">
        <v>2090</v>
      </c>
      <c r="CC256" s="100">
        <v>0</v>
      </c>
      <c r="CD256" s="100">
        <v>0</v>
      </c>
      <c r="CE256" s="100">
        <v>0</v>
      </c>
      <c r="CF256" s="100">
        <v>0</v>
      </c>
      <c r="CG256" s="103">
        <v>225353.27562999999</v>
      </c>
      <c r="CH256" s="103">
        <v>12.32</v>
      </c>
      <c r="CI256" s="103">
        <v>2331776.1175099998</v>
      </c>
      <c r="CJ256" s="103">
        <v>22.1</v>
      </c>
      <c r="CK256" s="103">
        <f t="shared" si="12"/>
        <v>272.27200000000005</v>
      </c>
      <c r="CL256" s="103">
        <v>218412.7</v>
      </c>
      <c r="CM256" s="103">
        <v>836033.7</v>
      </c>
      <c r="CN256" s="104">
        <v>0.26124867932955337</v>
      </c>
      <c r="CO256" s="103">
        <v>199344.73032</v>
      </c>
      <c r="CP256" s="103">
        <v>9.18</v>
      </c>
      <c r="CQ256" s="103">
        <v>2477146.75269</v>
      </c>
      <c r="CR256" s="103">
        <v>16.03</v>
      </c>
      <c r="CS256" s="103">
        <f t="shared" si="13"/>
        <v>147.15540000000001</v>
      </c>
      <c r="CT256" s="103">
        <v>71750.399999999994</v>
      </c>
      <c r="CU256" s="103">
        <v>715551.2</v>
      </c>
      <c r="CV256" s="104">
        <v>0.10027290849348026</v>
      </c>
      <c r="CW256" s="103">
        <v>706261.87670000002</v>
      </c>
      <c r="CX256" s="103">
        <v>37.15</v>
      </c>
      <c r="CY256" s="103">
        <v>3621223.1056599999</v>
      </c>
      <c r="CZ256" s="103">
        <v>32.353926935537928</v>
      </c>
      <c r="DA256" s="103">
        <f t="shared" si="14"/>
        <v>1201.948385655234</v>
      </c>
      <c r="DB256" s="103">
        <v>189552.3</v>
      </c>
      <c r="DC256" s="103">
        <v>485081.8</v>
      </c>
      <c r="DD256" s="104">
        <v>0.39076357843151399</v>
      </c>
      <c r="DE256" s="103">
        <v>213779.90152000001</v>
      </c>
      <c r="DF256" s="103">
        <v>10.77</v>
      </c>
      <c r="DG256" s="103">
        <v>2361412.1595600001</v>
      </c>
      <c r="DH256" s="103">
        <v>14.98</v>
      </c>
      <c r="DI256" s="103">
        <f t="shared" si="15"/>
        <v>161.33459999999999</v>
      </c>
      <c r="DJ256" s="103">
        <v>74329.600000000006</v>
      </c>
      <c r="DK256" s="103">
        <v>667858.9</v>
      </c>
      <c r="DL256" s="104">
        <v>0.11129536493412007</v>
      </c>
    </row>
    <row r="257" spans="1:116" s="15" customFormat="1" ht="190.7" customHeight="1" x14ac:dyDescent="0.25">
      <c r="A257" s="100" t="s">
        <v>342</v>
      </c>
      <c r="B257" s="100" t="s">
        <v>2620</v>
      </c>
      <c r="C257" s="100" t="s">
        <v>279</v>
      </c>
      <c r="D257" s="101" t="str">
        <f>"Chemistry 19"</f>
        <v>Chemistry 19</v>
      </c>
      <c r="E257" s="102" t="s">
        <v>2621</v>
      </c>
      <c r="F257" s="100">
        <v>8</v>
      </c>
      <c r="G257" s="100">
        <v>8</v>
      </c>
      <c r="H257" s="100">
        <v>1</v>
      </c>
      <c r="I257" s="100">
        <v>10</v>
      </c>
      <c r="J257" s="100">
        <v>2</v>
      </c>
      <c r="K257" s="100">
        <v>2</v>
      </c>
      <c r="L257" s="100">
        <v>2</v>
      </c>
      <c r="M257" s="100">
        <v>0</v>
      </c>
      <c r="N257" s="100">
        <v>2</v>
      </c>
      <c r="O257" s="100">
        <v>1</v>
      </c>
      <c r="P257" s="100">
        <v>0.03</v>
      </c>
      <c r="Q257" s="100">
        <v>15.27</v>
      </c>
      <c r="R257" s="100">
        <v>0</v>
      </c>
      <c r="S257" s="100">
        <v>0</v>
      </c>
      <c r="T257" s="100">
        <v>0</v>
      </c>
      <c r="U257" s="100">
        <v>1</v>
      </c>
      <c r="V257" s="100">
        <v>0</v>
      </c>
      <c r="W257" s="100">
        <v>1</v>
      </c>
      <c r="X257" s="100">
        <v>0</v>
      </c>
      <c r="Y257" s="100">
        <v>0</v>
      </c>
      <c r="Z257" s="100">
        <v>1</v>
      </c>
      <c r="AA257" s="100">
        <v>0</v>
      </c>
      <c r="AB257" s="100">
        <v>0</v>
      </c>
      <c r="AC257" s="100">
        <v>1</v>
      </c>
      <c r="AD257" s="100">
        <v>0</v>
      </c>
      <c r="AE257" s="100">
        <v>1</v>
      </c>
      <c r="AF257" s="100">
        <v>0</v>
      </c>
      <c r="AG257" s="100">
        <v>0</v>
      </c>
      <c r="AH257" s="100">
        <v>1</v>
      </c>
      <c r="AI257" s="100">
        <v>0</v>
      </c>
      <c r="AJ257" s="100">
        <v>0</v>
      </c>
      <c r="AK257" s="100">
        <v>0</v>
      </c>
      <c r="AL257" s="100">
        <v>0</v>
      </c>
      <c r="AM257" s="100">
        <v>0</v>
      </c>
      <c r="AN257" s="100">
        <v>0</v>
      </c>
      <c r="AO257" s="100">
        <v>0</v>
      </c>
      <c r="AP257" s="100">
        <v>0</v>
      </c>
      <c r="AQ257" s="100">
        <v>0</v>
      </c>
      <c r="AR257" s="100">
        <v>0</v>
      </c>
      <c r="AS257" s="100">
        <v>0</v>
      </c>
      <c r="AT257" s="100">
        <v>0</v>
      </c>
      <c r="AU257" s="100">
        <v>0</v>
      </c>
      <c r="AV257" s="100">
        <v>0</v>
      </c>
      <c r="AW257" s="100">
        <v>0</v>
      </c>
      <c r="AX257" s="100">
        <v>0</v>
      </c>
      <c r="AY257" s="100">
        <v>0</v>
      </c>
      <c r="AZ257" s="100">
        <v>0</v>
      </c>
      <c r="BA257" s="100">
        <v>0</v>
      </c>
      <c r="BB257" s="100">
        <v>0</v>
      </c>
      <c r="BC257" s="100">
        <v>0</v>
      </c>
      <c r="BD257" s="100">
        <v>0</v>
      </c>
      <c r="BE257" s="100">
        <v>0</v>
      </c>
      <c r="BF257" s="100">
        <v>0</v>
      </c>
      <c r="BG257" s="100">
        <v>0</v>
      </c>
      <c r="BH257" s="100">
        <v>1</v>
      </c>
      <c r="BI257" s="100">
        <v>0</v>
      </c>
      <c r="BJ257" s="100">
        <v>1</v>
      </c>
      <c r="BK257" s="100">
        <v>0</v>
      </c>
      <c r="BL257" s="100">
        <v>0</v>
      </c>
      <c r="BM257" s="100">
        <v>0</v>
      </c>
      <c r="BN257" s="100">
        <v>0</v>
      </c>
      <c r="BO257" s="100">
        <v>0</v>
      </c>
      <c r="BP257" s="100">
        <v>0</v>
      </c>
      <c r="BQ257" s="100">
        <v>0</v>
      </c>
      <c r="BR257" s="100">
        <v>0</v>
      </c>
      <c r="BS257" s="100">
        <v>0</v>
      </c>
      <c r="BT257" s="100">
        <v>0</v>
      </c>
      <c r="BU257" s="100">
        <v>0</v>
      </c>
      <c r="BV257" s="100">
        <v>0</v>
      </c>
      <c r="BW257" s="100">
        <v>1</v>
      </c>
      <c r="BX257" s="100">
        <v>0</v>
      </c>
      <c r="BY257" s="100">
        <v>0</v>
      </c>
      <c r="BZ257" s="100">
        <v>1</v>
      </c>
      <c r="CA257" s="100">
        <v>1</v>
      </c>
      <c r="CB257" s="100" t="s">
        <v>2090</v>
      </c>
      <c r="CC257" s="100">
        <v>0</v>
      </c>
      <c r="CD257" s="100">
        <v>0</v>
      </c>
      <c r="CE257" s="100">
        <v>0</v>
      </c>
      <c r="CF257" s="100">
        <v>0</v>
      </c>
      <c r="CG257" s="103">
        <v>350365.70098000002</v>
      </c>
      <c r="CH257" s="103">
        <v>21.19</v>
      </c>
      <c r="CI257" s="103">
        <v>3075899.83666</v>
      </c>
      <c r="CJ257" s="103">
        <v>33.1</v>
      </c>
      <c r="CK257" s="103">
        <f t="shared" si="12"/>
        <v>701.38900000000012</v>
      </c>
      <c r="CL257" s="103">
        <v>213758.4</v>
      </c>
      <c r="CM257" s="103">
        <v>315590</v>
      </c>
      <c r="CN257" s="104">
        <v>0.67732944643366388</v>
      </c>
      <c r="CO257" s="103">
        <v>0</v>
      </c>
      <c r="CP257" s="103">
        <v>0</v>
      </c>
      <c r="CQ257" s="103">
        <v>4971.2857899999999</v>
      </c>
      <c r="CR257" s="103">
        <v>0</v>
      </c>
      <c r="CS257" s="103">
        <f t="shared" si="13"/>
        <v>0</v>
      </c>
      <c r="CT257" s="103">
        <v>25501</v>
      </c>
      <c r="CU257" s="103">
        <v>722563.2</v>
      </c>
      <c r="CV257" s="104">
        <v>3.5292414559722943E-2</v>
      </c>
      <c r="CW257" s="103">
        <v>0</v>
      </c>
      <c r="CX257" s="103">
        <v>0</v>
      </c>
      <c r="CY257" s="103">
        <v>0</v>
      </c>
      <c r="CZ257" s="103">
        <v>0</v>
      </c>
      <c r="DA257" s="103">
        <f t="shared" si="14"/>
        <v>0</v>
      </c>
      <c r="DB257" s="103">
        <v>11135.6</v>
      </c>
      <c r="DC257" s="103">
        <v>813310.8</v>
      </c>
      <c r="DD257" s="104">
        <v>1.3691690802581251E-2</v>
      </c>
      <c r="DE257" s="103">
        <v>0</v>
      </c>
      <c r="DF257" s="103">
        <v>0</v>
      </c>
      <c r="DG257" s="103">
        <v>0</v>
      </c>
      <c r="DH257" s="103">
        <v>0</v>
      </c>
      <c r="DI257" s="103">
        <f t="shared" si="15"/>
        <v>0</v>
      </c>
      <c r="DJ257" s="103">
        <v>5031.2</v>
      </c>
      <c r="DK257" s="103">
        <v>572970.69999999995</v>
      </c>
      <c r="DL257" s="104">
        <v>8.7809027582038662E-3</v>
      </c>
    </row>
    <row r="258" spans="1:116" s="15" customFormat="1" ht="216.2" customHeight="1" x14ac:dyDescent="0.25">
      <c r="A258" s="100" t="s">
        <v>343</v>
      </c>
      <c r="B258" s="100" t="s">
        <v>2622</v>
      </c>
      <c r="C258" s="100" t="s">
        <v>279</v>
      </c>
      <c r="D258" s="105" t="str">
        <f>"Chemistry 45"</f>
        <v>Chemistry 45</v>
      </c>
      <c r="E258" s="102" t="s">
        <v>2623</v>
      </c>
      <c r="F258" s="100">
        <v>17</v>
      </c>
      <c r="G258" s="100">
        <v>10</v>
      </c>
      <c r="H258" s="100">
        <v>0.59</v>
      </c>
      <c r="I258" s="100">
        <v>21</v>
      </c>
      <c r="J258" s="100">
        <v>4</v>
      </c>
      <c r="K258" s="100">
        <v>4</v>
      </c>
      <c r="L258" s="100">
        <v>3</v>
      </c>
      <c r="M258" s="100">
        <v>1</v>
      </c>
      <c r="N258" s="100">
        <v>3</v>
      </c>
      <c r="O258" s="100">
        <v>2</v>
      </c>
      <c r="P258" s="100">
        <v>0.49</v>
      </c>
      <c r="Q258" s="100">
        <v>44.37</v>
      </c>
      <c r="R258" s="100">
        <v>2</v>
      </c>
      <c r="S258" s="100">
        <v>1</v>
      </c>
      <c r="T258" s="100">
        <v>0</v>
      </c>
      <c r="U258" s="100">
        <v>0</v>
      </c>
      <c r="V258" s="100">
        <v>0</v>
      </c>
      <c r="W258" s="100">
        <v>1</v>
      </c>
      <c r="X258" s="100">
        <v>0</v>
      </c>
      <c r="Y258" s="100">
        <v>1</v>
      </c>
      <c r="Z258" s="100">
        <v>0</v>
      </c>
      <c r="AA258" s="100">
        <v>0</v>
      </c>
      <c r="AB258" s="100">
        <v>0</v>
      </c>
      <c r="AC258" s="100">
        <v>1</v>
      </c>
      <c r="AD258" s="100">
        <v>0</v>
      </c>
      <c r="AE258" s="100">
        <v>0</v>
      </c>
      <c r="AF258" s="100">
        <v>1</v>
      </c>
      <c r="AG258" s="100">
        <v>0</v>
      </c>
      <c r="AH258" s="100">
        <v>0</v>
      </c>
      <c r="AI258" s="100">
        <v>1</v>
      </c>
      <c r="AJ258" s="100">
        <v>0</v>
      </c>
      <c r="AK258" s="100">
        <v>0</v>
      </c>
      <c r="AL258" s="100">
        <v>0</v>
      </c>
      <c r="AM258" s="100">
        <v>0</v>
      </c>
      <c r="AN258" s="100">
        <v>0</v>
      </c>
      <c r="AO258" s="100">
        <v>0</v>
      </c>
      <c r="AP258" s="100">
        <v>0</v>
      </c>
      <c r="AQ258" s="100">
        <v>0</v>
      </c>
      <c r="AR258" s="100">
        <v>0</v>
      </c>
      <c r="AS258" s="100">
        <v>0</v>
      </c>
      <c r="AT258" s="100">
        <v>1</v>
      </c>
      <c r="AU258" s="100">
        <v>0</v>
      </c>
      <c r="AV258" s="100">
        <v>0</v>
      </c>
      <c r="AW258" s="100">
        <v>0</v>
      </c>
      <c r="AX258" s="100">
        <v>0</v>
      </c>
      <c r="AY258" s="100">
        <v>0</v>
      </c>
      <c r="AZ258" s="100">
        <v>0</v>
      </c>
      <c r="BA258" s="100">
        <v>0</v>
      </c>
      <c r="BB258" s="100">
        <v>0</v>
      </c>
      <c r="BC258" s="100">
        <v>0</v>
      </c>
      <c r="BD258" s="100">
        <v>0</v>
      </c>
      <c r="BE258" s="100">
        <v>0</v>
      </c>
      <c r="BF258" s="100">
        <v>0</v>
      </c>
      <c r="BG258" s="100">
        <v>0</v>
      </c>
      <c r="BH258" s="100">
        <v>1</v>
      </c>
      <c r="BI258" s="100">
        <v>0</v>
      </c>
      <c r="BJ258" s="100">
        <v>2</v>
      </c>
      <c r="BK258" s="100">
        <v>0</v>
      </c>
      <c r="BL258" s="100">
        <v>1</v>
      </c>
      <c r="BM258" s="100">
        <v>0</v>
      </c>
      <c r="BN258" s="100">
        <v>0</v>
      </c>
      <c r="BO258" s="100">
        <v>0</v>
      </c>
      <c r="BP258" s="100">
        <v>0</v>
      </c>
      <c r="BQ258" s="100">
        <v>0</v>
      </c>
      <c r="BR258" s="100">
        <v>0</v>
      </c>
      <c r="BS258" s="100">
        <v>0</v>
      </c>
      <c r="BT258" s="100">
        <v>0</v>
      </c>
      <c r="BU258" s="100">
        <v>0</v>
      </c>
      <c r="BV258" s="100">
        <v>0</v>
      </c>
      <c r="BW258" s="100">
        <v>1</v>
      </c>
      <c r="BX258" s="100">
        <v>0</v>
      </c>
      <c r="BY258" s="100">
        <v>0</v>
      </c>
      <c r="BZ258" s="100">
        <v>0</v>
      </c>
      <c r="CA258" s="100">
        <v>1</v>
      </c>
      <c r="CB258" s="100" t="s">
        <v>2090</v>
      </c>
      <c r="CC258" s="100">
        <v>0</v>
      </c>
      <c r="CD258" s="100">
        <v>0</v>
      </c>
      <c r="CE258" s="100">
        <v>0</v>
      </c>
      <c r="CF258" s="100">
        <v>0</v>
      </c>
      <c r="CG258" s="103">
        <v>353154.68422</v>
      </c>
      <c r="CH258" s="103">
        <v>23.48</v>
      </c>
      <c r="CI258" s="103">
        <v>1738017.5714700001</v>
      </c>
      <c r="CJ258" s="103">
        <v>34.5</v>
      </c>
      <c r="CK258" s="103">
        <f t="shared" si="12"/>
        <v>810.06000000000006</v>
      </c>
      <c r="CL258" s="103">
        <v>115530</v>
      </c>
      <c r="CM258" s="103">
        <v>157671.79999999999</v>
      </c>
      <c r="CN258" s="104">
        <v>0.73272455822791394</v>
      </c>
      <c r="CO258" s="103">
        <v>225393.58973000001</v>
      </c>
      <c r="CP258" s="103">
        <v>13.81</v>
      </c>
      <c r="CQ258" s="103">
        <v>1194068.1513400001</v>
      </c>
      <c r="CR258" s="103">
        <v>20.55</v>
      </c>
      <c r="CS258" s="103">
        <f t="shared" si="13"/>
        <v>283.7955</v>
      </c>
      <c r="CT258" s="103">
        <v>79174.600000000006</v>
      </c>
      <c r="CU258" s="103">
        <v>177910.5</v>
      </c>
      <c r="CV258" s="104">
        <v>0.44502488610846469</v>
      </c>
      <c r="CW258" s="103">
        <v>667767.78541000001</v>
      </c>
      <c r="CX258" s="103">
        <v>46.07</v>
      </c>
      <c r="CY258" s="103">
        <v>2381349.2014500001</v>
      </c>
      <c r="CZ258" s="103">
        <v>43.619375461027779</v>
      </c>
      <c r="DA258" s="103">
        <f t="shared" si="14"/>
        <v>2009.5446274895498</v>
      </c>
      <c r="DB258" s="103">
        <v>450863.8</v>
      </c>
      <c r="DC258" s="103">
        <v>373938.2</v>
      </c>
      <c r="DD258" s="104">
        <v>1.2057174153376145</v>
      </c>
      <c r="DE258" s="103">
        <v>70110.757629999993</v>
      </c>
      <c r="DF258" s="103">
        <v>4.0199999999999996</v>
      </c>
      <c r="DG258" s="103">
        <v>365526.46237999998</v>
      </c>
      <c r="DH258" s="103">
        <v>5.71</v>
      </c>
      <c r="DI258" s="103">
        <f t="shared" si="15"/>
        <v>22.954199999999997</v>
      </c>
      <c r="DJ258" s="103">
        <v>22630</v>
      </c>
      <c r="DK258" s="103">
        <v>222076.2</v>
      </c>
      <c r="DL258" s="104">
        <v>0.10190195977776997</v>
      </c>
    </row>
    <row r="259" spans="1:116" s="15" customFormat="1" ht="216.2" customHeight="1" x14ac:dyDescent="0.25">
      <c r="A259" s="100" t="s">
        <v>344</v>
      </c>
      <c r="B259" s="100" t="s">
        <v>2624</v>
      </c>
      <c r="C259" s="100" t="s">
        <v>279</v>
      </c>
      <c r="D259" s="105" t="str">
        <f>"Chemistry 45"</f>
        <v>Chemistry 45</v>
      </c>
      <c r="E259" s="102" t="s">
        <v>2623</v>
      </c>
      <c r="F259" s="100">
        <v>19</v>
      </c>
      <c r="G259" s="100">
        <v>12</v>
      </c>
      <c r="H259" s="100">
        <v>0.63</v>
      </c>
      <c r="I259" s="100">
        <v>25</v>
      </c>
      <c r="J259" s="100">
        <v>6</v>
      </c>
      <c r="K259" s="100">
        <v>6</v>
      </c>
      <c r="L259" s="100">
        <v>3</v>
      </c>
      <c r="M259" s="100">
        <v>1</v>
      </c>
      <c r="N259" s="100">
        <v>5</v>
      </c>
      <c r="O259" s="100">
        <v>2</v>
      </c>
      <c r="P259" s="100">
        <v>0.2</v>
      </c>
      <c r="Q259" s="100">
        <v>62.83</v>
      </c>
      <c r="R259" s="100">
        <v>4</v>
      </c>
      <c r="S259" s="100">
        <v>1</v>
      </c>
      <c r="T259" s="100">
        <v>0</v>
      </c>
      <c r="U259" s="100">
        <v>0</v>
      </c>
      <c r="V259" s="100">
        <v>0</v>
      </c>
      <c r="W259" s="100">
        <v>0</v>
      </c>
      <c r="X259" s="100">
        <v>0</v>
      </c>
      <c r="Y259" s="100">
        <v>1</v>
      </c>
      <c r="Z259" s="100">
        <v>0</v>
      </c>
      <c r="AA259" s="100">
        <v>0</v>
      </c>
      <c r="AB259" s="100">
        <v>1</v>
      </c>
      <c r="AC259" s="100">
        <v>0</v>
      </c>
      <c r="AD259" s="100">
        <v>0</v>
      </c>
      <c r="AE259" s="100">
        <v>1</v>
      </c>
      <c r="AF259" s="100">
        <v>0</v>
      </c>
      <c r="AG259" s="100">
        <v>0</v>
      </c>
      <c r="AH259" s="100">
        <v>0</v>
      </c>
      <c r="AI259" s="100">
        <v>0</v>
      </c>
      <c r="AJ259" s="100">
        <v>1</v>
      </c>
      <c r="AK259" s="100">
        <v>0</v>
      </c>
      <c r="AL259" s="100">
        <v>0</v>
      </c>
      <c r="AM259" s="100">
        <v>0</v>
      </c>
      <c r="AN259" s="100">
        <v>0</v>
      </c>
      <c r="AO259" s="100">
        <v>0</v>
      </c>
      <c r="AP259" s="100">
        <v>0</v>
      </c>
      <c r="AQ259" s="100">
        <v>0</v>
      </c>
      <c r="AR259" s="100">
        <v>0</v>
      </c>
      <c r="AS259" s="100">
        <v>0</v>
      </c>
      <c r="AT259" s="100">
        <v>1</v>
      </c>
      <c r="AU259" s="100">
        <v>0</v>
      </c>
      <c r="AV259" s="100">
        <v>0</v>
      </c>
      <c r="AW259" s="100">
        <v>0</v>
      </c>
      <c r="AX259" s="100">
        <v>0</v>
      </c>
      <c r="AY259" s="100">
        <v>0</v>
      </c>
      <c r="AZ259" s="100">
        <v>0</v>
      </c>
      <c r="BA259" s="100">
        <v>0</v>
      </c>
      <c r="BB259" s="100">
        <v>0</v>
      </c>
      <c r="BC259" s="100">
        <v>0</v>
      </c>
      <c r="BD259" s="100">
        <v>0</v>
      </c>
      <c r="BE259" s="100">
        <v>0</v>
      </c>
      <c r="BF259" s="100">
        <v>0</v>
      </c>
      <c r="BG259" s="100">
        <v>0</v>
      </c>
      <c r="BH259" s="100">
        <v>1</v>
      </c>
      <c r="BI259" s="100">
        <v>0</v>
      </c>
      <c r="BJ259" s="100">
        <v>2</v>
      </c>
      <c r="BK259" s="100">
        <v>0</v>
      </c>
      <c r="BL259" s="100">
        <v>1</v>
      </c>
      <c r="BM259" s="100">
        <v>0</v>
      </c>
      <c r="BN259" s="100">
        <v>0</v>
      </c>
      <c r="BO259" s="100">
        <v>0</v>
      </c>
      <c r="BP259" s="100">
        <v>0</v>
      </c>
      <c r="BQ259" s="100">
        <v>0</v>
      </c>
      <c r="BR259" s="100">
        <v>0</v>
      </c>
      <c r="BS259" s="100">
        <v>0</v>
      </c>
      <c r="BT259" s="100">
        <v>0</v>
      </c>
      <c r="BU259" s="100">
        <v>0</v>
      </c>
      <c r="BV259" s="100">
        <v>0</v>
      </c>
      <c r="BW259" s="100">
        <v>1</v>
      </c>
      <c r="BX259" s="100">
        <v>0</v>
      </c>
      <c r="BY259" s="100">
        <v>0</v>
      </c>
      <c r="BZ259" s="100">
        <v>0</v>
      </c>
      <c r="CA259" s="100">
        <v>1</v>
      </c>
      <c r="CB259" s="100" t="s">
        <v>2090</v>
      </c>
      <c r="CC259" s="100">
        <v>0</v>
      </c>
      <c r="CD259" s="100">
        <v>0</v>
      </c>
      <c r="CE259" s="100">
        <v>0</v>
      </c>
      <c r="CF259" s="100">
        <v>0</v>
      </c>
      <c r="CG259" s="103">
        <v>592487.92911000003</v>
      </c>
      <c r="CH259" s="103">
        <v>31.95</v>
      </c>
      <c r="CI259" s="103">
        <v>1351653.8622900001</v>
      </c>
      <c r="CJ259" s="103">
        <v>29.16</v>
      </c>
      <c r="CK259" s="103">
        <f t="shared" ref="CK259:CK322" si="16">CJ259*CH259</f>
        <v>931.66200000000003</v>
      </c>
      <c r="CL259" s="103">
        <v>15610.8</v>
      </c>
      <c r="CM259" s="103">
        <v>22451.599999999999</v>
      </c>
      <c r="CN259" s="104">
        <v>0.69530902029254038</v>
      </c>
      <c r="CO259" s="103">
        <v>324878.26328000001</v>
      </c>
      <c r="CP259" s="103">
        <v>18.61</v>
      </c>
      <c r="CQ259" s="103">
        <v>648447.80530000001</v>
      </c>
      <c r="CR259" s="103">
        <v>24.78</v>
      </c>
      <c r="CS259" s="103">
        <f t="shared" ref="CS259:CS322" si="17">CR259*CP259</f>
        <v>461.1558</v>
      </c>
      <c r="CT259" s="103">
        <v>33532.6</v>
      </c>
      <c r="CU259" s="103">
        <v>126398.1</v>
      </c>
      <c r="CV259" s="104">
        <v>0.26529354476056205</v>
      </c>
      <c r="CW259" s="103">
        <v>866876.84892000002</v>
      </c>
      <c r="CX259" s="103">
        <v>50.72</v>
      </c>
      <c r="CY259" s="103">
        <v>1946602.27777</v>
      </c>
      <c r="CZ259" s="103">
        <v>31.62</v>
      </c>
      <c r="DA259" s="103">
        <f t="shared" ref="DA259:DA322" si="18">CZ259*CX259</f>
        <v>1603.7664</v>
      </c>
      <c r="DB259" s="103">
        <v>176344</v>
      </c>
      <c r="DC259" s="103">
        <v>69501.2</v>
      </c>
      <c r="DD259" s="104">
        <v>2.5372799318572916</v>
      </c>
      <c r="DE259" s="103">
        <v>85038.284480000002</v>
      </c>
      <c r="DF259" s="103">
        <v>4.26</v>
      </c>
      <c r="DG259" s="103">
        <v>213301.84299999999</v>
      </c>
      <c r="DH259" s="103">
        <v>5.25</v>
      </c>
      <c r="DI259" s="103">
        <f t="shared" ref="DI259:DI322" si="19">DH259*DF259</f>
        <v>22.364999999999998</v>
      </c>
      <c r="DJ259" s="103">
        <v>2831.5</v>
      </c>
      <c r="DK259" s="103">
        <v>31740.1</v>
      </c>
      <c r="DL259" s="104">
        <v>8.920891868645657E-2</v>
      </c>
    </row>
    <row r="260" spans="1:116" s="15" customFormat="1" ht="216.2" customHeight="1" x14ac:dyDescent="0.25">
      <c r="A260" s="100" t="s">
        <v>345</v>
      </c>
      <c r="B260" s="100" t="s">
        <v>2625</v>
      </c>
      <c r="C260" s="100" t="s">
        <v>279</v>
      </c>
      <c r="D260" s="105" t="str">
        <f>"Chemistry 94"</f>
        <v>Chemistry 94</v>
      </c>
      <c r="E260" s="102" t="s">
        <v>2626</v>
      </c>
      <c r="F260" s="100">
        <v>17</v>
      </c>
      <c r="G260" s="100">
        <v>16</v>
      </c>
      <c r="H260" s="100">
        <v>0.94</v>
      </c>
      <c r="I260" s="100">
        <v>22</v>
      </c>
      <c r="J260" s="100">
        <v>5</v>
      </c>
      <c r="K260" s="100">
        <v>5</v>
      </c>
      <c r="L260" s="100">
        <v>4</v>
      </c>
      <c r="M260" s="100">
        <v>0</v>
      </c>
      <c r="N260" s="100">
        <v>3</v>
      </c>
      <c r="O260" s="100">
        <v>3</v>
      </c>
      <c r="P260" s="100">
        <v>1.1100000000000001</v>
      </c>
      <c r="Q260" s="100">
        <v>56.4</v>
      </c>
      <c r="R260" s="100">
        <v>2</v>
      </c>
      <c r="S260" s="100">
        <v>1</v>
      </c>
      <c r="T260" s="100">
        <v>0</v>
      </c>
      <c r="U260" s="100">
        <v>0</v>
      </c>
      <c r="V260" s="100">
        <v>1</v>
      </c>
      <c r="W260" s="100">
        <v>1</v>
      </c>
      <c r="X260" s="100">
        <v>0</v>
      </c>
      <c r="Y260" s="100">
        <v>1</v>
      </c>
      <c r="Z260" s="100">
        <v>0</v>
      </c>
      <c r="AA260" s="100">
        <v>0</v>
      </c>
      <c r="AB260" s="100">
        <v>0</v>
      </c>
      <c r="AC260" s="100">
        <v>1</v>
      </c>
      <c r="AD260" s="100">
        <v>0</v>
      </c>
      <c r="AE260" s="100">
        <v>0</v>
      </c>
      <c r="AF260" s="100">
        <v>1</v>
      </c>
      <c r="AG260" s="100">
        <v>0</v>
      </c>
      <c r="AH260" s="100">
        <v>0</v>
      </c>
      <c r="AI260" s="100">
        <v>0</v>
      </c>
      <c r="AJ260" s="100">
        <v>1</v>
      </c>
      <c r="AK260" s="100">
        <v>0</v>
      </c>
      <c r="AL260" s="100">
        <v>0</v>
      </c>
      <c r="AM260" s="100">
        <v>0</v>
      </c>
      <c r="AN260" s="100">
        <v>0</v>
      </c>
      <c r="AO260" s="100">
        <v>0</v>
      </c>
      <c r="AP260" s="100">
        <v>0</v>
      </c>
      <c r="AQ260" s="100">
        <v>0</v>
      </c>
      <c r="AR260" s="100">
        <v>0</v>
      </c>
      <c r="AS260" s="100">
        <v>0</v>
      </c>
      <c r="AT260" s="100">
        <v>0</v>
      </c>
      <c r="AU260" s="100">
        <v>0</v>
      </c>
      <c r="AV260" s="100">
        <v>0</v>
      </c>
      <c r="AW260" s="100">
        <v>0</v>
      </c>
      <c r="AX260" s="100">
        <v>0</v>
      </c>
      <c r="AY260" s="100">
        <v>0</v>
      </c>
      <c r="AZ260" s="100">
        <v>0</v>
      </c>
      <c r="BA260" s="100">
        <v>0</v>
      </c>
      <c r="BB260" s="100">
        <v>0</v>
      </c>
      <c r="BC260" s="100">
        <v>0</v>
      </c>
      <c r="BD260" s="100">
        <v>0</v>
      </c>
      <c r="BE260" s="100">
        <v>0</v>
      </c>
      <c r="BF260" s="100">
        <v>0</v>
      </c>
      <c r="BG260" s="100">
        <v>0</v>
      </c>
      <c r="BH260" s="100">
        <v>1</v>
      </c>
      <c r="BI260" s="100">
        <v>1</v>
      </c>
      <c r="BJ260" s="100">
        <v>2</v>
      </c>
      <c r="BK260" s="100">
        <v>0</v>
      </c>
      <c r="BL260" s="100">
        <v>0</v>
      </c>
      <c r="BM260" s="100">
        <v>0</v>
      </c>
      <c r="BN260" s="100">
        <v>0</v>
      </c>
      <c r="BO260" s="100">
        <v>0</v>
      </c>
      <c r="BP260" s="100">
        <v>0</v>
      </c>
      <c r="BQ260" s="100">
        <v>0</v>
      </c>
      <c r="BR260" s="100">
        <v>0</v>
      </c>
      <c r="BS260" s="100">
        <v>0</v>
      </c>
      <c r="BT260" s="100">
        <v>0</v>
      </c>
      <c r="BU260" s="100">
        <v>0</v>
      </c>
      <c r="BV260" s="100">
        <v>0</v>
      </c>
      <c r="BW260" s="100">
        <v>1</v>
      </c>
      <c r="BX260" s="100">
        <v>0</v>
      </c>
      <c r="BY260" s="100">
        <v>0</v>
      </c>
      <c r="BZ260" s="100">
        <v>0</v>
      </c>
      <c r="CA260" s="100">
        <v>1</v>
      </c>
      <c r="CB260" s="100" t="s">
        <v>2090</v>
      </c>
      <c r="CC260" s="100">
        <v>0</v>
      </c>
      <c r="CD260" s="100">
        <v>0</v>
      </c>
      <c r="CE260" s="100">
        <v>0</v>
      </c>
      <c r="CF260" s="100">
        <v>0</v>
      </c>
      <c r="CG260" s="103">
        <v>237328.63321</v>
      </c>
      <c r="CH260" s="103">
        <v>15.4</v>
      </c>
      <c r="CI260" s="103">
        <v>1508564.94896</v>
      </c>
      <c r="CJ260" s="103">
        <v>20.9</v>
      </c>
      <c r="CK260" s="103">
        <f t="shared" si="16"/>
        <v>321.86</v>
      </c>
      <c r="CL260" s="103">
        <v>267910.40000000002</v>
      </c>
      <c r="CM260" s="103">
        <v>471891.1</v>
      </c>
      <c r="CN260" s="104">
        <v>0.56773776831137535</v>
      </c>
      <c r="CO260" s="103">
        <v>149372.65919999999</v>
      </c>
      <c r="CP260" s="103">
        <v>9.0500000000000007</v>
      </c>
      <c r="CQ260" s="103">
        <v>838876.78570000001</v>
      </c>
      <c r="CR260" s="103">
        <v>10.11</v>
      </c>
      <c r="CS260" s="103">
        <f t="shared" si="17"/>
        <v>91.495500000000007</v>
      </c>
      <c r="CT260" s="103">
        <v>42967</v>
      </c>
      <c r="CU260" s="103">
        <v>221810</v>
      </c>
      <c r="CV260" s="104">
        <v>0.19371083359632119</v>
      </c>
      <c r="CW260" s="103">
        <v>125217.81169</v>
      </c>
      <c r="CX260" s="103">
        <v>11.47</v>
      </c>
      <c r="CY260" s="103">
        <v>1159171.4312700001</v>
      </c>
      <c r="CZ260" s="103">
        <v>28.014028934677775</v>
      </c>
      <c r="DA260" s="103">
        <f t="shared" si="18"/>
        <v>321.32091188075407</v>
      </c>
      <c r="DB260" s="103">
        <v>313440.5</v>
      </c>
      <c r="DC260" s="103">
        <v>542475.6</v>
      </c>
      <c r="DD260" s="104">
        <v>0.57779649444140901</v>
      </c>
      <c r="DE260" s="103">
        <v>69601.508170000001</v>
      </c>
      <c r="DF260" s="103">
        <v>4.09</v>
      </c>
      <c r="DG260" s="103">
        <v>114048.80988</v>
      </c>
      <c r="DH260" s="103">
        <v>1.71</v>
      </c>
      <c r="DI260" s="103">
        <f t="shared" si="19"/>
        <v>6.9939</v>
      </c>
      <c r="DJ260" s="103">
        <v>10633.2</v>
      </c>
      <c r="DK260" s="103">
        <v>462602.4</v>
      </c>
      <c r="DL260" s="104">
        <v>2.2985613563613158E-2</v>
      </c>
    </row>
    <row r="261" spans="1:116" s="15" customFormat="1" ht="216.2" customHeight="1" x14ac:dyDescent="0.25">
      <c r="A261" s="100" t="s">
        <v>346</v>
      </c>
      <c r="B261" s="100" t="s">
        <v>2627</v>
      </c>
      <c r="C261" s="100" t="s">
        <v>279</v>
      </c>
      <c r="D261" s="105" t="str">
        <f>"Chemistry 94"</f>
        <v>Chemistry 94</v>
      </c>
      <c r="E261" s="102" t="s">
        <v>2626</v>
      </c>
      <c r="F261" s="100">
        <v>18</v>
      </c>
      <c r="G261" s="100">
        <v>11</v>
      </c>
      <c r="H261" s="100">
        <v>0.61</v>
      </c>
      <c r="I261" s="100">
        <v>23</v>
      </c>
      <c r="J261" s="100">
        <v>5</v>
      </c>
      <c r="K261" s="100">
        <v>5</v>
      </c>
      <c r="L261" s="100">
        <v>4</v>
      </c>
      <c r="M261" s="100">
        <v>1</v>
      </c>
      <c r="N261" s="100">
        <v>3</v>
      </c>
      <c r="O261" s="100">
        <v>3</v>
      </c>
      <c r="P261" s="100">
        <v>1.23</v>
      </c>
      <c r="Q261" s="100">
        <v>56.4</v>
      </c>
      <c r="R261" s="100">
        <v>2</v>
      </c>
      <c r="S261" s="100">
        <v>1</v>
      </c>
      <c r="T261" s="100">
        <v>0</v>
      </c>
      <c r="U261" s="100">
        <v>0</v>
      </c>
      <c r="V261" s="100">
        <v>1</v>
      </c>
      <c r="W261" s="100">
        <v>1</v>
      </c>
      <c r="X261" s="100">
        <v>0</v>
      </c>
      <c r="Y261" s="100">
        <v>1</v>
      </c>
      <c r="Z261" s="100">
        <v>0</v>
      </c>
      <c r="AA261" s="100">
        <v>0</v>
      </c>
      <c r="AB261" s="100">
        <v>0</v>
      </c>
      <c r="AC261" s="100">
        <v>1</v>
      </c>
      <c r="AD261" s="100">
        <v>0</v>
      </c>
      <c r="AE261" s="100">
        <v>0</v>
      </c>
      <c r="AF261" s="100">
        <v>1</v>
      </c>
      <c r="AG261" s="100">
        <v>0</v>
      </c>
      <c r="AH261" s="100">
        <v>0</v>
      </c>
      <c r="AI261" s="100">
        <v>0</v>
      </c>
      <c r="AJ261" s="100">
        <v>1</v>
      </c>
      <c r="AK261" s="100">
        <v>0</v>
      </c>
      <c r="AL261" s="100">
        <v>0</v>
      </c>
      <c r="AM261" s="100">
        <v>0</v>
      </c>
      <c r="AN261" s="100">
        <v>0</v>
      </c>
      <c r="AO261" s="100">
        <v>0</v>
      </c>
      <c r="AP261" s="100">
        <v>0</v>
      </c>
      <c r="AQ261" s="100">
        <v>0</v>
      </c>
      <c r="AR261" s="100">
        <v>0</v>
      </c>
      <c r="AS261" s="100">
        <v>0</v>
      </c>
      <c r="AT261" s="100">
        <v>0</v>
      </c>
      <c r="AU261" s="100">
        <v>0</v>
      </c>
      <c r="AV261" s="100">
        <v>0</v>
      </c>
      <c r="AW261" s="100">
        <v>0</v>
      </c>
      <c r="AX261" s="100">
        <v>0</v>
      </c>
      <c r="AY261" s="100">
        <v>0</v>
      </c>
      <c r="AZ261" s="100">
        <v>0</v>
      </c>
      <c r="BA261" s="100">
        <v>0</v>
      </c>
      <c r="BB261" s="100">
        <v>0</v>
      </c>
      <c r="BC261" s="100">
        <v>0</v>
      </c>
      <c r="BD261" s="100">
        <v>0</v>
      </c>
      <c r="BE261" s="100">
        <v>0</v>
      </c>
      <c r="BF261" s="100">
        <v>0</v>
      </c>
      <c r="BG261" s="100">
        <v>0</v>
      </c>
      <c r="BH261" s="100">
        <v>1</v>
      </c>
      <c r="BI261" s="100">
        <v>1</v>
      </c>
      <c r="BJ261" s="100">
        <v>2</v>
      </c>
      <c r="BK261" s="100">
        <v>0</v>
      </c>
      <c r="BL261" s="100">
        <v>0</v>
      </c>
      <c r="BM261" s="100">
        <v>0</v>
      </c>
      <c r="BN261" s="100">
        <v>0</v>
      </c>
      <c r="BO261" s="100">
        <v>0</v>
      </c>
      <c r="BP261" s="100">
        <v>0</v>
      </c>
      <c r="BQ261" s="100">
        <v>0</v>
      </c>
      <c r="BR261" s="100">
        <v>0</v>
      </c>
      <c r="BS261" s="100">
        <v>0</v>
      </c>
      <c r="BT261" s="100">
        <v>0</v>
      </c>
      <c r="BU261" s="100">
        <v>0</v>
      </c>
      <c r="BV261" s="100">
        <v>0</v>
      </c>
      <c r="BW261" s="100">
        <v>1</v>
      </c>
      <c r="BX261" s="100">
        <v>0</v>
      </c>
      <c r="BY261" s="100">
        <v>0</v>
      </c>
      <c r="BZ261" s="100">
        <v>0</v>
      </c>
      <c r="CA261" s="100">
        <v>1</v>
      </c>
      <c r="CB261" s="100" t="s">
        <v>2090</v>
      </c>
      <c r="CC261" s="100">
        <v>0</v>
      </c>
      <c r="CD261" s="100">
        <v>0</v>
      </c>
      <c r="CE261" s="100">
        <v>0</v>
      </c>
      <c r="CF261" s="100">
        <v>0</v>
      </c>
      <c r="CG261" s="103">
        <v>412160.97334000003</v>
      </c>
      <c r="CH261" s="103">
        <v>21.97</v>
      </c>
      <c r="CI261" s="103">
        <v>1352019.9085500001</v>
      </c>
      <c r="CJ261" s="103">
        <v>21.99</v>
      </c>
      <c r="CK261" s="103">
        <f t="shared" si="16"/>
        <v>483.12029999999993</v>
      </c>
      <c r="CL261" s="103">
        <v>317250.59999999998</v>
      </c>
      <c r="CM261" s="103">
        <v>351982.7</v>
      </c>
      <c r="CN261" s="104">
        <v>0.90132441168273314</v>
      </c>
      <c r="CO261" s="103">
        <v>139046.94</v>
      </c>
      <c r="CP261" s="103">
        <v>6.72</v>
      </c>
      <c r="CQ261" s="103">
        <v>736975.61458000005</v>
      </c>
      <c r="CR261" s="103">
        <v>9.64</v>
      </c>
      <c r="CS261" s="103">
        <f t="shared" si="17"/>
        <v>64.780799999999999</v>
      </c>
      <c r="CT261" s="103">
        <v>35104.199999999997</v>
      </c>
      <c r="CU261" s="103">
        <v>120506.1</v>
      </c>
      <c r="CV261" s="104">
        <v>0.29130641519391959</v>
      </c>
      <c r="CW261" s="103">
        <v>734273.19290000002</v>
      </c>
      <c r="CX261" s="103">
        <v>45.08</v>
      </c>
      <c r="CY261" s="103">
        <v>1997154.3935799999</v>
      </c>
      <c r="CZ261" s="103">
        <v>35.3747930952944</v>
      </c>
      <c r="DA261" s="103">
        <f t="shared" si="18"/>
        <v>1594.6956727358715</v>
      </c>
      <c r="DB261" s="103">
        <v>315592.8</v>
      </c>
      <c r="DC261" s="103">
        <v>202414.1</v>
      </c>
      <c r="DD261" s="104">
        <v>1.5591443481457072</v>
      </c>
      <c r="DE261" s="103">
        <v>101868.66408</v>
      </c>
      <c r="DF261" s="103">
        <v>4.71</v>
      </c>
      <c r="DG261" s="103">
        <v>238726.27329000001</v>
      </c>
      <c r="DH261" s="103">
        <v>4.34</v>
      </c>
      <c r="DI261" s="103">
        <f t="shared" si="19"/>
        <v>20.441399999999998</v>
      </c>
      <c r="DJ261" s="103">
        <v>10579.9</v>
      </c>
      <c r="DK261" s="103">
        <v>211901.7</v>
      </c>
      <c r="DL261" s="104">
        <v>4.9928339413982989E-2</v>
      </c>
    </row>
    <row r="262" spans="1:116" s="15" customFormat="1" ht="218.45" customHeight="1" x14ac:dyDescent="0.25">
      <c r="A262" s="100" t="s">
        <v>347</v>
      </c>
      <c r="B262" s="100" t="s">
        <v>2628</v>
      </c>
      <c r="C262" s="100" t="s">
        <v>279</v>
      </c>
      <c r="D262" s="105" t="str">
        <f>"Chemistry 138"</f>
        <v>Chemistry 138</v>
      </c>
      <c r="E262" s="102" t="s">
        <v>2629</v>
      </c>
      <c r="F262" s="100">
        <v>16</v>
      </c>
      <c r="G262" s="100">
        <v>10</v>
      </c>
      <c r="H262" s="100">
        <v>0.63</v>
      </c>
      <c r="I262" s="100">
        <v>22</v>
      </c>
      <c r="J262" s="100">
        <v>6</v>
      </c>
      <c r="K262" s="100">
        <v>6</v>
      </c>
      <c r="L262" s="100">
        <v>3</v>
      </c>
      <c r="M262" s="100">
        <v>1</v>
      </c>
      <c r="N262" s="100">
        <v>4</v>
      </c>
      <c r="O262" s="100">
        <v>2</v>
      </c>
      <c r="P262" s="100">
        <v>0.55000000000000004</v>
      </c>
      <c r="Q262" s="100">
        <v>61.44</v>
      </c>
      <c r="R262" s="100">
        <v>3</v>
      </c>
      <c r="S262" s="100">
        <v>1</v>
      </c>
      <c r="T262" s="100">
        <v>0</v>
      </c>
      <c r="U262" s="100">
        <v>0</v>
      </c>
      <c r="V262" s="100">
        <v>0</v>
      </c>
      <c r="W262" s="100">
        <v>0</v>
      </c>
      <c r="X262" s="100">
        <v>0</v>
      </c>
      <c r="Y262" s="100">
        <v>1</v>
      </c>
      <c r="Z262" s="100">
        <v>0</v>
      </c>
      <c r="AA262" s="100">
        <v>0</v>
      </c>
      <c r="AB262" s="100">
        <v>1</v>
      </c>
      <c r="AC262" s="100">
        <v>0</v>
      </c>
      <c r="AD262" s="100">
        <v>0</v>
      </c>
      <c r="AE262" s="100">
        <v>0</v>
      </c>
      <c r="AF262" s="100">
        <v>1</v>
      </c>
      <c r="AG262" s="100">
        <v>0</v>
      </c>
      <c r="AH262" s="100">
        <v>0</v>
      </c>
      <c r="AI262" s="100">
        <v>0</v>
      </c>
      <c r="AJ262" s="100">
        <v>1</v>
      </c>
      <c r="AK262" s="100">
        <v>0</v>
      </c>
      <c r="AL262" s="100">
        <v>0</v>
      </c>
      <c r="AM262" s="100">
        <v>0</v>
      </c>
      <c r="AN262" s="100">
        <v>0</v>
      </c>
      <c r="AO262" s="100">
        <v>0</v>
      </c>
      <c r="AP262" s="100">
        <v>0</v>
      </c>
      <c r="AQ262" s="100">
        <v>0</v>
      </c>
      <c r="AR262" s="100">
        <v>0</v>
      </c>
      <c r="AS262" s="100">
        <v>0</v>
      </c>
      <c r="AT262" s="100">
        <v>0</v>
      </c>
      <c r="AU262" s="100">
        <v>0</v>
      </c>
      <c r="AV262" s="100">
        <v>0</v>
      </c>
      <c r="AW262" s="100">
        <v>0</v>
      </c>
      <c r="AX262" s="100">
        <v>0</v>
      </c>
      <c r="AY262" s="100">
        <v>0</v>
      </c>
      <c r="AZ262" s="100">
        <v>0</v>
      </c>
      <c r="BA262" s="100">
        <v>0</v>
      </c>
      <c r="BB262" s="100">
        <v>0</v>
      </c>
      <c r="BC262" s="100">
        <v>0</v>
      </c>
      <c r="BD262" s="100">
        <v>0</v>
      </c>
      <c r="BE262" s="100">
        <v>0</v>
      </c>
      <c r="BF262" s="100">
        <v>1</v>
      </c>
      <c r="BG262" s="100">
        <v>0</v>
      </c>
      <c r="BH262" s="100">
        <v>1</v>
      </c>
      <c r="BI262" s="100">
        <v>0</v>
      </c>
      <c r="BJ262" s="100">
        <v>2</v>
      </c>
      <c r="BK262" s="100">
        <v>0</v>
      </c>
      <c r="BL262" s="100">
        <v>0</v>
      </c>
      <c r="BM262" s="100">
        <v>0</v>
      </c>
      <c r="BN262" s="100">
        <v>0</v>
      </c>
      <c r="BO262" s="100">
        <v>0</v>
      </c>
      <c r="BP262" s="100">
        <v>0</v>
      </c>
      <c r="BQ262" s="100">
        <v>0</v>
      </c>
      <c r="BR262" s="100">
        <v>0</v>
      </c>
      <c r="BS262" s="100">
        <v>0</v>
      </c>
      <c r="BT262" s="100">
        <v>0</v>
      </c>
      <c r="BU262" s="100">
        <v>0</v>
      </c>
      <c r="BV262" s="100">
        <v>0</v>
      </c>
      <c r="BW262" s="100">
        <v>1</v>
      </c>
      <c r="BX262" s="100">
        <v>0</v>
      </c>
      <c r="BY262" s="100">
        <v>0</v>
      </c>
      <c r="BZ262" s="100">
        <v>0</v>
      </c>
      <c r="CA262" s="100">
        <v>1</v>
      </c>
      <c r="CB262" s="100" t="s">
        <v>2090</v>
      </c>
      <c r="CC262" s="100">
        <v>0</v>
      </c>
      <c r="CD262" s="100">
        <v>0</v>
      </c>
      <c r="CE262" s="100">
        <v>0</v>
      </c>
      <c r="CF262" s="100">
        <v>0</v>
      </c>
      <c r="CG262" s="103">
        <v>450967.44725999999</v>
      </c>
      <c r="CH262" s="103">
        <v>26.1</v>
      </c>
      <c r="CI262" s="103">
        <v>2073468.9823799999</v>
      </c>
      <c r="CJ262" s="103">
        <v>39.700000000000003</v>
      </c>
      <c r="CK262" s="103">
        <f t="shared" si="16"/>
        <v>1036.17</v>
      </c>
      <c r="CL262" s="103">
        <v>0</v>
      </c>
      <c r="CM262" s="103">
        <v>594022.69999999995</v>
      </c>
      <c r="CN262" s="104">
        <v>0</v>
      </c>
      <c r="CO262" s="103">
        <v>245172.13652</v>
      </c>
      <c r="CP262" s="103">
        <v>14.18</v>
      </c>
      <c r="CQ262" s="103">
        <v>1533368.3130699999</v>
      </c>
      <c r="CR262" s="103">
        <v>22.78</v>
      </c>
      <c r="CS262" s="103">
        <f t="shared" si="17"/>
        <v>323.0204</v>
      </c>
      <c r="CT262" s="103">
        <v>1447.2</v>
      </c>
      <c r="CU262" s="103">
        <v>199195.8</v>
      </c>
      <c r="CV262" s="104">
        <v>7.2652134231745861E-3</v>
      </c>
      <c r="CW262" s="103">
        <v>765430.67842000001</v>
      </c>
      <c r="CX262" s="103">
        <v>52.26</v>
      </c>
      <c r="CY262" s="103">
        <v>2774459.62078</v>
      </c>
      <c r="CZ262" s="103">
        <v>64.452869656164211</v>
      </c>
      <c r="DA262" s="103">
        <f t="shared" si="18"/>
        <v>3368.3069682311416</v>
      </c>
      <c r="DB262" s="103">
        <v>2284.4</v>
      </c>
      <c r="DC262" s="103">
        <v>206996.4</v>
      </c>
      <c r="DD262" s="104">
        <v>1.1035940721674388E-2</v>
      </c>
      <c r="DE262" s="103">
        <v>104045.74808</v>
      </c>
      <c r="DF262" s="103">
        <v>5.76</v>
      </c>
      <c r="DG262" s="103">
        <v>612280.25350999995</v>
      </c>
      <c r="DH262" s="103">
        <v>9.48</v>
      </c>
      <c r="DI262" s="103">
        <f t="shared" si="19"/>
        <v>54.604799999999997</v>
      </c>
      <c r="DJ262" s="103">
        <v>4801.8999999999996</v>
      </c>
      <c r="DK262" s="103">
        <v>506438.5</v>
      </c>
      <c r="DL262" s="104">
        <v>9.4817040963512834E-3</v>
      </c>
    </row>
    <row r="263" spans="1:116" s="15" customFormat="1" ht="175.7" customHeight="1" x14ac:dyDescent="0.25">
      <c r="A263" s="100" t="s">
        <v>348</v>
      </c>
      <c r="B263" s="100" t="s">
        <v>2630</v>
      </c>
      <c r="C263" s="100" t="s">
        <v>279</v>
      </c>
      <c r="D263" s="101" t="str">
        <f>"Chemistry 178"</f>
        <v>Chemistry 178</v>
      </c>
      <c r="E263" s="102" t="s">
        <v>2631</v>
      </c>
      <c r="F263" s="100">
        <v>10</v>
      </c>
      <c r="G263" s="100">
        <v>4</v>
      </c>
      <c r="H263" s="100">
        <v>0.4</v>
      </c>
      <c r="I263" s="100">
        <v>12</v>
      </c>
      <c r="J263" s="100">
        <v>2</v>
      </c>
      <c r="K263" s="100">
        <v>2</v>
      </c>
      <c r="L263" s="100">
        <v>2</v>
      </c>
      <c r="M263" s="100">
        <v>1</v>
      </c>
      <c r="N263" s="100">
        <v>2</v>
      </c>
      <c r="O263" s="100">
        <v>1</v>
      </c>
      <c r="P263" s="100">
        <v>2.09</v>
      </c>
      <c r="Q263" s="100">
        <v>15.27</v>
      </c>
      <c r="R263" s="100">
        <v>1</v>
      </c>
      <c r="S263" s="100">
        <v>0</v>
      </c>
      <c r="T263" s="100">
        <v>0</v>
      </c>
      <c r="U263" s="100">
        <v>1</v>
      </c>
      <c r="V263" s="100">
        <v>0</v>
      </c>
      <c r="W263" s="100">
        <v>1</v>
      </c>
      <c r="X263" s="100">
        <v>0</v>
      </c>
      <c r="Y263" s="100">
        <v>0</v>
      </c>
      <c r="Z263" s="100">
        <v>1</v>
      </c>
      <c r="AA263" s="100">
        <v>0</v>
      </c>
      <c r="AB263" s="100">
        <v>0</v>
      </c>
      <c r="AC263" s="100">
        <v>1</v>
      </c>
      <c r="AD263" s="100">
        <v>0</v>
      </c>
      <c r="AE263" s="100">
        <v>0</v>
      </c>
      <c r="AF263" s="100">
        <v>0</v>
      </c>
      <c r="AG263" s="100">
        <v>1</v>
      </c>
      <c r="AH263" s="100">
        <v>1</v>
      </c>
      <c r="AI263" s="100">
        <v>0</v>
      </c>
      <c r="AJ263" s="100">
        <v>0</v>
      </c>
      <c r="AK263" s="100">
        <v>0</v>
      </c>
      <c r="AL263" s="100">
        <v>0</v>
      </c>
      <c r="AM263" s="100">
        <v>0</v>
      </c>
      <c r="AN263" s="100">
        <v>0</v>
      </c>
      <c r="AO263" s="100">
        <v>0</v>
      </c>
      <c r="AP263" s="100">
        <v>0</v>
      </c>
      <c r="AQ263" s="100">
        <v>0</v>
      </c>
      <c r="AR263" s="100">
        <v>0</v>
      </c>
      <c r="AS263" s="100">
        <v>0</v>
      </c>
      <c r="AT263" s="100">
        <v>0</v>
      </c>
      <c r="AU263" s="100">
        <v>1</v>
      </c>
      <c r="AV263" s="100">
        <v>0</v>
      </c>
      <c r="AW263" s="100">
        <v>0</v>
      </c>
      <c r="AX263" s="100">
        <v>0</v>
      </c>
      <c r="AY263" s="100">
        <v>0</v>
      </c>
      <c r="AZ263" s="100">
        <v>0</v>
      </c>
      <c r="BA263" s="100">
        <v>0</v>
      </c>
      <c r="BB263" s="100">
        <v>0</v>
      </c>
      <c r="BC263" s="100">
        <v>0</v>
      </c>
      <c r="BD263" s="100">
        <v>0</v>
      </c>
      <c r="BE263" s="100">
        <v>0</v>
      </c>
      <c r="BF263" s="100">
        <v>0</v>
      </c>
      <c r="BG263" s="100">
        <v>0</v>
      </c>
      <c r="BH263" s="100">
        <v>0</v>
      </c>
      <c r="BI263" s="100">
        <v>0</v>
      </c>
      <c r="BJ263" s="100">
        <v>1</v>
      </c>
      <c r="BK263" s="100">
        <v>0</v>
      </c>
      <c r="BL263" s="100">
        <v>0</v>
      </c>
      <c r="BM263" s="100">
        <v>0</v>
      </c>
      <c r="BN263" s="100">
        <v>0</v>
      </c>
      <c r="BO263" s="100">
        <v>0</v>
      </c>
      <c r="BP263" s="100">
        <v>0</v>
      </c>
      <c r="BQ263" s="100">
        <v>0</v>
      </c>
      <c r="BR263" s="100">
        <v>0</v>
      </c>
      <c r="BS263" s="100">
        <v>0</v>
      </c>
      <c r="BT263" s="100">
        <v>0</v>
      </c>
      <c r="BU263" s="100">
        <v>0</v>
      </c>
      <c r="BV263" s="100">
        <v>0</v>
      </c>
      <c r="BW263" s="100">
        <v>0</v>
      </c>
      <c r="BX263" s="100">
        <v>1</v>
      </c>
      <c r="BY263" s="100">
        <v>0</v>
      </c>
      <c r="BZ263" s="100">
        <v>0</v>
      </c>
      <c r="CA263" s="100">
        <v>0</v>
      </c>
      <c r="CB263" s="100" t="s">
        <v>2090</v>
      </c>
      <c r="CC263" s="100">
        <v>0</v>
      </c>
      <c r="CD263" s="100">
        <v>0</v>
      </c>
      <c r="CE263" s="100">
        <v>0</v>
      </c>
      <c r="CF263" s="100">
        <v>1</v>
      </c>
      <c r="CG263" s="103">
        <v>729813.95657000004</v>
      </c>
      <c r="CH263" s="103">
        <v>44.48</v>
      </c>
      <c r="CI263" s="103">
        <v>3742468.3889899999</v>
      </c>
      <c r="CJ263" s="103">
        <v>40.49</v>
      </c>
      <c r="CK263" s="103">
        <f t="shared" si="16"/>
        <v>1800.9952000000001</v>
      </c>
      <c r="CL263" s="103">
        <v>224067.9</v>
      </c>
      <c r="CM263" s="103">
        <v>248590.7</v>
      </c>
      <c r="CN263" s="104">
        <v>0.90135270547128266</v>
      </c>
      <c r="CO263" s="103">
        <v>81758.458840000007</v>
      </c>
      <c r="CP263" s="103">
        <v>3.77</v>
      </c>
      <c r="CQ263" s="103">
        <v>1921546.7463</v>
      </c>
      <c r="CR263" s="103">
        <v>17.61</v>
      </c>
      <c r="CS263" s="103">
        <f t="shared" si="17"/>
        <v>66.389700000000005</v>
      </c>
      <c r="CT263" s="103">
        <v>198227.6</v>
      </c>
      <c r="CU263" s="103">
        <v>605875.80000000005</v>
      </c>
      <c r="CV263" s="104">
        <v>0.32717530556592622</v>
      </c>
      <c r="CW263" s="103">
        <v>1171899.9481899999</v>
      </c>
      <c r="CX263" s="103">
        <v>62.4</v>
      </c>
      <c r="CY263" s="103">
        <v>4929205.5159099996</v>
      </c>
      <c r="CZ263" s="103">
        <v>51.153978642783322</v>
      </c>
      <c r="DA263" s="103">
        <f t="shared" si="18"/>
        <v>3192.008267309679</v>
      </c>
      <c r="DB263" s="103">
        <v>331272.3</v>
      </c>
      <c r="DC263" s="103">
        <v>192995.1</v>
      </c>
      <c r="DD263" s="104">
        <v>1.7164803665999808</v>
      </c>
      <c r="DE263" s="103">
        <v>131049.07849</v>
      </c>
      <c r="DF263" s="103">
        <v>6.94</v>
      </c>
      <c r="DG263" s="103">
        <v>2171942.1883700001</v>
      </c>
      <c r="DH263" s="103">
        <v>20.29</v>
      </c>
      <c r="DI263" s="103">
        <f t="shared" si="19"/>
        <v>140.8126</v>
      </c>
      <c r="DJ263" s="103">
        <v>50440.5</v>
      </c>
      <c r="DK263" s="103">
        <v>200233.8</v>
      </c>
      <c r="DL263" s="104">
        <v>0.25190801952517511</v>
      </c>
    </row>
    <row r="264" spans="1:116" s="15" customFormat="1" ht="158.44999999999999" customHeight="1" x14ac:dyDescent="0.25">
      <c r="A264" s="100" t="s">
        <v>349</v>
      </c>
      <c r="B264" s="100" t="s">
        <v>2632</v>
      </c>
      <c r="C264" s="100" t="s">
        <v>279</v>
      </c>
      <c r="D264" s="101" t="str">
        <f>"Chemistry 163"</f>
        <v>Chemistry 163</v>
      </c>
      <c r="E264" s="102" t="s">
        <v>2633</v>
      </c>
      <c r="F264" s="100">
        <v>5</v>
      </c>
      <c r="G264" s="100">
        <v>4</v>
      </c>
      <c r="H264" s="100">
        <v>0.8</v>
      </c>
      <c r="I264" s="100">
        <v>8</v>
      </c>
      <c r="J264" s="100">
        <v>3</v>
      </c>
      <c r="K264" s="100">
        <v>3</v>
      </c>
      <c r="L264" s="100">
        <v>2</v>
      </c>
      <c r="M264" s="100">
        <v>0</v>
      </c>
      <c r="N264" s="100">
        <v>2</v>
      </c>
      <c r="O264" s="100">
        <v>1</v>
      </c>
      <c r="P264" s="100">
        <v>-1.05</v>
      </c>
      <c r="Q264" s="100">
        <v>32.340000000000003</v>
      </c>
      <c r="R264" s="100">
        <v>0</v>
      </c>
      <c r="S264" s="100">
        <v>0</v>
      </c>
      <c r="T264" s="100">
        <v>0</v>
      </c>
      <c r="U264" s="100">
        <v>1</v>
      </c>
      <c r="V264" s="100">
        <v>0</v>
      </c>
      <c r="W264" s="100">
        <v>1</v>
      </c>
      <c r="X264" s="100">
        <v>0</v>
      </c>
      <c r="Y264" s="100">
        <v>0</v>
      </c>
      <c r="Z264" s="100">
        <v>1</v>
      </c>
      <c r="AA264" s="100">
        <v>0</v>
      </c>
      <c r="AB264" s="100">
        <v>0</v>
      </c>
      <c r="AC264" s="100">
        <v>1</v>
      </c>
      <c r="AD264" s="100">
        <v>0</v>
      </c>
      <c r="AE264" s="100">
        <v>1</v>
      </c>
      <c r="AF264" s="100">
        <v>0</v>
      </c>
      <c r="AG264" s="100">
        <v>0</v>
      </c>
      <c r="AH264" s="100">
        <v>0</v>
      </c>
      <c r="AI264" s="100">
        <v>1</v>
      </c>
      <c r="AJ264" s="100">
        <v>0</v>
      </c>
      <c r="AK264" s="100">
        <v>0</v>
      </c>
      <c r="AL264" s="100">
        <v>0</v>
      </c>
      <c r="AM264" s="100">
        <v>0</v>
      </c>
      <c r="AN264" s="100">
        <v>0</v>
      </c>
      <c r="AO264" s="100">
        <v>0</v>
      </c>
      <c r="AP264" s="100">
        <v>0</v>
      </c>
      <c r="AQ264" s="100">
        <v>0</v>
      </c>
      <c r="AR264" s="100">
        <v>0</v>
      </c>
      <c r="AS264" s="100">
        <v>0</v>
      </c>
      <c r="AT264" s="100">
        <v>1</v>
      </c>
      <c r="AU264" s="100">
        <v>0</v>
      </c>
      <c r="AV264" s="100">
        <v>0</v>
      </c>
      <c r="AW264" s="100">
        <v>0</v>
      </c>
      <c r="AX264" s="100">
        <v>0</v>
      </c>
      <c r="AY264" s="100">
        <v>0</v>
      </c>
      <c r="AZ264" s="100">
        <v>0</v>
      </c>
      <c r="BA264" s="100">
        <v>0</v>
      </c>
      <c r="BB264" s="100">
        <v>0</v>
      </c>
      <c r="BC264" s="100">
        <v>0</v>
      </c>
      <c r="BD264" s="100">
        <v>0</v>
      </c>
      <c r="BE264" s="100">
        <v>0</v>
      </c>
      <c r="BF264" s="100">
        <v>0</v>
      </c>
      <c r="BG264" s="100">
        <v>0</v>
      </c>
      <c r="BH264" s="100">
        <v>0</v>
      </c>
      <c r="BI264" s="100">
        <v>0</v>
      </c>
      <c r="BJ264" s="100">
        <v>1</v>
      </c>
      <c r="BK264" s="100">
        <v>0</v>
      </c>
      <c r="BL264" s="100">
        <v>0</v>
      </c>
      <c r="BM264" s="100">
        <v>0</v>
      </c>
      <c r="BN264" s="100">
        <v>0</v>
      </c>
      <c r="BO264" s="100">
        <v>0</v>
      </c>
      <c r="BP264" s="100">
        <v>0</v>
      </c>
      <c r="BQ264" s="100">
        <v>0</v>
      </c>
      <c r="BR264" s="100">
        <v>0</v>
      </c>
      <c r="BS264" s="100">
        <v>0</v>
      </c>
      <c r="BT264" s="100">
        <v>0</v>
      </c>
      <c r="BU264" s="100">
        <v>0</v>
      </c>
      <c r="BV264" s="100">
        <v>0</v>
      </c>
      <c r="BW264" s="100">
        <v>0</v>
      </c>
      <c r="BX264" s="100">
        <v>1</v>
      </c>
      <c r="BY264" s="100">
        <v>0</v>
      </c>
      <c r="BZ264" s="100">
        <v>0</v>
      </c>
      <c r="CA264" s="100">
        <v>0</v>
      </c>
      <c r="CB264" s="100" t="s">
        <v>2090</v>
      </c>
      <c r="CC264" s="100">
        <v>0</v>
      </c>
      <c r="CD264" s="100">
        <v>1</v>
      </c>
      <c r="CE264" s="100">
        <v>0</v>
      </c>
      <c r="CF264" s="100">
        <v>0</v>
      </c>
      <c r="CG264" s="103">
        <v>347594.41207999998</v>
      </c>
      <c r="CH264" s="103">
        <v>21.19</v>
      </c>
      <c r="CI264" s="103">
        <v>2008973.3755000001</v>
      </c>
      <c r="CJ264" s="103">
        <v>32.659999999999997</v>
      </c>
      <c r="CK264" s="103">
        <f t="shared" si="16"/>
        <v>692.06539999999995</v>
      </c>
      <c r="CL264" s="103">
        <v>249128.5</v>
      </c>
      <c r="CM264" s="103">
        <v>571014.30000000005</v>
      </c>
      <c r="CN264" s="104">
        <v>0.43629117519473676</v>
      </c>
      <c r="CO264" s="103">
        <v>191849.56891</v>
      </c>
      <c r="CP264" s="103">
        <v>11.59</v>
      </c>
      <c r="CQ264" s="103">
        <v>1199441.20628</v>
      </c>
      <c r="CR264" s="103">
        <v>30.11</v>
      </c>
      <c r="CS264" s="103">
        <f t="shared" si="17"/>
        <v>348.97489999999999</v>
      </c>
      <c r="CT264" s="103">
        <v>142537.9</v>
      </c>
      <c r="CU264" s="103">
        <v>563983.5</v>
      </c>
      <c r="CV264" s="104">
        <v>0.25273416686835698</v>
      </c>
      <c r="CW264" s="103">
        <v>1287701.40264</v>
      </c>
      <c r="CX264" s="103">
        <v>71.78</v>
      </c>
      <c r="CY264" s="103">
        <v>3640920.1342199999</v>
      </c>
      <c r="CZ264" s="103">
        <v>56.768558951965055</v>
      </c>
      <c r="DA264" s="103">
        <f t="shared" si="18"/>
        <v>4074.8471615720518</v>
      </c>
      <c r="DB264" s="103">
        <v>316715.40000000002</v>
      </c>
      <c r="DC264" s="103">
        <v>239951.7</v>
      </c>
      <c r="DD264" s="104">
        <v>1.3199131325179192</v>
      </c>
      <c r="DE264" s="103">
        <v>227630.55895999999</v>
      </c>
      <c r="DF264" s="103">
        <v>15.09</v>
      </c>
      <c r="DG264" s="103">
        <v>1607686.0241400001</v>
      </c>
      <c r="DH264" s="103">
        <v>35.909999999999997</v>
      </c>
      <c r="DI264" s="103">
        <f t="shared" si="19"/>
        <v>541.88189999999997</v>
      </c>
      <c r="DJ264" s="103">
        <v>331799</v>
      </c>
      <c r="DK264" s="103">
        <v>769618.9</v>
      </c>
      <c r="DL264" s="104">
        <v>0.43112116919166094</v>
      </c>
    </row>
    <row r="265" spans="1:116" s="15" customFormat="1" ht="216.2" customHeight="1" x14ac:dyDescent="0.25">
      <c r="A265" s="100" t="s">
        <v>350</v>
      </c>
      <c r="B265" s="100" t="s">
        <v>2634</v>
      </c>
      <c r="C265" s="100" t="s">
        <v>279</v>
      </c>
      <c r="D265" s="101" t="str">
        <f>"Chemistry 181"</f>
        <v>Chemistry 181</v>
      </c>
      <c r="E265" s="102" t="s">
        <v>2635</v>
      </c>
      <c r="F265" s="100">
        <v>7</v>
      </c>
      <c r="G265" s="100">
        <v>6</v>
      </c>
      <c r="H265" s="100">
        <v>0.86</v>
      </c>
      <c r="I265" s="100">
        <v>11</v>
      </c>
      <c r="J265" s="100">
        <v>4</v>
      </c>
      <c r="K265" s="100">
        <v>4</v>
      </c>
      <c r="L265" s="100">
        <v>2</v>
      </c>
      <c r="M265" s="100">
        <v>0</v>
      </c>
      <c r="N265" s="100">
        <v>3</v>
      </c>
      <c r="O265" s="100">
        <v>1</v>
      </c>
      <c r="P265" s="100">
        <v>0.86</v>
      </c>
      <c r="Q265" s="100">
        <v>41.57</v>
      </c>
      <c r="R265" s="100">
        <v>2</v>
      </c>
      <c r="S265" s="100">
        <v>0</v>
      </c>
      <c r="T265" s="100">
        <v>0</v>
      </c>
      <c r="U265" s="100">
        <v>1</v>
      </c>
      <c r="V265" s="100">
        <v>0</v>
      </c>
      <c r="W265" s="100">
        <v>1</v>
      </c>
      <c r="X265" s="100">
        <v>0</v>
      </c>
      <c r="Y265" s="100">
        <v>0</v>
      </c>
      <c r="Z265" s="100">
        <v>1</v>
      </c>
      <c r="AA265" s="100">
        <v>0</v>
      </c>
      <c r="AB265" s="100">
        <v>0</v>
      </c>
      <c r="AC265" s="100">
        <v>1</v>
      </c>
      <c r="AD265" s="100">
        <v>0</v>
      </c>
      <c r="AE265" s="100">
        <v>0</v>
      </c>
      <c r="AF265" s="100">
        <v>1</v>
      </c>
      <c r="AG265" s="100">
        <v>0</v>
      </c>
      <c r="AH265" s="100">
        <v>0</v>
      </c>
      <c r="AI265" s="100">
        <v>1</v>
      </c>
      <c r="AJ265" s="100">
        <v>0</v>
      </c>
      <c r="AK265" s="100">
        <v>0</v>
      </c>
      <c r="AL265" s="100">
        <v>0</v>
      </c>
      <c r="AM265" s="100">
        <v>0</v>
      </c>
      <c r="AN265" s="100">
        <v>0</v>
      </c>
      <c r="AO265" s="100">
        <v>0</v>
      </c>
      <c r="AP265" s="100">
        <v>0</v>
      </c>
      <c r="AQ265" s="100">
        <v>0</v>
      </c>
      <c r="AR265" s="100">
        <v>0</v>
      </c>
      <c r="AS265" s="100">
        <v>0</v>
      </c>
      <c r="AT265" s="100">
        <v>0</v>
      </c>
      <c r="AU265" s="100">
        <v>0</v>
      </c>
      <c r="AV265" s="100">
        <v>1</v>
      </c>
      <c r="AW265" s="100">
        <v>0</v>
      </c>
      <c r="AX265" s="100">
        <v>0</v>
      </c>
      <c r="AY265" s="100">
        <v>0</v>
      </c>
      <c r="AZ265" s="100">
        <v>0</v>
      </c>
      <c r="BA265" s="100">
        <v>0</v>
      </c>
      <c r="BB265" s="100">
        <v>0</v>
      </c>
      <c r="BC265" s="100">
        <v>0</v>
      </c>
      <c r="BD265" s="100">
        <v>0</v>
      </c>
      <c r="BE265" s="100">
        <v>0</v>
      </c>
      <c r="BF265" s="100">
        <v>0</v>
      </c>
      <c r="BG265" s="100">
        <v>0</v>
      </c>
      <c r="BH265" s="100">
        <v>0</v>
      </c>
      <c r="BI265" s="100">
        <v>0</v>
      </c>
      <c r="BJ265" s="100">
        <v>1</v>
      </c>
      <c r="BK265" s="100">
        <v>0</v>
      </c>
      <c r="BL265" s="100">
        <v>0</v>
      </c>
      <c r="BM265" s="100">
        <v>0</v>
      </c>
      <c r="BN265" s="100">
        <v>0</v>
      </c>
      <c r="BO265" s="100">
        <v>0</v>
      </c>
      <c r="BP265" s="100">
        <v>0</v>
      </c>
      <c r="BQ265" s="100">
        <v>0</v>
      </c>
      <c r="BR265" s="100">
        <v>0</v>
      </c>
      <c r="BS265" s="100">
        <v>0</v>
      </c>
      <c r="BT265" s="100">
        <v>0</v>
      </c>
      <c r="BU265" s="100">
        <v>0</v>
      </c>
      <c r="BV265" s="100">
        <v>0</v>
      </c>
      <c r="BW265" s="100">
        <v>0</v>
      </c>
      <c r="BX265" s="100">
        <v>1</v>
      </c>
      <c r="BY265" s="100">
        <v>0</v>
      </c>
      <c r="BZ265" s="100">
        <v>0</v>
      </c>
      <c r="CA265" s="100">
        <v>0</v>
      </c>
      <c r="CB265" s="100" t="s">
        <v>2090</v>
      </c>
      <c r="CC265" s="100">
        <v>0</v>
      </c>
      <c r="CD265" s="100">
        <v>1</v>
      </c>
      <c r="CE265" s="100">
        <v>0</v>
      </c>
      <c r="CF265" s="100">
        <v>0</v>
      </c>
      <c r="CG265" s="103">
        <v>418022.01406000002</v>
      </c>
      <c r="CH265" s="103">
        <v>24.66</v>
      </c>
      <c r="CI265" s="103">
        <v>3311370.8124500001</v>
      </c>
      <c r="CJ265" s="103">
        <v>43.36</v>
      </c>
      <c r="CK265" s="103">
        <f t="shared" si="16"/>
        <v>1069.2575999999999</v>
      </c>
      <c r="CL265" s="103">
        <v>624476.6</v>
      </c>
      <c r="CM265" s="103">
        <v>742820.7</v>
      </c>
      <c r="CN265" s="104">
        <v>0.84068281888213403</v>
      </c>
      <c r="CO265" s="103">
        <v>509599.38543999998</v>
      </c>
      <c r="CP265" s="103">
        <v>30.92</v>
      </c>
      <c r="CQ265" s="103">
        <v>3512916.2663599998</v>
      </c>
      <c r="CR265" s="103">
        <v>50.77</v>
      </c>
      <c r="CS265" s="103">
        <f t="shared" si="17"/>
        <v>1569.8084000000001</v>
      </c>
      <c r="CT265" s="103">
        <v>656093.6</v>
      </c>
      <c r="CU265" s="103">
        <v>636595.69999999995</v>
      </c>
      <c r="CV265" s="104">
        <v>1.030628387844907</v>
      </c>
      <c r="CW265" s="103">
        <v>1169465.6183</v>
      </c>
      <c r="CX265" s="103">
        <v>73.41</v>
      </c>
      <c r="CY265" s="103">
        <v>4548125.0201899996</v>
      </c>
      <c r="CZ265" s="103">
        <v>78.03435966086569</v>
      </c>
      <c r="DA265" s="103">
        <f t="shared" si="18"/>
        <v>5728.5023427041497</v>
      </c>
      <c r="DB265" s="103">
        <v>995240</v>
      </c>
      <c r="DC265" s="103">
        <v>675267.8</v>
      </c>
      <c r="DD265" s="104">
        <v>1.4738448953141257</v>
      </c>
      <c r="DE265" s="103">
        <v>856472.69794999994</v>
      </c>
      <c r="DF265" s="103">
        <v>43.17</v>
      </c>
      <c r="DG265" s="103">
        <v>4314269.2467099996</v>
      </c>
      <c r="DH265" s="103">
        <v>36.22</v>
      </c>
      <c r="DI265" s="103">
        <f t="shared" si="19"/>
        <v>1563.6174000000001</v>
      </c>
      <c r="DJ265" s="103">
        <v>754795.2</v>
      </c>
      <c r="DK265" s="103">
        <v>625374.19999999995</v>
      </c>
      <c r="DL265" s="104">
        <v>1.2069496950785625</v>
      </c>
    </row>
    <row r="266" spans="1:116" s="15" customFormat="1" ht="114.95" customHeight="1" x14ac:dyDescent="0.25">
      <c r="A266" s="100" t="s">
        <v>351</v>
      </c>
      <c r="B266" s="100" t="s">
        <v>2636</v>
      </c>
      <c r="C266" s="100" t="s">
        <v>279</v>
      </c>
      <c r="D266" s="101" t="str">
        <f>"Chemistry 67"</f>
        <v>Chemistry 67</v>
      </c>
      <c r="E266" s="102" t="s">
        <v>2637</v>
      </c>
      <c r="F266" s="100">
        <v>5</v>
      </c>
      <c r="G266" s="100">
        <v>5</v>
      </c>
      <c r="H266" s="100">
        <v>1</v>
      </c>
      <c r="I266" s="100">
        <v>7</v>
      </c>
      <c r="J266" s="100">
        <v>2</v>
      </c>
      <c r="K266" s="100">
        <v>2</v>
      </c>
      <c r="L266" s="100">
        <v>2</v>
      </c>
      <c r="M266" s="100">
        <v>0</v>
      </c>
      <c r="N266" s="100">
        <v>2</v>
      </c>
      <c r="O266" s="100">
        <v>1</v>
      </c>
      <c r="P266" s="100">
        <v>-0.24</v>
      </c>
      <c r="Q266" s="100">
        <v>15.27</v>
      </c>
      <c r="R266" s="100">
        <v>0</v>
      </c>
      <c r="S266" s="100">
        <v>0</v>
      </c>
      <c r="T266" s="100">
        <v>0</v>
      </c>
      <c r="U266" s="100">
        <v>1</v>
      </c>
      <c r="V266" s="100">
        <v>0</v>
      </c>
      <c r="W266" s="100">
        <v>1</v>
      </c>
      <c r="X266" s="100">
        <v>0</v>
      </c>
      <c r="Y266" s="100">
        <v>0</v>
      </c>
      <c r="Z266" s="100">
        <v>1</v>
      </c>
      <c r="AA266" s="100">
        <v>0</v>
      </c>
      <c r="AB266" s="100">
        <v>0</v>
      </c>
      <c r="AC266" s="100">
        <v>1</v>
      </c>
      <c r="AD266" s="100">
        <v>0</v>
      </c>
      <c r="AE266" s="100">
        <v>1</v>
      </c>
      <c r="AF266" s="100">
        <v>0</v>
      </c>
      <c r="AG266" s="100">
        <v>0</v>
      </c>
      <c r="AH266" s="100">
        <v>1</v>
      </c>
      <c r="AI266" s="100">
        <v>0</v>
      </c>
      <c r="AJ266" s="100">
        <v>0</v>
      </c>
      <c r="AK266" s="100">
        <v>0</v>
      </c>
      <c r="AL266" s="100">
        <v>0</v>
      </c>
      <c r="AM266" s="100">
        <v>0</v>
      </c>
      <c r="AN266" s="100">
        <v>0</v>
      </c>
      <c r="AO266" s="100">
        <v>0</v>
      </c>
      <c r="AP266" s="100">
        <v>0</v>
      </c>
      <c r="AQ266" s="100">
        <v>0</v>
      </c>
      <c r="AR266" s="100">
        <v>0</v>
      </c>
      <c r="AS266" s="100">
        <v>0</v>
      </c>
      <c r="AT266" s="100">
        <v>0</v>
      </c>
      <c r="AU266" s="100">
        <v>0</v>
      </c>
      <c r="AV266" s="100">
        <v>0</v>
      </c>
      <c r="AW266" s="100">
        <v>0</v>
      </c>
      <c r="AX266" s="100">
        <v>0</v>
      </c>
      <c r="AY266" s="100">
        <v>0</v>
      </c>
      <c r="AZ266" s="100">
        <v>0</v>
      </c>
      <c r="BA266" s="100">
        <v>0</v>
      </c>
      <c r="BB266" s="100">
        <v>0</v>
      </c>
      <c r="BC266" s="100">
        <v>0</v>
      </c>
      <c r="BD266" s="100">
        <v>0</v>
      </c>
      <c r="BE266" s="100">
        <v>0</v>
      </c>
      <c r="BF266" s="100">
        <v>0</v>
      </c>
      <c r="BG266" s="100">
        <v>0</v>
      </c>
      <c r="BH266" s="100">
        <v>1</v>
      </c>
      <c r="BI266" s="100">
        <v>0</v>
      </c>
      <c r="BJ266" s="100">
        <v>1</v>
      </c>
      <c r="BK266" s="100">
        <v>0</v>
      </c>
      <c r="BL266" s="100">
        <v>0</v>
      </c>
      <c r="BM266" s="100">
        <v>0</v>
      </c>
      <c r="BN266" s="100">
        <v>0</v>
      </c>
      <c r="BO266" s="100">
        <v>0</v>
      </c>
      <c r="BP266" s="100">
        <v>0</v>
      </c>
      <c r="BQ266" s="100">
        <v>0</v>
      </c>
      <c r="BR266" s="100">
        <v>0</v>
      </c>
      <c r="BS266" s="100">
        <v>0</v>
      </c>
      <c r="BT266" s="100">
        <v>0</v>
      </c>
      <c r="BU266" s="100">
        <v>0</v>
      </c>
      <c r="BV266" s="100">
        <v>0</v>
      </c>
      <c r="BW266" s="100">
        <v>0</v>
      </c>
      <c r="BX266" s="100">
        <v>1</v>
      </c>
      <c r="BY266" s="100">
        <v>0</v>
      </c>
      <c r="BZ266" s="100">
        <v>0</v>
      </c>
      <c r="CA266" s="100">
        <v>0</v>
      </c>
      <c r="CB266" s="100" t="s">
        <v>2090</v>
      </c>
      <c r="CC266" s="100">
        <v>1</v>
      </c>
      <c r="CD266" s="100">
        <v>0</v>
      </c>
      <c r="CE266" s="100">
        <v>0</v>
      </c>
      <c r="CF266" s="100">
        <v>0</v>
      </c>
      <c r="CG266" s="103">
        <v>636470.74175000004</v>
      </c>
      <c r="CH266" s="103">
        <v>35.700000000000003</v>
      </c>
      <c r="CI266" s="103">
        <v>3167632.7975499998</v>
      </c>
      <c r="CJ266" s="103">
        <v>45.62</v>
      </c>
      <c r="CK266" s="103">
        <f t="shared" si="16"/>
        <v>1628.634</v>
      </c>
      <c r="CL266" s="103">
        <v>244557.2</v>
      </c>
      <c r="CM266" s="103">
        <v>543389.19999999995</v>
      </c>
      <c r="CN266" s="104">
        <v>0.45005900006845928</v>
      </c>
      <c r="CO266" s="103">
        <v>88203.254650000003</v>
      </c>
      <c r="CP266" s="103">
        <v>5.29</v>
      </c>
      <c r="CQ266" s="103">
        <v>921553.26954000001</v>
      </c>
      <c r="CR266" s="103">
        <v>22.46</v>
      </c>
      <c r="CS266" s="103">
        <f t="shared" si="17"/>
        <v>118.8134</v>
      </c>
      <c r="CT266" s="103">
        <v>191642.6</v>
      </c>
      <c r="CU266" s="103">
        <v>808804.2</v>
      </c>
      <c r="CV266" s="104">
        <v>0.23694560438731652</v>
      </c>
      <c r="CW266" s="103">
        <v>906658.17090000003</v>
      </c>
      <c r="CX266" s="103">
        <v>60.55</v>
      </c>
      <c r="CY266" s="103">
        <v>4648550.0578899998</v>
      </c>
      <c r="CZ266" s="103">
        <v>70.383495760030371</v>
      </c>
      <c r="DA266" s="103">
        <f t="shared" si="18"/>
        <v>4261.7206682698388</v>
      </c>
      <c r="DB266" s="103">
        <v>190426.4</v>
      </c>
      <c r="DC266" s="103">
        <v>214085.6</v>
      </c>
      <c r="DD266" s="104">
        <v>0.88948719577589519</v>
      </c>
      <c r="DE266" s="103">
        <v>154111.43398999999</v>
      </c>
      <c r="DF266" s="103">
        <v>10.08</v>
      </c>
      <c r="DG266" s="103">
        <v>1359955.2332200001</v>
      </c>
      <c r="DH266" s="103">
        <v>27.26</v>
      </c>
      <c r="DI266" s="103">
        <f t="shared" si="19"/>
        <v>274.7808</v>
      </c>
      <c r="DJ266" s="103">
        <v>153749</v>
      </c>
      <c r="DK266" s="103">
        <v>791384.4</v>
      </c>
      <c r="DL266" s="104">
        <v>0.19427853265745446</v>
      </c>
    </row>
    <row r="267" spans="1:116" s="15" customFormat="1" ht="244.7" customHeight="1" x14ac:dyDescent="0.25">
      <c r="A267" s="100" t="s">
        <v>352</v>
      </c>
      <c r="B267" s="100" t="s">
        <v>2638</v>
      </c>
      <c r="C267" s="100" t="s">
        <v>279</v>
      </c>
      <c r="D267" s="101" t="str">
        <f>"Chemistry 102"</f>
        <v>Chemistry 102</v>
      </c>
      <c r="E267" s="102" t="s">
        <v>2639</v>
      </c>
      <c r="F267" s="100">
        <v>9</v>
      </c>
      <c r="G267" s="100">
        <v>8</v>
      </c>
      <c r="H267" s="100">
        <v>0.89</v>
      </c>
      <c r="I267" s="100">
        <v>13</v>
      </c>
      <c r="J267" s="100">
        <v>4</v>
      </c>
      <c r="K267" s="100">
        <v>4</v>
      </c>
      <c r="L267" s="100">
        <v>3</v>
      </c>
      <c r="M267" s="100">
        <v>0</v>
      </c>
      <c r="N267" s="100">
        <v>3</v>
      </c>
      <c r="O267" s="100">
        <v>2</v>
      </c>
      <c r="P267" s="100">
        <v>-0.13</v>
      </c>
      <c r="Q267" s="100">
        <v>44.37</v>
      </c>
      <c r="R267" s="100">
        <v>3</v>
      </c>
      <c r="S267" s="100">
        <v>0</v>
      </c>
      <c r="T267" s="100">
        <v>0</v>
      </c>
      <c r="U267" s="100">
        <v>1</v>
      </c>
      <c r="V267" s="100">
        <v>0</v>
      </c>
      <c r="W267" s="100">
        <v>1</v>
      </c>
      <c r="X267" s="100">
        <v>0</v>
      </c>
      <c r="Y267" s="100">
        <v>1</v>
      </c>
      <c r="Z267" s="100">
        <v>0</v>
      </c>
      <c r="AA267" s="100">
        <v>0</v>
      </c>
      <c r="AB267" s="100">
        <v>0</v>
      </c>
      <c r="AC267" s="100">
        <v>1</v>
      </c>
      <c r="AD267" s="100">
        <v>0</v>
      </c>
      <c r="AE267" s="100">
        <v>1</v>
      </c>
      <c r="AF267" s="100">
        <v>0</v>
      </c>
      <c r="AG267" s="100">
        <v>0</v>
      </c>
      <c r="AH267" s="100">
        <v>0</v>
      </c>
      <c r="AI267" s="100">
        <v>1</v>
      </c>
      <c r="AJ267" s="100">
        <v>0</v>
      </c>
      <c r="AK267" s="100">
        <v>0</v>
      </c>
      <c r="AL267" s="100">
        <v>0</v>
      </c>
      <c r="AM267" s="100">
        <v>0</v>
      </c>
      <c r="AN267" s="100">
        <v>0</v>
      </c>
      <c r="AO267" s="100">
        <v>0</v>
      </c>
      <c r="AP267" s="100">
        <v>0</v>
      </c>
      <c r="AQ267" s="100">
        <v>0</v>
      </c>
      <c r="AR267" s="100">
        <v>0</v>
      </c>
      <c r="AS267" s="100">
        <v>0</v>
      </c>
      <c r="AT267" s="100">
        <v>1</v>
      </c>
      <c r="AU267" s="100">
        <v>0</v>
      </c>
      <c r="AV267" s="100">
        <v>0</v>
      </c>
      <c r="AW267" s="100">
        <v>0</v>
      </c>
      <c r="AX267" s="100">
        <v>0</v>
      </c>
      <c r="AY267" s="100">
        <v>0</v>
      </c>
      <c r="AZ267" s="100">
        <v>0</v>
      </c>
      <c r="BA267" s="100">
        <v>0</v>
      </c>
      <c r="BB267" s="100">
        <v>0</v>
      </c>
      <c r="BC267" s="100">
        <v>0</v>
      </c>
      <c r="BD267" s="100">
        <v>0</v>
      </c>
      <c r="BE267" s="100">
        <v>0</v>
      </c>
      <c r="BF267" s="100">
        <v>0</v>
      </c>
      <c r="BG267" s="100">
        <v>0</v>
      </c>
      <c r="BH267" s="100">
        <v>1</v>
      </c>
      <c r="BI267" s="100">
        <v>0</v>
      </c>
      <c r="BJ267" s="100">
        <v>2</v>
      </c>
      <c r="BK267" s="100">
        <v>0</v>
      </c>
      <c r="BL267" s="100">
        <v>1</v>
      </c>
      <c r="BM267" s="100">
        <v>0</v>
      </c>
      <c r="BN267" s="100">
        <v>0</v>
      </c>
      <c r="BO267" s="100">
        <v>0</v>
      </c>
      <c r="BP267" s="100">
        <v>0</v>
      </c>
      <c r="BQ267" s="100">
        <v>0</v>
      </c>
      <c r="BR267" s="100">
        <v>0</v>
      </c>
      <c r="BS267" s="100">
        <v>0</v>
      </c>
      <c r="BT267" s="100">
        <v>0</v>
      </c>
      <c r="BU267" s="100">
        <v>0</v>
      </c>
      <c r="BV267" s="100">
        <v>0</v>
      </c>
      <c r="BW267" s="100">
        <v>0</v>
      </c>
      <c r="BX267" s="100">
        <v>1</v>
      </c>
      <c r="BY267" s="100">
        <v>0</v>
      </c>
      <c r="BZ267" s="100">
        <v>0</v>
      </c>
      <c r="CA267" s="100">
        <v>0</v>
      </c>
      <c r="CB267" s="100" t="s">
        <v>2090</v>
      </c>
      <c r="CC267" s="100">
        <v>1</v>
      </c>
      <c r="CD267" s="100">
        <v>0</v>
      </c>
      <c r="CE267" s="100">
        <v>0</v>
      </c>
      <c r="CF267" s="100">
        <v>0</v>
      </c>
      <c r="CG267" s="103">
        <v>513194.64042000001</v>
      </c>
      <c r="CH267" s="103">
        <v>29.84</v>
      </c>
      <c r="CI267" s="103">
        <v>3502466.3868499999</v>
      </c>
      <c r="CJ267" s="103">
        <v>46.92</v>
      </c>
      <c r="CK267" s="103">
        <f t="shared" si="16"/>
        <v>1400.0928000000001</v>
      </c>
      <c r="CL267" s="103">
        <v>11169.7</v>
      </c>
      <c r="CM267" s="103">
        <v>30768.1</v>
      </c>
      <c r="CN267" s="104">
        <v>0.36302859130073034</v>
      </c>
      <c r="CO267" s="103">
        <v>274069.61949999997</v>
      </c>
      <c r="CP267" s="103">
        <v>16.09</v>
      </c>
      <c r="CQ267" s="103">
        <v>2727219.9133299999</v>
      </c>
      <c r="CR267" s="103">
        <v>38.42</v>
      </c>
      <c r="CS267" s="103">
        <f t="shared" si="17"/>
        <v>618.17780000000005</v>
      </c>
      <c r="CT267" s="103">
        <v>220916</v>
      </c>
      <c r="CU267" s="103">
        <v>518663.8</v>
      </c>
      <c r="CV267" s="104">
        <v>0.42593294538774445</v>
      </c>
      <c r="CW267" s="103">
        <v>1066279.4304899999</v>
      </c>
      <c r="CX267" s="103">
        <v>66.989999999999995</v>
      </c>
      <c r="CY267" s="103">
        <v>4970709.4432800002</v>
      </c>
      <c r="CZ267" s="103">
        <v>70.543615676359039</v>
      </c>
      <c r="DA267" s="103">
        <f t="shared" si="18"/>
        <v>4725.716814159292</v>
      </c>
      <c r="DB267" s="103">
        <v>262809.2</v>
      </c>
      <c r="DC267" s="103">
        <v>252624.7</v>
      </c>
      <c r="DD267" s="104">
        <v>1.0403147435702051</v>
      </c>
      <c r="DE267" s="103">
        <v>311686.10472</v>
      </c>
      <c r="DF267" s="103">
        <v>19.420000000000002</v>
      </c>
      <c r="DG267" s="103">
        <v>2522666.3686799998</v>
      </c>
      <c r="DH267" s="103">
        <v>30.15</v>
      </c>
      <c r="DI267" s="103">
        <f t="shared" si="19"/>
        <v>585.51300000000003</v>
      </c>
      <c r="DJ267" s="103">
        <v>108118.1</v>
      </c>
      <c r="DK267" s="103">
        <v>398945.2</v>
      </c>
      <c r="DL267" s="104">
        <v>0.27100990311451295</v>
      </c>
    </row>
    <row r="268" spans="1:116" s="15" customFormat="1" ht="112.7" customHeight="1" x14ac:dyDescent="0.25">
      <c r="A268" s="100" t="s">
        <v>353</v>
      </c>
      <c r="B268" s="100" t="s">
        <v>2640</v>
      </c>
      <c r="C268" s="100" t="s">
        <v>279</v>
      </c>
      <c r="D268" s="101" t="str">
        <f>"Chemistry 7"</f>
        <v>Chemistry 7</v>
      </c>
      <c r="E268" s="102" t="s">
        <v>2641</v>
      </c>
      <c r="F268" s="100">
        <v>4</v>
      </c>
      <c r="G268" s="100">
        <v>4</v>
      </c>
      <c r="H268" s="100">
        <v>1</v>
      </c>
      <c r="I268" s="100">
        <v>6</v>
      </c>
      <c r="J268" s="100">
        <v>2</v>
      </c>
      <c r="K268" s="100">
        <v>2</v>
      </c>
      <c r="L268" s="100">
        <v>1</v>
      </c>
      <c r="M268" s="100">
        <v>0</v>
      </c>
      <c r="N268" s="100">
        <v>2</v>
      </c>
      <c r="O268" s="100">
        <v>1</v>
      </c>
      <c r="P268" s="100">
        <v>0.39</v>
      </c>
      <c r="Q268" s="100">
        <v>12.03</v>
      </c>
      <c r="R268" s="100">
        <v>0</v>
      </c>
      <c r="S268" s="100">
        <v>0</v>
      </c>
      <c r="T268" s="100">
        <v>0</v>
      </c>
      <c r="U268" s="100">
        <v>1</v>
      </c>
      <c r="V268" s="100">
        <v>0</v>
      </c>
      <c r="W268" s="100">
        <v>0</v>
      </c>
      <c r="X268" s="100">
        <v>1</v>
      </c>
      <c r="Y268" s="100">
        <v>0</v>
      </c>
      <c r="Z268" s="100">
        <v>1</v>
      </c>
      <c r="AA268" s="100">
        <v>0</v>
      </c>
      <c r="AB268" s="100">
        <v>0</v>
      </c>
      <c r="AC268" s="100">
        <v>1</v>
      </c>
      <c r="AD268" s="100">
        <v>0</v>
      </c>
      <c r="AE268" s="100">
        <v>0</v>
      </c>
      <c r="AF268" s="100">
        <v>1</v>
      </c>
      <c r="AG268" s="100">
        <v>0</v>
      </c>
      <c r="AH268" s="100">
        <v>1</v>
      </c>
      <c r="AI268" s="100">
        <v>0</v>
      </c>
      <c r="AJ268" s="100">
        <v>0</v>
      </c>
      <c r="AK268" s="100">
        <v>0</v>
      </c>
      <c r="AL268" s="100">
        <v>0</v>
      </c>
      <c r="AM268" s="100">
        <v>0</v>
      </c>
      <c r="AN268" s="100">
        <v>0</v>
      </c>
      <c r="AO268" s="100">
        <v>0</v>
      </c>
      <c r="AP268" s="100">
        <v>0</v>
      </c>
      <c r="AQ268" s="100">
        <v>0</v>
      </c>
      <c r="AR268" s="100">
        <v>0</v>
      </c>
      <c r="AS268" s="100">
        <v>0</v>
      </c>
      <c r="AT268" s="100">
        <v>0</v>
      </c>
      <c r="AU268" s="100">
        <v>0</v>
      </c>
      <c r="AV268" s="100">
        <v>0</v>
      </c>
      <c r="AW268" s="100">
        <v>0</v>
      </c>
      <c r="AX268" s="100">
        <v>0</v>
      </c>
      <c r="AY268" s="100">
        <v>0</v>
      </c>
      <c r="AZ268" s="100">
        <v>0</v>
      </c>
      <c r="BA268" s="100">
        <v>0</v>
      </c>
      <c r="BB268" s="100">
        <v>0</v>
      </c>
      <c r="BC268" s="100">
        <v>0</v>
      </c>
      <c r="BD268" s="100">
        <v>0</v>
      </c>
      <c r="BE268" s="100">
        <v>1</v>
      </c>
      <c r="BF268" s="100">
        <v>0</v>
      </c>
      <c r="BG268" s="100">
        <v>0</v>
      </c>
      <c r="BH268" s="100">
        <v>0</v>
      </c>
      <c r="BI268" s="100">
        <v>0</v>
      </c>
      <c r="BJ268" s="100">
        <v>1</v>
      </c>
      <c r="BK268" s="100">
        <v>0</v>
      </c>
      <c r="BL268" s="100">
        <v>0</v>
      </c>
      <c r="BM268" s="100">
        <v>0</v>
      </c>
      <c r="BN268" s="100">
        <v>0</v>
      </c>
      <c r="BO268" s="100">
        <v>0</v>
      </c>
      <c r="BP268" s="100">
        <v>0</v>
      </c>
      <c r="BQ268" s="100">
        <v>0</v>
      </c>
      <c r="BR268" s="100">
        <v>0</v>
      </c>
      <c r="BS268" s="100">
        <v>0</v>
      </c>
      <c r="BT268" s="100">
        <v>0</v>
      </c>
      <c r="BU268" s="100">
        <v>0</v>
      </c>
      <c r="BV268" s="100">
        <v>0</v>
      </c>
      <c r="BW268" s="100">
        <v>0</v>
      </c>
      <c r="BX268" s="100">
        <v>0</v>
      </c>
      <c r="BY268" s="100">
        <v>1</v>
      </c>
      <c r="BZ268" s="100">
        <v>0</v>
      </c>
      <c r="CA268" s="100">
        <v>0</v>
      </c>
      <c r="CB268" s="100" t="s">
        <v>2090</v>
      </c>
      <c r="CC268" s="100">
        <v>0</v>
      </c>
      <c r="CD268" s="100">
        <v>0</v>
      </c>
      <c r="CE268" s="100">
        <v>0</v>
      </c>
      <c r="CF268" s="100">
        <v>0</v>
      </c>
      <c r="CG268" s="103">
        <v>360573.99956000003</v>
      </c>
      <c r="CH268" s="103">
        <v>22.55</v>
      </c>
      <c r="CI268" s="103">
        <v>3379318.9423799999</v>
      </c>
      <c r="CJ268" s="103">
        <v>42.32</v>
      </c>
      <c r="CK268" s="103">
        <f t="shared" si="16"/>
        <v>954.31600000000003</v>
      </c>
      <c r="CL268" s="103">
        <v>495500</v>
      </c>
      <c r="CM268" s="103">
        <v>789220.2</v>
      </c>
      <c r="CN268" s="104">
        <v>0.62783491856898754</v>
      </c>
      <c r="CO268" s="103">
        <v>37429.649409999998</v>
      </c>
      <c r="CP268" s="103">
        <v>2.36</v>
      </c>
      <c r="CQ268" s="103">
        <v>1159326.0635500001</v>
      </c>
      <c r="CR268" s="103">
        <v>23.63</v>
      </c>
      <c r="CS268" s="103">
        <f t="shared" si="17"/>
        <v>55.766799999999996</v>
      </c>
      <c r="CT268" s="103">
        <v>197234.9</v>
      </c>
      <c r="CU268" s="103">
        <v>951687.1</v>
      </c>
      <c r="CV268" s="104">
        <v>0.20724763422767839</v>
      </c>
      <c r="CW268" s="103">
        <v>977561.13467000006</v>
      </c>
      <c r="CX268" s="103">
        <v>61.43</v>
      </c>
      <c r="CY268" s="103">
        <v>4504608.2228399999</v>
      </c>
      <c r="CZ268" s="103">
        <v>71.206137876565492</v>
      </c>
      <c r="DA268" s="103">
        <f t="shared" si="18"/>
        <v>4374.1930497574185</v>
      </c>
      <c r="DB268" s="103">
        <v>1032281</v>
      </c>
      <c r="DC268" s="103">
        <v>971976.7</v>
      </c>
      <c r="DD268" s="104">
        <v>1.06204294814886</v>
      </c>
      <c r="DE268" s="103">
        <v>254971.39769000001</v>
      </c>
      <c r="DF268" s="103">
        <v>17.239999999999998</v>
      </c>
      <c r="DG268" s="103">
        <v>2972763.6987100001</v>
      </c>
      <c r="DH268" s="103">
        <v>32.119999999999997</v>
      </c>
      <c r="DI268" s="103">
        <f t="shared" si="19"/>
        <v>553.74879999999996</v>
      </c>
      <c r="DJ268" s="103">
        <v>441968.2</v>
      </c>
      <c r="DK268" s="103">
        <v>738064.1</v>
      </c>
      <c r="DL268" s="104">
        <v>0.59882088832121771</v>
      </c>
    </row>
    <row r="269" spans="1:116" s="15" customFormat="1" ht="114.95" customHeight="1" x14ac:dyDescent="0.25">
      <c r="A269" s="100" t="s">
        <v>354</v>
      </c>
      <c r="B269" s="100" t="s">
        <v>2642</v>
      </c>
      <c r="C269" s="100" t="s">
        <v>279</v>
      </c>
      <c r="D269" s="101" t="str">
        <f>"Chemistry 168"</f>
        <v>Chemistry 168</v>
      </c>
      <c r="E269" s="102" t="s">
        <v>2643</v>
      </c>
      <c r="F269" s="100">
        <v>7</v>
      </c>
      <c r="G269" s="100">
        <v>7</v>
      </c>
      <c r="H269" s="100">
        <v>1</v>
      </c>
      <c r="I269" s="100">
        <v>10</v>
      </c>
      <c r="J269" s="100">
        <v>3</v>
      </c>
      <c r="K269" s="100">
        <v>3</v>
      </c>
      <c r="L269" s="100">
        <v>1</v>
      </c>
      <c r="M269" s="100">
        <v>0</v>
      </c>
      <c r="N269" s="100">
        <v>3</v>
      </c>
      <c r="O269" s="100">
        <v>1</v>
      </c>
      <c r="P269" s="100">
        <v>-0.53</v>
      </c>
      <c r="Q269" s="100">
        <v>30.49</v>
      </c>
      <c r="R269" s="100">
        <v>0</v>
      </c>
      <c r="S269" s="100">
        <v>0</v>
      </c>
      <c r="T269" s="100">
        <v>0</v>
      </c>
      <c r="U269" s="100">
        <v>1</v>
      </c>
      <c r="V269" s="100">
        <v>0</v>
      </c>
      <c r="W269" s="100">
        <v>0</v>
      </c>
      <c r="X269" s="100">
        <v>1</v>
      </c>
      <c r="Y269" s="100">
        <v>0</v>
      </c>
      <c r="Z269" s="100">
        <v>1</v>
      </c>
      <c r="AA269" s="100">
        <v>0</v>
      </c>
      <c r="AB269" s="100">
        <v>0</v>
      </c>
      <c r="AC269" s="100">
        <v>1</v>
      </c>
      <c r="AD269" s="100">
        <v>0</v>
      </c>
      <c r="AE269" s="100">
        <v>1</v>
      </c>
      <c r="AF269" s="100">
        <v>0</v>
      </c>
      <c r="AG269" s="100">
        <v>0</v>
      </c>
      <c r="AH269" s="100">
        <v>0</v>
      </c>
      <c r="AI269" s="100">
        <v>1</v>
      </c>
      <c r="AJ269" s="100">
        <v>0</v>
      </c>
      <c r="AK269" s="100">
        <v>0</v>
      </c>
      <c r="AL269" s="100">
        <v>0</v>
      </c>
      <c r="AM269" s="100">
        <v>0</v>
      </c>
      <c r="AN269" s="100">
        <v>0</v>
      </c>
      <c r="AO269" s="100">
        <v>0</v>
      </c>
      <c r="AP269" s="100">
        <v>0</v>
      </c>
      <c r="AQ269" s="100">
        <v>0</v>
      </c>
      <c r="AR269" s="100">
        <v>0</v>
      </c>
      <c r="AS269" s="100">
        <v>0</v>
      </c>
      <c r="AT269" s="100">
        <v>0</v>
      </c>
      <c r="AU269" s="100">
        <v>0</v>
      </c>
      <c r="AV269" s="100">
        <v>0</v>
      </c>
      <c r="AW269" s="100">
        <v>0</v>
      </c>
      <c r="AX269" s="100">
        <v>0</v>
      </c>
      <c r="AY269" s="100">
        <v>0</v>
      </c>
      <c r="AZ269" s="100">
        <v>0</v>
      </c>
      <c r="BA269" s="100">
        <v>0</v>
      </c>
      <c r="BB269" s="100">
        <v>0</v>
      </c>
      <c r="BC269" s="100">
        <v>0</v>
      </c>
      <c r="BD269" s="100">
        <v>0</v>
      </c>
      <c r="BE269" s="100">
        <v>0</v>
      </c>
      <c r="BF269" s="100">
        <v>0</v>
      </c>
      <c r="BG269" s="100">
        <v>0</v>
      </c>
      <c r="BH269" s="100">
        <v>0</v>
      </c>
      <c r="BI269" s="100">
        <v>0</v>
      </c>
      <c r="BJ269" s="100">
        <v>0</v>
      </c>
      <c r="BK269" s="100">
        <v>0</v>
      </c>
      <c r="BL269" s="100">
        <v>0</v>
      </c>
      <c r="BM269" s="100">
        <v>0</v>
      </c>
      <c r="BN269" s="100">
        <v>0</v>
      </c>
      <c r="BO269" s="100">
        <v>0</v>
      </c>
      <c r="BP269" s="100">
        <v>0</v>
      </c>
      <c r="BQ269" s="100">
        <v>0</v>
      </c>
      <c r="BR269" s="100">
        <v>0</v>
      </c>
      <c r="BS269" s="100">
        <v>0</v>
      </c>
      <c r="BT269" s="100">
        <v>0</v>
      </c>
      <c r="BU269" s="100">
        <v>0</v>
      </c>
      <c r="BV269" s="100">
        <v>0</v>
      </c>
      <c r="BW269" s="100">
        <v>1</v>
      </c>
      <c r="BX269" s="100">
        <v>0</v>
      </c>
      <c r="BY269" s="100">
        <v>0</v>
      </c>
      <c r="BZ269" s="100">
        <v>0</v>
      </c>
      <c r="CA269" s="100">
        <v>1</v>
      </c>
      <c r="CB269" s="100" t="s">
        <v>2090</v>
      </c>
      <c r="CC269" s="100">
        <v>0</v>
      </c>
      <c r="CD269" s="100">
        <v>0</v>
      </c>
      <c r="CE269" s="100">
        <v>0</v>
      </c>
      <c r="CF269" s="100">
        <v>0</v>
      </c>
      <c r="CG269" s="103">
        <v>43049.453419999998</v>
      </c>
      <c r="CH269" s="103">
        <v>2.63</v>
      </c>
      <c r="CI269" s="103">
        <v>1783481.1971199999</v>
      </c>
      <c r="CJ269" s="103">
        <v>23.79</v>
      </c>
      <c r="CK269" s="103">
        <f t="shared" si="16"/>
        <v>62.567699999999995</v>
      </c>
      <c r="CL269" s="103">
        <v>662694.5</v>
      </c>
      <c r="CM269" s="103">
        <v>1066270</v>
      </c>
      <c r="CN269" s="104">
        <v>0.62150721674622755</v>
      </c>
      <c r="CO269" s="103">
        <v>117244.50741000001</v>
      </c>
      <c r="CP269" s="103">
        <v>7.07</v>
      </c>
      <c r="CQ269" s="103">
        <v>2356061.2072100001</v>
      </c>
      <c r="CR269" s="103">
        <v>25.8</v>
      </c>
      <c r="CS269" s="103">
        <f t="shared" si="17"/>
        <v>182.40600000000001</v>
      </c>
      <c r="CT269" s="103">
        <v>293337</v>
      </c>
      <c r="CU269" s="103">
        <v>485578.2</v>
      </c>
      <c r="CV269" s="104">
        <v>0.60409837179675696</v>
      </c>
      <c r="CW269" s="103">
        <v>772047.59291000001</v>
      </c>
      <c r="CX269" s="103">
        <v>54.92</v>
      </c>
      <c r="CY269" s="103">
        <v>4767489.1376099996</v>
      </c>
      <c r="CZ269" s="103">
        <v>59.780621572212063</v>
      </c>
      <c r="DA269" s="103">
        <f t="shared" si="18"/>
        <v>3283.1517367458864</v>
      </c>
      <c r="DB269" s="103">
        <v>243305.2</v>
      </c>
      <c r="DC269" s="103">
        <v>111940</v>
      </c>
      <c r="DD269" s="104">
        <v>2.1735322494193321</v>
      </c>
      <c r="DE269" s="103">
        <v>281712.19253</v>
      </c>
      <c r="DF269" s="103">
        <v>16.5</v>
      </c>
      <c r="DG269" s="103">
        <v>3113329.0445300001</v>
      </c>
      <c r="DH269" s="103">
        <v>28.49</v>
      </c>
      <c r="DI269" s="103">
        <f t="shared" si="19"/>
        <v>470.08499999999998</v>
      </c>
      <c r="DJ269" s="103">
        <v>114146.2</v>
      </c>
      <c r="DK269" s="103">
        <v>156385.70000000001</v>
      </c>
      <c r="DL269" s="104">
        <v>0.72990177490652908</v>
      </c>
    </row>
    <row r="270" spans="1:116" s="15" customFormat="1" ht="114.95" customHeight="1" x14ac:dyDescent="0.25">
      <c r="A270" s="100" t="s">
        <v>355</v>
      </c>
      <c r="B270" s="100" t="s">
        <v>2644</v>
      </c>
      <c r="C270" s="100" t="s">
        <v>279</v>
      </c>
      <c r="D270" s="101" t="str">
        <f>"Chemistry 115"</f>
        <v>Chemistry 115</v>
      </c>
      <c r="E270" s="102" t="s">
        <v>2645</v>
      </c>
      <c r="F270" s="100">
        <v>6</v>
      </c>
      <c r="G270" s="100">
        <v>6</v>
      </c>
      <c r="H270" s="100">
        <v>1</v>
      </c>
      <c r="I270" s="100">
        <v>7</v>
      </c>
      <c r="J270" s="100">
        <v>1</v>
      </c>
      <c r="K270" s="100">
        <v>1</v>
      </c>
      <c r="L270" s="100">
        <v>1</v>
      </c>
      <c r="M270" s="100">
        <v>0</v>
      </c>
      <c r="N270" s="100">
        <v>1</v>
      </c>
      <c r="O270" s="100">
        <v>1</v>
      </c>
      <c r="P270" s="100">
        <v>1.45</v>
      </c>
      <c r="Q270" s="100">
        <v>12.03</v>
      </c>
      <c r="R270" s="100">
        <v>0</v>
      </c>
      <c r="S270" s="100">
        <v>0</v>
      </c>
      <c r="T270" s="100">
        <v>0</v>
      </c>
      <c r="U270" s="100">
        <v>1</v>
      </c>
      <c r="V270" s="100">
        <v>0</v>
      </c>
      <c r="W270" s="100">
        <v>0</v>
      </c>
      <c r="X270" s="100">
        <v>1</v>
      </c>
      <c r="Y270" s="100">
        <v>0</v>
      </c>
      <c r="Z270" s="100">
        <v>1</v>
      </c>
      <c r="AA270" s="100">
        <v>0</v>
      </c>
      <c r="AB270" s="100">
        <v>0</v>
      </c>
      <c r="AC270" s="100">
        <v>1</v>
      </c>
      <c r="AD270" s="100">
        <v>0</v>
      </c>
      <c r="AE270" s="100">
        <v>0</v>
      </c>
      <c r="AF270" s="100">
        <v>1</v>
      </c>
      <c r="AG270" s="100">
        <v>0</v>
      </c>
      <c r="AH270" s="100">
        <v>1</v>
      </c>
      <c r="AI270" s="100">
        <v>0</v>
      </c>
      <c r="AJ270" s="100">
        <v>0</v>
      </c>
      <c r="AK270" s="100">
        <v>1</v>
      </c>
      <c r="AL270" s="100">
        <v>0</v>
      </c>
      <c r="AM270" s="100">
        <v>1</v>
      </c>
      <c r="AN270" s="100">
        <v>0</v>
      </c>
      <c r="AO270" s="100">
        <v>0</v>
      </c>
      <c r="AP270" s="100">
        <v>0</v>
      </c>
      <c r="AQ270" s="100">
        <v>0</v>
      </c>
      <c r="AR270" s="100">
        <v>0</v>
      </c>
      <c r="AS270" s="100">
        <v>0</v>
      </c>
      <c r="AT270" s="100">
        <v>0</v>
      </c>
      <c r="AU270" s="100">
        <v>0</v>
      </c>
      <c r="AV270" s="100">
        <v>0</v>
      </c>
      <c r="AW270" s="100">
        <v>0</v>
      </c>
      <c r="AX270" s="100">
        <v>0</v>
      </c>
      <c r="AY270" s="100">
        <v>0</v>
      </c>
      <c r="AZ270" s="100">
        <v>0</v>
      </c>
      <c r="BA270" s="100">
        <v>0</v>
      </c>
      <c r="BB270" s="100">
        <v>0</v>
      </c>
      <c r="BC270" s="100">
        <v>0</v>
      </c>
      <c r="BD270" s="100">
        <v>0</v>
      </c>
      <c r="BE270" s="100">
        <v>0</v>
      </c>
      <c r="BF270" s="100">
        <v>0</v>
      </c>
      <c r="BG270" s="100">
        <v>0</v>
      </c>
      <c r="BH270" s="100">
        <v>0</v>
      </c>
      <c r="BI270" s="100">
        <v>0</v>
      </c>
      <c r="BJ270" s="100">
        <v>0</v>
      </c>
      <c r="BK270" s="100">
        <v>0</v>
      </c>
      <c r="BL270" s="100">
        <v>0</v>
      </c>
      <c r="BM270" s="100">
        <v>0</v>
      </c>
      <c r="BN270" s="100">
        <v>0</v>
      </c>
      <c r="BO270" s="100">
        <v>0</v>
      </c>
      <c r="BP270" s="100">
        <v>0</v>
      </c>
      <c r="BQ270" s="100">
        <v>0</v>
      </c>
      <c r="BR270" s="100">
        <v>0</v>
      </c>
      <c r="BS270" s="100">
        <v>0</v>
      </c>
      <c r="BT270" s="100">
        <v>0</v>
      </c>
      <c r="BU270" s="100">
        <v>0</v>
      </c>
      <c r="BV270" s="100">
        <v>0</v>
      </c>
      <c r="BW270" s="100">
        <v>1</v>
      </c>
      <c r="BX270" s="100">
        <v>0</v>
      </c>
      <c r="BY270" s="100">
        <v>0</v>
      </c>
      <c r="BZ270" s="100">
        <v>0</v>
      </c>
      <c r="CA270" s="100">
        <v>0</v>
      </c>
      <c r="CB270" s="100" t="s">
        <v>2090</v>
      </c>
      <c r="CC270" s="100">
        <v>0</v>
      </c>
      <c r="CD270" s="100">
        <v>0</v>
      </c>
      <c r="CE270" s="100">
        <v>0</v>
      </c>
      <c r="CF270" s="100">
        <v>0</v>
      </c>
      <c r="CG270" s="103">
        <v>924435.49182</v>
      </c>
      <c r="CH270" s="103">
        <v>58.94</v>
      </c>
      <c r="CI270" s="103">
        <v>1301954.41203</v>
      </c>
      <c r="CJ270" s="103">
        <v>40.69</v>
      </c>
      <c r="CK270" s="103">
        <f t="shared" si="16"/>
        <v>2398.2685999999999</v>
      </c>
      <c r="CL270" s="103">
        <v>144109.5</v>
      </c>
      <c r="CM270" s="103">
        <v>1003399.3</v>
      </c>
      <c r="CN270" s="104">
        <v>0.14362128815517411</v>
      </c>
      <c r="CO270" s="103">
        <v>0</v>
      </c>
      <c r="CP270" s="103">
        <v>0</v>
      </c>
      <c r="CQ270" s="103">
        <v>0</v>
      </c>
      <c r="CR270" s="103">
        <v>0</v>
      </c>
      <c r="CS270" s="103">
        <f t="shared" si="17"/>
        <v>0</v>
      </c>
      <c r="CT270" s="103">
        <v>53964.2</v>
      </c>
      <c r="CU270" s="103">
        <v>665132.19999999995</v>
      </c>
      <c r="CV270" s="104">
        <v>8.1133043927207257E-2</v>
      </c>
      <c r="CW270" s="103">
        <v>566980.17931000004</v>
      </c>
      <c r="CX270" s="103">
        <v>57.14</v>
      </c>
      <c r="CY270" s="103">
        <v>2546959.5846299999</v>
      </c>
      <c r="CZ270" s="103">
        <v>63.797398283974537</v>
      </c>
      <c r="DA270" s="103">
        <f t="shared" si="18"/>
        <v>3645.3833379463049</v>
      </c>
      <c r="DB270" s="103">
        <v>301244.79999999999</v>
      </c>
      <c r="DC270" s="103">
        <v>775744.2</v>
      </c>
      <c r="DD270" s="104">
        <v>0.38833007065989023</v>
      </c>
      <c r="DE270" s="103">
        <v>70057.172420000003</v>
      </c>
      <c r="DF270" s="103">
        <v>5.25</v>
      </c>
      <c r="DG270" s="103">
        <v>165492.65325</v>
      </c>
      <c r="DH270" s="103">
        <v>4.1100000000000003</v>
      </c>
      <c r="DI270" s="103">
        <f t="shared" si="19"/>
        <v>21.577500000000001</v>
      </c>
      <c r="DJ270" s="103">
        <v>14548.5</v>
      </c>
      <c r="DK270" s="103">
        <v>544257.19999999995</v>
      </c>
      <c r="DL270" s="104">
        <v>2.6730927950976122E-2</v>
      </c>
    </row>
    <row r="271" spans="1:116" s="15" customFormat="1" ht="227.45" customHeight="1" x14ac:dyDescent="0.25">
      <c r="A271" s="100" t="s">
        <v>356</v>
      </c>
      <c r="B271" s="100" t="s">
        <v>2646</v>
      </c>
      <c r="C271" s="100" t="s">
        <v>279</v>
      </c>
      <c r="D271" s="101" t="str">
        <f>"Chemistry 151"</f>
        <v>Chemistry 151</v>
      </c>
      <c r="E271" s="102" t="s">
        <v>2647</v>
      </c>
      <c r="F271" s="100">
        <v>10</v>
      </c>
      <c r="G271" s="100">
        <v>9</v>
      </c>
      <c r="H271" s="100">
        <v>0.9</v>
      </c>
      <c r="I271" s="100">
        <v>13</v>
      </c>
      <c r="J271" s="100">
        <v>3</v>
      </c>
      <c r="K271" s="100">
        <v>3</v>
      </c>
      <c r="L271" s="100">
        <v>2</v>
      </c>
      <c r="M271" s="100">
        <v>0</v>
      </c>
      <c r="N271" s="100">
        <v>2</v>
      </c>
      <c r="O271" s="100">
        <v>1</v>
      </c>
      <c r="P271" s="100">
        <v>1.01</v>
      </c>
      <c r="Q271" s="100">
        <v>32.340000000000003</v>
      </c>
      <c r="R271" s="100">
        <v>3</v>
      </c>
      <c r="S271" s="100">
        <v>0</v>
      </c>
      <c r="T271" s="100">
        <v>0</v>
      </c>
      <c r="U271" s="100">
        <v>1</v>
      </c>
      <c r="V271" s="100">
        <v>0</v>
      </c>
      <c r="W271" s="100">
        <v>1</v>
      </c>
      <c r="X271" s="100">
        <v>0</v>
      </c>
      <c r="Y271" s="100">
        <v>0</v>
      </c>
      <c r="Z271" s="100">
        <v>1</v>
      </c>
      <c r="AA271" s="100">
        <v>0</v>
      </c>
      <c r="AB271" s="100">
        <v>0</v>
      </c>
      <c r="AC271" s="100">
        <v>1</v>
      </c>
      <c r="AD271" s="100">
        <v>0</v>
      </c>
      <c r="AE271" s="100">
        <v>0</v>
      </c>
      <c r="AF271" s="100">
        <v>1</v>
      </c>
      <c r="AG271" s="100">
        <v>0</v>
      </c>
      <c r="AH271" s="100">
        <v>0</v>
      </c>
      <c r="AI271" s="100">
        <v>1</v>
      </c>
      <c r="AJ271" s="100">
        <v>0</v>
      </c>
      <c r="AK271" s="100">
        <v>0</v>
      </c>
      <c r="AL271" s="100">
        <v>0</v>
      </c>
      <c r="AM271" s="100">
        <v>0</v>
      </c>
      <c r="AN271" s="100">
        <v>0</v>
      </c>
      <c r="AO271" s="100">
        <v>0</v>
      </c>
      <c r="AP271" s="100">
        <v>0</v>
      </c>
      <c r="AQ271" s="100">
        <v>0</v>
      </c>
      <c r="AR271" s="100">
        <v>0</v>
      </c>
      <c r="AS271" s="100">
        <v>0</v>
      </c>
      <c r="AT271" s="100">
        <v>1</v>
      </c>
      <c r="AU271" s="100">
        <v>0</v>
      </c>
      <c r="AV271" s="100">
        <v>0</v>
      </c>
      <c r="AW271" s="100">
        <v>0</v>
      </c>
      <c r="AX271" s="100">
        <v>0</v>
      </c>
      <c r="AY271" s="100">
        <v>0</v>
      </c>
      <c r="AZ271" s="100">
        <v>0</v>
      </c>
      <c r="BA271" s="100">
        <v>0</v>
      </c>
      <c r="BB271" s="100">
        <v>0</v>
      </c>
      <c r="BC271" s="100">
        <v>0</v>
      </c>
      <c r="BD271" s="100">
        <v>0</v>
      </c>
      <c r="BE271" s="100">
        <v>0</v>
      </c>
      <c r="BF271" s="100">
        <v>0</v>
      </c>
      <c r="BG271" s="100">
        <v>0</v>
      </c>
      <c r="BH271" s="100">
        <v>0</v>
      </c>
      <c r="BI271" s="100">
        <v>0</v>
      </c>
      <c r="BJ271" s="100">
        <v>1</v>
      </c>
      <c r="BK271" s="100">
        <v>0</v>
      </c>
      <c r="BL271" s="100">
        <v>0</v>
      </c>
      <c r="BM271" s="100">
        <v>0</v>
      </c>
      <c r="BN271" s="100">
        <v>0</v>
      </c>
      <c r="BO271" s="100">
        <v>0</v>
      </c>
      <c r="BP271" s="100">
        <v>0</v>
      </c>
      <c r="BQ271" s="100">
        <v>0</v>
      </c>
      <c r="BR271" s="100">
        <v>0</v>
      </c>
      <c r="BS271" s="100">
        <v>0</v>
      </c>
      <c r="BT271" s="100">
        <v>0</v>
      </c>
      <c r="BU271" s="100">
        <v>0</v>
      </c>
      <c r="BV271" s="100">
        <v>0</v>
      </c>
      <c r="BW271" s="100">
        <v>1</v>
      </c>
      <c r="BX271" s="100">
        <v>0</v>
      </c>
      <c r="BY271" s="100">
        <v>0</v>
      </c>
      <c r="BZ271" s="100">
        <v>1</v>
      </c>
      <c r="CA271" s="100">
        <v>0</v>
      </c>
      <c r="CB271" s="100" t="s">
        <v>2090</v>
      </c>
      <c r="CC271" s="100">
        <v>0</v>
      </c>
      <c r="CD271" s="100">
        <v>0</v>
      </c>
      <c r="CE271" s="100">
        <v>0</v>
      </c>
      <c r="CF271" s="100">
        <v>0</v>
      </c>
      <c r="CG271" s="103">
        <v>431756.36274999997</v>
      </c>
      <c r="CH271" s="103">
        <v>25.33</v>
      </c>
      <c r="CI271" s="103">
        <v>3576090.1348899999</v>
      </c>
      <c r="CJ271" s="103">
        <v>40.44</v>
      </c>
      <c r="CK271" s="103">
        <f t="shared" si="16"/>
        <v>1024.3452</v>
      </c>
      <c r="CL271" s="103">
        <v>739064.7</v>
      </c>
      <c r="CM271" s="103">
        <v>710347.1</v>
      </c>
      <c r="CN271" s="104">
        <v>1.0404275599914463</v>
      </c>
      <c r="CO271" s="103">
        <v>530181.07019</v>
      </c>
      <c r="CP271" s="103">
        <v>27.08</v>
      </c>
      <c r="CQ271" s="103">
        <v>3735278.5160300001</v>
      </c>
      <c r="CR271" s="103">
        <v>24.62</v>
      </c>
      <c r="CS271" s="103">
        <f t="shared" si="17"/>
        <v>666.70960000000002</v>
      </c>
      <c r="CT271" s="103">
        <v>634781.69999999995</v>
      </c>
      <c r="CU271" s="103">
        <v>378788.3</v>
      </c>
      <c r="CV271" s="104">
        <v>1.6758218244861312</v>
      </c>
      <c r="CW271" s="103">
        <v>740828.88389000006</v>
      </c>
      <c r="CX271" s="103">
        <v>54.12</v>
      </c>
      <c r="CY271" s="103">
        <v>4311764.7060099998</v>
      </c>
      <c r="CZ271" s="103">
        <v>48.733286418015474</v>
      </c>
      <c r="DA271" s="103">
        <f t="shared" si="18"/>
        <v>2637.4454609429972</v>
      </c>
      <c r="DB271" s="103">
        <v>860225.3</v>
      </c>
      <c r="DC271" s="103">
        <v>336618.2</v>
      </c>
      <c r="DD271" s="104">
        <v>2.5554925431839397</v>
      </c>
      <c r="DE271" s="103">
        <v>307099.67540000001</v>
      </c>
      <c r="DF271" s="103">
        <v>15.88</v>
      </c>
      <c r="DG271" s="103">
        <v>3307684.8945499999</v>
      </c>
      <c r="DH271" s="103">
        <v>17.2</v>
      </c>
      <c r="DI271" s="103">
        <f t="shared" si="19"/>
        <v>273.13600000000002</v>
      </c>
      <c r="DJ271" s="103">
        <v>147262.39999999999</v>
      </c>
      <c r="DK271" s="103">
        <v>156277.70000000001</v>
      </c>
      <c r="DL271" s="104">
        <v>0.94231230687423728</v>
      </c>
    </row>
    <row r="272" spans="1:116" s="15" customFormat="1" ht="124.7" customHeight="1" x14ac:dyDescent="0.25">
      <c r="A272" s="100" t="s">
        <v>357</v>
      </c>
      <c r="B272" s="100" t="s">
        <v>2648</v>
      </c>
      <c r="C272" s="100" t="s">
        <v>279</v>
      </c>
      <c r="D272" s="101" t="str">
        <f>"Chemistry 137"</f>
        <v>Chemistry 137</v>
      </c>
      <c r="E272" s="102" t="s">
        <v>2649</v>
      </c>
      <c r="F272" s="100">
        <v>6</v>
      </c>
      <c r="G272" s="100">
        <v>6</v>
      </c>
      <c r="H272" s="100">
        <v>1</v>
      </c>
      <c r="I272" s="100">
        <v>7</v>
      </c>
      <c r="J272" s="100">
        <v>1</v>
      </c>
      <c r="K272" s="100">
        <v>1</v>
      </c>
      <c r="L272" s="100">
        <v>1</v>
      </c>
      <c r="M272" s="100">
        <v>0</v>
      </c>
      <c r="N272" s="100">
        <v>1</v>
      </c>
      <c r="O272" s="100">
        <v>1</v>
      </c>
      <c r="P272" s="100">
        <v>1.45</v>
      </c>
      <c r="Q272" s="100">
        <v>12.03</v>
      </c>
      <c r="R272" s="100">
        <v>0</v>
      </c>
      <c r="S272" s="100">
        <v>0</v>
      </c>
      <c r="T272" s="100">
        <v>0</v>
      </c>
      <c r="U272" s="100">
        <v>1</v>
      </c>
      <c r="V272" s="100">
        <v>0</v>
      </c>
      <c r="W272" s="100">
        <v>0</v>
      </c>
      <c r="X272" s="100">
        <v>1</v>
      </c>
      <c r="Y272" s="100">
        <v>0</v>
      </c>
      <c r="Z272" s="100">
        <v>1</v>
      </c>
      <c r="AA272" s="100">
        <v>0</v>
      </c>
      <c r="AB272" s="100">
        <v>0</v>
      </c>
      <c r="AC272" s="100">
        <v>1</v>
      </c>
      <c r="AD272" s="100">
        <v>0</v>
      </c>
      <c r="AE272" s="100">
        <v>0</v>
      </c>
      <c r="AF272" s="100">
        <v>1</v>
      </c>
      <c r="AG272" s="100">
        <v>0</v>
      </c>
      <c r="AH272" s="100">
        <v>1</v>
      </c>
      <c r="AI272" s="100">
        <v>0</v>
      </c>
      <c r="AJ272" s="100">
        <v>0</v>
      </c>
      <c r="AK272" s="100">
        <v>0</v>
      </c>
      <c r="AL272" s="100">
        <v>0</v>
      </c>
      <c r="AM272" s="100">
        <v>0</v>
      </c>
      <c r="AN272" s="100">
        <v>0</v>
      </c>
      <c r="AO272" s="100">
        <v>0</v>
      </c>
      <c r="AP272" s="100">
        <v>0</v>
      </c>
      <c r="AQ272" s="100">
        <v>0</v>
      </c>
      <c r="AR272" s="100">
        <v>0</v>
      </c>
      <c r="AS272" s="100">
        <v>0</v>
      </c>
      <c r="AT272" s="100">
        <v>0</v>
      </c>
      <c r="AU272" s="100">
        <v>0</v>
      </c>
      <c r="AV272" s="100">
        <v>0</v>
      </c>
      <c r="AW272" s="100">
        <v>0</v>
      </c>
      <c r="AX272" s="100">
        <v>0</v>
      </c>
      <c r="AY272" s="100">
        <v>0</v>
      </c>
      <c r="AZ272" s="100">
        <v>0</v>
      </c>
      <c r="BA272" s="100">
        <v>0</v>
      </c>
      <c r="BB272" s="100">
        <v>0</v>
      </c>
      <c r="BC272" s="100">
        <v>0</v>
      </c>
      <c r="BD272" s="100">
        <v>0</v>
      </c>
      <c r="BE272" s="100">
        <v>0</v>
      </c>
      <c r="BF272" s="100">
        <v>0</v>
      </c>
      <c r="BG272" s="100">
        <v>0</v>
      </c>
      <c r="BH272" s="100">
        <v>0</v>
      </c>
      <c r="BI272" s="100">
        <v>0</v>
      </c>
      <c r="BJ272" s="100">
        <v>0</v>
      </c>
      <c r="BK272" s="100">
        <v>0</v>
      </c>
      <c r="BL272" s="100">
        <v>0</v>
      </c>
      <c r="BM272" s="100">
        <v>0</v>
      </c>
      <c r="BN272" s="100">
        <v>0</v>
      </c>
      <c r="BO272" s="100">
        <v>0</v>
      </c>
      <c r="BP272" s="100">
        <v>0</v>
      </c>
      <c r="BQ272" s="100">
        <v>0</v>
      </c>
      <c r="BR272" s="100">
        <v>0</v>
      </c>
      <c r="BS272" s="100">
        <v>0</v>
      </c>
      <c r="BT272" s="100">
        <v>0</v>
      </c>
      <c r="BU272" s="100">
        <v>0</v>
      </c>
      <c r="BV272" s="100">
        <v>0</v>
      </c>
      <c r="BW272" s="100">
        <v>1</v>
      </c>
      <c r="BX272" s="100">
        <v>0</v>
      </c>
      <c r="BY272" s="100">
        <v>0</v>
      </c>
      <c r="BZ272" s="100">
        <v>1</v>
      </c>
      <c r="CA272" s="100">
        <v>0</v>
      </c>
      <c r="CB272" s="100" t="s">
        <v>2090</v>
      </c>
      <c r="CC272" s="100">
        <v>0</v>
      </c>
      <c r="CD272" s="100">
        <v>0</v>
      </c>
      <c r="CE272" s="100">
        <v>0</v>
      </c>
      <c r="CF272" s="100">
        <v>0</v>
      </c>
      <c r="CG272" s="103">
        <v>215277.43643999999</v>
      </c>
      <c r="CH272" s="103">
        <v>13.43</v>
      </c>
      <c r="CI272" s="103">
        <v>3584297.3329500002</v>
      </c>
      <c r="CJ272" s="103">
        <v>46.39</v>
      </c>
      <c r="CK272" s="103">
        <f t="shared" si="16"/>
        <v>623.01769999999999</v>
      </c>
      <c r="CL272" s="103">
        <v>349805.4</v>
      </c>
      <c r="CM272" s="103">
        <v>503537.9</v>
      </c>
      <c r="CN272" s="104">
        <v>0.69469527517193841</v>
      </c>
      <c r="CO272" s="103">
        <v>327536.65983999998</v>
      </c>
      <c r="CP272" s="103">
        <v>22.09</v>
      </c>
      <c r="CQ272" s="103">
        <v>4321119.9503100002</v>
      </c>
      <c r="CR272" s="103">
        <v>42.4</v>
      </c>
      <c r="CS272" s="103">
        <f t="shared" si="17"/>
        <v>936.61599999999999</v>
      </c>
      <c r="CT272" s="103">
        <v>745232.7</v>
      </c>
      <c r="CU272" s="103">
        <v>836349.7</v>
      </c>
      <c r="CV272" s="104">
        <v>0.89105394549672223</v>
      </c>
      <c r="CW272" s="103">
        <v>595956.16197999998</v>
      </c>
      <c r="CX272" s="103">
        <v>47.71</v>
      </c>
      <c r="CY272" s="103">
        <v>5330934.6142300004</v>
      </c>
      <c r="CZ272" s="103">
        <v>72.492976670331004</v>
      </c>
      <c r="DA272" s="103">
        <f t="shared" si="18"/>
        <v>3458.6399169414922</v>
      </c>
      <c r="DB272" s="103">
        <v>412201.4</v>
      </c>
      <c r="DC272" s="103">
        <v>316182.8</v>
      </c>
      <c r="DD272" s="104">
        <v>1.3036806556207359</v>
      </c>
      <c r="DE272" s="103">
        <v>65044.684099999999</v>
      </c>
      <c r="DF272" s="103">
        <v>4.6899999999999995</v>
      </c>
      <c r="DG272" s="103">
        <v>2403265.8590500001</v>
      </c>
      <c r="DH272" s="103">
        <v>30.04</v>
      </c>
      <c r="DI272" s="103">
        <f t="shared" si="19"/>
        <v>140.88759999999999</v>
      </c>
      <c r="DJ272" s="103">
        <v>84980.1</v>
      </c>
      <c r="DK272" s="103">
        <v>261558.2</v>
      </c>
      <c r="DL272" s="104">
        <v>0.32489939141651841</v>
      </c>
    </row>
    <row r="273" spans="1:116" s="15" customFormat="1" ht="120.2" customHeight="1" x14ac:dyDescent="0.25">
      <c r="A273" s="100" t="s">
        <v>358</v>
      </c>
      <c r="B273" s="100" t="s">
        <v>2650</v>
      </c>
      <c r="C273" s="100" t="s">
        <v>279</v>
      </c>
      <c r="D273" s="101" t="str">
        <f>"Chemistry 141"</f>
        <v>Chemistry 141</v>
      </c>
      <c r="E273" s="102" t="s">
        <v>2651</v>
      </c>
      <c r="F273" s="100">
        <v>5</v>
      </c>
      <c r="G273" s="100">
        <v>5</v>
      </c>
      <c r="H273" s="100">
        <v>1</v>
      </c>
      <c r="I273" s="100">
        <v>7</v>
      </c>
      <c r="J273" s="100">
        <v>2</v>
      </c>
      <c r="K273" s="100">
        <v>2</v>
      </c>
      <c r="L273" s="100">
        <v>1</v>
      </c>
      <c r="M273" s="100">
        <v>0</v>
      </c>
      <c r="N273" s="100">
        <v>2</v>
      </c>
      <c r="O273" s="100">
        <v>2</v>
      </c>
      <c r="P273" s="100">
        <v>-1.1499999999999999</v>
      </c>
      <c r="Q273" s="100">
        <v>32.26</v>
      </c>
      <c r="R273" s="100">
        <v>0</v>
      </c>
      <c r="S273" s="100">
        <v>0</v>
      </c>
      <c r="T273" s="100">
        <v>0</v>
      </c>
      <c r="U273" s="100">
        <v>1</v>
      </c>
      <c r="V273" s="100">
        <v>0</v>
      </c>
      <c r="W273" s="100">
        <v>0</v>
      </c>
      <c r="X273" s="100">
        <v>1</v>
      </c>
      <c r="Y273" s="100">
        <v>1</v>
      </c>
      <c r="Z273" s="100">
        <v>0</v>
      </c>
      <c r="AA273" s="100">
        <v>0</v>
      </c>
      <c r="AB273" s="100">
        <v>0</v>
      </c>
      <c r="AC273" s="100">
        <v>1</v>
      </c>
      <c r="AD273" s="100">
        <v>0</v>
      </c>
      <c r="AE273" s="100">
        <v>1</v>
      </c>
      <c r="AF273" s="100">
        <v>0</v>
      </c>
      <c r="AG273" s="100">
        <v>0</v>
      </c>
      <c r="AH273" s="100">
        <v>0</v>
      </c>
      <c r="AI273" s="100">
        <v>1</v>
      </c>
      <c r="AJ273" s="100">
        <v>0</v>
      </c>
      <c r="AK273" s="100">
        <v>0</v>
      </c>
      <c r="AL273" s="100">
        <v>0</v>
      </c>
      <c r="AM273" s="100">
        <v>0</v>
      </c>
      <c r="AN273" s="100">
        <v>0</v>
      </c>
      <c r="AO273" s="100">
        <v>0</v>
      </c>
      <c r="AP273" s="100">
        <v>1</v>
      </c>
      <c r="AQ273" s="100">
        <v>0</v>
      </c>
      <c r="AR273" s="100">
        <v>0</v>
      </c>
      <c r="AS273" s="100">
        <v>0</v>
      </c>
      <c r="AT273" s="100">
        <v>0</v>
      </c>
      <c r="AU273" s="100">
        <v>0</v>
      </c>
      <c r="AV273" s="100">
        <v>0</v>
      </c>
      <c r="AW273" s="100">
        <v>0</v>
      </c>
      <c r="AX273" s="100">
        <v>0</v>
      </c>
      <c r="AY273" s="100">
        <v>0</v>
      </c>
      <c r="AZ273" s="100">
        <v>0</v>
      </c>
      <c r="BA273" s="100">
        <v>0</v>
      </c>
      <c r="BB273" s="100">
        <v>0</v>
      </c>
      <c r="BC273" s="100">
        <v>0</v>
      </c>
      <c r="BD273" s="100">
        <v>0</v>
      </c>
      <c r="BE273" s="100">
        <v>0</v>
      </c>
      <c r="BF273" s="100">
        <v>0</v>
      </c>
      <c r="BG273" s="100">
        <v>0</v>
      </c>
      <c r="BH273" s="100">
        <v>0</v>
      </c>
      <c r="BI273" s="100">
        <v>0</v>
      </c>
      <c r="BJ273" s="100">
        <v>1</v>
      </c>
      <c r="BK273" s="100">
        <v>0</v>
      </c>
      <c r="BL273" s="100">
        <v>0</v>
      </c>
      <c r="BM273" s="100">
        <v>0</v>
      </c>
      <c r="BN273" s="100">
        <v>0</v>
      </c>
      <c r="BO273" s="100">
        <v>0</v>
      </c>
      <c r="BP273" s="100">
        <v>0</v>
      </c>
      <c r="BQ273" s="100">
        <v>0</v>
      </c>
      <c r="BR273" s="100">
        <v>0</v>
      </c>
      <c r="BS273" s="100">
        <v>0</v>
      </c>
      <c r="BT273" s="100">
        <v>0</v>
      </c>
      <c r="BU273" s="100">
        <v>0</v>
      </c>
      <c r="BV273" s="100">
        <v>0</v>
      </c>
      <c r="BW273" s="100">
        <v>1</v>
      </c>
      <c r="BX273" s="100">
        <v>0</v>
      </c>
      <c r="BY273" s="100">
        <v>0</v>
      </c>
      <c r="BZ273" s="100">
        <v>0</v>
      </c>
      <c r="CA273" s="100">
        <v>1</v>
      </c>
      <c r="CB273" s="100" t="s">
        <v>2090</v>
      </c>
      <c r="CC273" s="100">
        <v>0</v>
      </c>
      <c r="CD273" s="100">
        <v>0</v>
      </c>
      <c r="CE273" s="100">
        <v>0</v>
      </c>
      <c r="CF273" s="100">
        <v>0</v>
      </c>
      <c r="CG273" s="103">
        <v>479989.06771999999</v>
      </c>
      <c r="CH273" s="103">
        <v>27.51</v>
      </c>
      <c r="CI273" s="103">
        <v>3013135.8205900001</v>
      </c>
      <c r="CJ273" s="103">
        <v>49.2</v>
      </c>
      <c r="CK273" s="103">
        <f t="shared" si="16"/>
        <v>1353.4920000000002</v>
      </c>
      <c r="CL273" s="103">
        <v>620058.5</v>
      </c>
      <c r="CM273" s="103">
        <v>697460.3</v>
      </c>
      <c r="CN273" s="104">
        <v>0.88902336089953793</v>
      </c>
      <c r="CO273" s="103">
        <v>838420.24918000004</v>
      </c>
      <c r="CP273" s="103">
        <v>44.3</v>
      </c>
      <c r="CQ273" s="103">
        <v>3070792.0833200002</v>
      </c>
      <c r="CR273" s="103">
        <v>35.630000000000003</v>
      </c>
      <c r="CS273" s="103">
        <f t="shared" si="17"/>
        <v>1578.4090000000001</v>
      </c>
      <c r="CT273" s="103">
        <v>448583.3</v>
      </c>
      <c r="CU273" s="103">
        <v>345048.2</v>
      </c>
      <c r="CV273" s="104">
        <v>1.3000598177298128</v>
      </c>
      <c r="CW273" s="103">
        <v>324293.81157000002</v>
      </c>
      <c r="CX273" s="103">
        <v>27.24</v>
      </c>
      <c r="CY273" s="103">
        <v>2487145.1714499998</v>
      </c>
      <c r="CZ273" s="103">
        <v>36.662636033857311</v>
      </c>
      <c r="DA273" s="103">
        <f t="shared" si="18"/>
        <v>998.69020556227304</v>
      </c>
      <c r="DB273" s="103">
        <v>791023.7</v>
      </c>
      <c r="DC273" s="103">
        <v>840560.4</v>
      </c>
      <c r="DD273" s="104">
        <v>0.94106705478868613</v>
      </c>
      <c r="DE273" s="103">
        <v>573926.43981000001</v>
      </c>
      <c r="DF273" s="103">
        <v>28.84</v>
      </c>
      <c r="DG273" s="103">
        <v>2695530.89836</v>
      </c>
      <c r="DH273" s="103">
        <v>20.56</v>
      </c>
      <c r="DI273" s="103">
        <f t="shared" si="19"/>
        <v>592.95039999999995</v>
      </c>
      <c r="DJ273" s="103">
        <v>65977.100000000006</v>
      </c>
      <c r="DK273" s="103">
        <v>87629.1</v>
      </c>
      <c r="DL273" s="104">
        <v>0.75291313045552222</v>
      </c>
    </row>
    <row r="274" spans="1:116" s="15" customFormat="1" ht="216.2" customHeight="1" x14ac:dyDescent="0.25">
      <c r="A274" s="100" t="s">
        <v>359</v>
      </c>
      <c r="B274" s="100" t="s">
        <v>2652</v>
      </c>
      <c r="C274" s="100" t="s">
        <v>279</v>
      </c>
      <c r="D274" s="101" t="str">
        <f>"Chemistry 91"</f>
        <v>Chemistry 91</v>
      </c>
      <c r="E274" s="102" t="s">
        <v>2653</v>
      </c>
      <c r="F274" s="100">
        <v>8</v>
      </c>
      <c r="G274" s="100">
        <v>7</v>
      </c>
      <c r="H274" s="100">
        <v>0.88</v>
      </c>
      <c r="I274" s="100">
        <v>11</v>
      </c>
      <c r="J274" s="100">
        <v>3</v>
      </c>
      <c r="K274" s="100">
        <v>3</v>
      </c>
      <c r="L274" s="100">
        <v>1</v>
      </c>
      <c r="M274" s="100">
        <v>0</v>
      </c>
      <c r="N274" s="100">
        <v>3</v>
      </c>
      <c r="O274" s="100">
        <v>1</v>
      </c>
      <c r="P274" s="100">
        <v>0.32</v>
      </c>
      <c r="Q274" s="100">
        <v>38.33</v>
      </c>
      <c r="R274" s="100">
        <v>3</v>
      </c>
      <c r="S274" s="100">
        <v>0</v>
      </c>
      <c r="T274" s="100">
        <v>0</v>
      </c>
      <c r="U274" s="100">
        <v>1</v>
      </c>
      <c r="V274" s="100">
        <v>0</v>
      </c>
      <c r="W274" s="100">
        <v>0</v>
      </c>
      <c r="X274" s="100">
        <v>1</v>
      </c>
      <c r="Y274" s="100">
        <v>0</v>
      </c>
      <c r="Z274" s="100">
        <v>1</v>
      </c>
      <c r="AA274" s="100">
        <v>0</v>
      </c>
      <c r="AB274" s="100">
        <v>0</v>
      </c>
      <c r="AC274" s="100">
        <v>1</v>
      </c>
      <c r="AD274" s="100">
        <v>0</v>
      </c>
      <c r="AE274" s="100">
        <v>1</v>
      </c>
      <c r="AF274" s="100">
        <v>0</v>
      </c>
      <c r="AG274" s="100">
        <v>0</v>
      </c>
      <c r="AH274" s="100">
        <v>0</v>
      </c>
      <c r="AI274" s="100">
        <v>1</v>
      </c>
      <c r="AJ274" s="100">
        <v>0</v>
      </c>
      <c r="AK274" s="100">
        <v>0</v>
      </c>
      <c r="AL274" s="100">
        <v>0</v>
      </c>
      <c r="AM274" s="100">
        <v>0</v>
      </c>
      <c r="AN274" s="100">
        <v>0</v>
      </c>
      <c r="AO274" s="100">
        <v>0</v>
      </c>
      <c r="AP274" s="100">
        <v>0</v>
      </c>
      <c r="AQ274" s="100">
        <v>0</v>
      </c>
      <c r="AR274" s="100">
        <v>0</v>
      </c>
      <c r="AS274" s="100">
        <v>0</v>
      </c>
      <c r="AT274" s="100">
        <v>0</v>
      </c>
      <c r="AU274" s="100">
        <v>0</v>
      </c>
      <c r="AV274" s="100">
        <v>0</v>
      </c>
      <c r="AW274" s="100">
        <v>0</v>
      </c>
      <c r="AX274" s="100">
        <v>1</v>
      </c>
      <c r="AY274" s="100">
        <v>0</v>
      </c>
      <c r="AZ274" s="100">
        <v>0</v>
      </c>
      <c r="BA274" s="100">
        <v>0</v>
      </c>
      <c r="BB274" s="100">
        <v>0</v>
      </c>
      <c r="BC274" s="100">
        <v>0</v>
      </c>
      <c r="BD274" s="100">
        <v>0</v>
      </c>
      <c r="BE274" s="100">
        <v>0</v>
      </c>
      <c r="BF274" s="100">
        <v>0</v>
      </c>
      <c r="BG274" s="100">
        <v>0</v>
      </c>
      <c r="BH274" s="100">
        <v>0</v>
      </c>
      <c r="BI274" s="100">
        <v>0</v>
      </c>
      <c r="BJ274" s="100">
        <v>1</v>
      </c>
      <c r="BK274" s="100">
        <v>0</v>
      </c>
      <c r="BL274" s="100">
        <v>0</v>
      </c>
      <c r="BM274" s="100">
        <v>0</v>
      </c>
      <c r="BN274" s="100">
        <v>0</v>
      </c>
      <c r="BO274" s="100">
        <v>0</v>
      </c>
      <c r="BP274" s="100">
        <v>0</v>
      </c>
      <c r="BQ274" s="100">
        <v>0</v>
      </c>
      <c r="BR274" s="100">
        <v>0</v>
      </c>
      <c r="BS274" s="100">
        <v>0</v>
      </c>
      <c r="BT274" s="100">
        <v>0</v>
      </c>
      <c r="BU274" s="100">
        <v>0</v>
      </c>
      <c r="BV274" s="100">
        <v>0</v>
      </c>
      <c r="BW274" s="100">
        <v>1</v>
      </c>
      <c r="BX274" s="100">
        <v>0</v>
      </c>
      <c r="BY274" s="100">
        <v>0</v>
      </c>
      <c r="BZ274" s="100">
        <v>0</v>
      </c>
      <c r="CA274" s="100">
        <v>1</v>
      </c>
      <c r="CB274" s="100" t="s">
        <v>2090</v>
      </c>
      <c r="CC274" s="100">
        <v>0</v>
      </c>
      <c r="CD274" s="100">
        <v>0</v>
      </c>
      <c r="CE274" s="100">
        <v>0</v>
      </c>
      <c r="CF274" s="100">
        <v>0</v>
      </c>
      <c r="CG274" s="103">
        <v>200486.97891999999</v>
      </c>
      <c r="CH274" s="103">
        <v>14.86</v>
      </c>
      <c r="CI274" s="103">
        <v>3061623.0392900002</v>
      </c>
      <c r="CJ274" s="103">
        <v>32.32</v>
      </c>
      <c r="CK274" s="103">
        <f t="shared" si="16"/>
        <v>480.27519999999998</v>
      </c>
      <c r="CL274" s="103">
        <v>566332.1</v>
      </c>
      <c r="CM274" s="103">
        <v>750543.1</v>
      </c>
      <c r="CN274" s="104">
        <v>0.75456306240107995</v>
      </c>
      <c r="CO274" s="103">
        <v>167189.46794</v>
      </c>
      <c r="CP274" s="103">
        <v>11.78</v>
      </c>
      <c r="CQ274" s="103">
        <v>2904477.94802</v>
      </c>
      <c r="CR274" s="103">
        <v>32.56</v>
      </c>
      <c r="CS274" s="103">
        <f t="shared" si="17"/>
        <v>383.55680000000001</v>
      </c>
      <c r="CT274" s="103">
        <v>947185.9</v>
      </c>
      <c r="CU274" s="103">
        <v>1039180.2</v>
      </c>
      <c r="CV274" s="104">
        <v>0.91147416011198068</v>
      </c>
      <c r="CW274" s="103">
        <v>580711.08034999995</v>
      </c>
      <c r="CX274" s="103">
        <v>46.26</v>
      </c>
      <c r="CY274" s="103">
        <v>4490934.0187499998</v>
      </c>
      <c r="CZ274" s="103">
        <v>42.108262108262117</v>
      </c>
      <c r="DA274" s="103">
        <f t="shared" si="18"/>
        <v>1947.9282051282055</v>
      </c>
      <c r="DB274" s="103">
        <v>180212.3</v>
      </c>
      <c r="DC274" s="103">
        <v>74788.100000000006</v>
      </c>
      <c r="DD274" s="104">
        <v>2.4096386992048195</v>
      </c>
      <c r="DE274" s="103">
        <v>176902.55022999999</v>
      </c>
      <c r="DF274" s="103">
        <v>12.31</v>
      </c>
      <c r="DG274" s="103">
        <v>2969483.0018500001</v>
      </c>
      <c r="DH274" s="103">
        <v>26.27</v>
      </c>
      <c r="DI274" s="103">
        <f t="shared" si="19"/>
        <v>323.38370000000003</v>
      </c>
      <c r="DJ274" s="103">
        <v>312235.09999999998</v>
      </c>
      <c r="DK274" s="103">
        <v>332538.3</v>
      </c>
      <c r="DL274" s="104">
        <v>0.93894477718807123</v>
      </c>
    </row>
    <row r="275" spans="1:116" s="15" customFormat="1" ht="114.95" customHeight="1" x14ac:dyDescent="0.25">
      <c r="A275" s="100" t="s">
        <v>360</v>
      </c>
      <c r="B275" s="100" t="s">
        <v>2654</v>
      </c>
      <c r="C275" s="100" t="s">
        <v>279</v>
      </c>
      <c r="D275" s="101" t="str">
        <f>"Chemistry 160"</f>
        <v>Chemistry 160</v>
      </c>
      <c r="E275" s="102" t="s">
        <v>2655</v>
      </c>
      <c r="F275" s="100">
        <v>6</v>
      </c>
      <c r="G275" s="100">
        <v>6</v>
      </c>
      <c r="H275" s="100">
        <v>1</v>
      </c>
      <c r="I275" s="100">
        <v>7</v>
      </c>
      <c r="J275" s="100">
        <v>1</v>
      </c>
      <c r="K275" s="100">
        <v>1</v>
      </c>
      <c r="L275" s="100">
        <v>1</v>
      </c>
      <c r="M275" s="100">
        <v>0</v>
      </c>
      <c r="N275" s="100">
        <v>1</v>
      </c>
      <c r="O275" s="100">
        <v>1</v>
      </c>
      <c r="P275" s="100">
        <v>1.45</v>
      </c>
      <c r="Q275" s="100">
        <v>12.03</v>
      </c>
      <c r="R275" s="100">
        <v>0</v>
      </c>
      <c r="S275" s="100">
        <v>0</v>
      </c>
      <c r="T275" s="100">
        <v>0</v>
      </c>
      <c r="U275" s="100">
        <v>1</v>
      </c>
      <c r="V275" s="100">
        <v>0</v>
      </c>
      <c r="W275" s="100">
        <v>0</v>
      </c>
      <c r="X275" s="100">
        <v>1</v>
      </c>
      <c r="Y275" s="100">
        <v>0</v>
      </c>
      <c r="Z275" s="100">
        <v>1</v>
      </c>
      <c r="AA275" s="100">
        <v>0</v>
      </c>
      <c r="AB275" s="100">
        <v>0</v>
      </c>
      <c r="AC275" s="100">
        <v>1</v>
      </c>
      <c r="AD275" s="100">
        <v>0</v>
      </c>
      <c r="AE275" s="100">
        <v>0</v>
      </c>
      <c r="AF275" s="100">
        <v>1</v>
      </c>
      <c r="AG275" s="100">
        <v>0</v>
      </c>
      <c r="AH275" s="100">
        <v>1</v>
      </c>
      <c r="AI275" s="100">
        <v>0</v>
      </c>
      <c r="AJ275" s="100">
        <v>0</v>
      </c>
      <c r="AK275" s="100">
        <v>0</v>
      </c>
      <c r="AL275" s="100">
        <v>0</v>
      </c>
      <c r="AM275" s="100">
        <v>0</v>
      </c>
      <c r="AN275" s="100">
        <v>0</v>
      </c>
      <c r="AO275" s="100">
        <v>0</v>
      </c>
      <c r="AP275" s="100">
        <v>0</v>
      </c>
      <c r="AQ275" s="100">
        <v>0</v>
      </c>
      <c r="AR275" s="100">
        <v>0</v>
      </c>
      <c r="AS275" s="100">
        <v>0</v>
      </c>
      <c r="AT275" s="100">
        <v>0</v>
      </c>
      <c r="AU275" s="100">
        <v>0</v>
      </c>
      <c r="AV275" s="100">
        <v>0</v>
      </c>
      <c r="AW275" s="100">
        <v>0</v>
      </c>
      <c r="AX275" s="100">
        <v>0</v>
      </c>
      <c r="AY275" s="100">
        <v>0</v>
      </c>
      <c r="AZ275" s="100">
        <v>0</v>
      </c>
      <c r="BA275" s="100">
        <v>0</v>
      </c>
      <c r="BB275" s="100">
        <v>0</v>
      </c>
      <c r="BC275" s="100">
        <v>0</v>
      </c>
      <c r="BD275" s="100">
        <v>0</v>
      </c>
      <c r="BE275" s="100">
        <v>0</v>
      </c>
      <c r="BF275" s="100">
        <v>0</v>
      </c>
      <c r="BG275" s="100">
        <v>0</v>
      </c>
      <c r="BH275" s="100">
        <v>0</v>
      </c>
      <c r="BI275" s="100">
        <v>0</v>
      </c>
      <c r="BJ275" s="100">
        <v>0</v>
      </c>
      <c r="BK275" s="100">
        <v>0</v>
      </c>
      <c r="BL275" s="100">
        <v>0</v>
      </c>
      <c r="BM275" s="100">
        <v>0</v>
      </c>
      <c r="BN275" s="100">
        <v>0</v>
      </c>
      <c r="BO275" s="100">
        <v>0</v>
      </c>
      <c r="BP275" s="100">
        <v>0</v>
      </c>
      <c r="BQ275" s="100">
        <v>0</v>
      </c>
      <c r="BR275" s="100">
        <v>0</v>
      </c>
      <c r="BS275" s="100">
        <v>0</v>
      </c>
      <c r="BT275" s="100">
        <v>0</v>
      </c>
      <c r="BU275" s="100">
        <v>0</v>
      </c>
      <c r="BV275" s="100">
        <v>0</v>
      </c>
      <c r="BW275" s="100">
        <v>1</v>
      </c>
      <c r="BX275" s="100">
        <v>0</v>
      </c>
      <c r="BY275" s="100">
        <v>0</v>
      </c>
      <c r="BZ275" s="100">
        <v>0</v>
      </c>
      <c r="CA275" s="100">
        <v>1</v>
      </c>
      <c r="CB275" s="100" t="s">
        <v>2090</v>
      </c>
      <c r="CC275" s="100">
        <v>0</v>
      </c>
      <c r="CD275" s="100">
        <v>0</v>
      </c>
      <c r="CE275" s="100">
        <v>0</v>
      </c>
      <c r="CF275" s="100">
        <v>0</v>
      </c>
      <c r="CG275" s="103">
        <v>220869.92042000001</v>
      </c>
      <c r="CH275" s="103">
        <v>14.61</v>
      </c>
      <c r="CI275" s="103">
        <v>3713916.0282000001</v>
      </c>
      <c r="CJ275" s="103">
        <v>46.6</v>
      </c>
      <c r="CK275" s="103">
        <f t="shared" si="16"/>
        <v>680.82600000000002</v>
      </c>
      <c r="CL275" s="103">
        <v>610209.19999999995</v>
      </c>
      <c r="CM275" s="103">
        <v>796964.2</v>
      </c>
      <c r="CN275" s="104">
        <v>0.76566701490481004</v>
      </c>
      <c r="CO275" s="103">
        <v>412827.85741</v>
      </c>
      <c r="CP275" s="103">
        <v>26.54</v>
      </c>
      <c r="CQ275" s="103">
        <v>4566644.0077400003</v>
      </c>
      <c r="CR275" s="103">
        <v>55.59</v>
      </c>
      <c r="CS275" s="103">
        <f t="shared" si="17"/>
        <v>1475.3586</v>
      </c>
      <c r="CT275" s="103">
        <v>334296.59999999998</v>
      </c>
      <c r="CU275" s="103">
        <v>472327.6</v>
      </c>
      <c r="CV275" s="104">
        <v>0.70776427208573034</v>
      </c>
      <c r="CW275" s="103">
        <v>573739.03596000001</v>
      </c>
      <c r="CX275" s="103">
        <v>42.66</v>
      </c>
      <c r="CY275" s="103">
        <v>5099704.0481500002</v>
      </c>
      <c r="CZ275" s="103">
        <v>50.958236401905395</v>
      </c>
      <c r="DA275" s="103">
        <f t="shared" si="18"/>
        <v>2173.8783649052839</v>
      </c>
      <c r="DB275" s="103">
        <v>266061.40000000002</v>
      </c>
      <c r="DC275" s="103">
        <v>238479.3</v>
      </c>
      <c r="DD275" s="104">
        <v>1.1156582562931039</v>
      </c>
      <c r="DE275" s="103">
        <v>336706.28418999998</v>
      </c>
      <c r="DF275" s="103">
        <v>22.1</v>
      </c>
      <c r="DG275" s="103">
        <v>4336352.5644100001</v>
      </c>
      <c r="DH275" s="103">
        <v>40.96</v>
      </c>
      <c r="DI275" s="103">
        <f t="shared" si="19"/>
        <v>905.21600000000012</v>
      </c>
      <c r="DJ275" s="103">
        <v>442298.4</v>
      </c>
      <c r="DK275" s="103">
        <v>513686</v>
      </c>
      <c r="DL275" s="104">
        <v>0.86102872182617396</v>
      </c>
    </row>
    <row r="276" spans="1:116" s="15" customFormat="1" ht="248.45" customHeight="1" x14ac:dyDescent="0.25">
      <c r="A276" s="100" t="s">
        <v>361</v>
      </c>
      <c r="B276" s="100" t="s">
        <v>2656</v>
      </c>
      <c r="C276" s="100" t="s">
        <v>279</v>
      </c>
      <c r="D276" s="101" t="str">
        <f>"Chemistry 90"</f>
        <v>Chemistry 90</v>
      </c>
      <c r="E276" s="102" t="s">
        <v>2657</v>
      </c>
      <c r="F276" s="100">
        <v>12</v>
      </c>
      <c r="G276" s="100">
        <v>6</v>
      </c>
      <c r="H276" s="100">
        <v>0.5</v>
      </c>
      <c r="I276" s="100">
        <v>13</v>
      </c>
      <c r="J276" s="100">
        <v>1</v>
      </c>
      <c r="K276" s="100">
        <v>1</v>
      </c>
      <c r="L276" s="100">
        <v>1</v>
      </c>
      <c r="M276" s="100">
        <v>1</v>
      </c>
      <c r="N276" s="100">
        <v>1</v>
      </c>
      <c r="O276" s="100">
        <v>1</v>
      </c>
      <c r="P276" s="100">
        <v>2.87</v>
      </c>
      <c r="Q276" s="100">
        <v>12.03</v>
      </c>
      <c r="R276" s="100">
        <v>2</v>
      </c>
      <c r="S276" s="100">
        <v>0</v>
      </c>
      <c r="T276" s="100">
        <v>0</v>
      </c>
      <c r="U276" s="100">
        <v>1</v>
      </c>
      <c r="V276" s="100">
        <v>0</v>
      </c>
      <c r="W276" s="100">
        <v>0</v>
      </c>
      <c r="X276" s="100">
        <v>1</v>
      </c>
      <c r="Y276" s="100">
        <v>0</v>
      </c>
      <c r="Z276" s="100">
        <v>1</v>
      </c>
      <c r="AA276" s="100">
        <v>0</v>
      </c>
      <c r="AB276" s="100">
        <v>0</v>
      </c>
      <c r="AC276" s="100">
        <v>1</v>
      </c>
      <c r="AD276" s="100">
        <v>0</v>
      </c>
      <c r="AE276" s="100">
        <v>0</v>
      </c>
      <c r="AF276" s="100">
        <v>0</v>
      </c>
      <c r="AG276" s="100">
        <v>1</v>
      </c>
      <c r="AH276" s="100">
        <v>1</v>
      </c>
      <c r="AI276" s="100">
        <v>0</v>
      </c>
      <c r="AJ276" s="100">
        <v>0</v>
      </c>
      <c r="AK276" s="100">
        <v>0</v>
      </c>
      <c r="AL276" s="100">
        <v>0</v>
      </c>
      <c r="AM276" s="100">
        <v>0</v>
      </c>
      <c r="AN276" s="100">
        <v>0</v>
      </c>
      <c r="AO276" s="100">
        <v>0</v>
      </c>
      <c r="AP276" s="100">
        <v>0</v>
      </c>
      <c r="AQ276" s="100">
        <v>0</v>
      </c>
      <c r="AR276" s="100">
        <v>0</v>
      </c>
      <c r="AS276" s="100">
        <v>0</v>
      </c>
      <c r="AT276" s="100">
        <v>0</v>
      </c>
      <c r="AU276" s="100">
        <v>0</v>
      </c>
      <c r="AV276" s="100">
        <v>0</v>
      </c>
      <c r="AW276" s="100">
        <v>0</v>
      </c>
      <c r="AX276" s="100">
        <v>0</v>
      </c>
      <c r="AY276" s="100">
        <v>0</v>
      </c>
      <c r="AZ276" s="100">
        <v>0</v>
      </c>
      <c r="BA276" s="100">
        <v>0</v>
      </c>
      <c r="BB276" s="100">
        <v>0</v>
      </c>
      <c r="BC276" s="100">
        <v>0</v>
      </c>
      <c r="BD276" s="100">
        <v>0</v>
      </c>
      <c r="BE276" s="100">
        <v>0</v>
      </c>
      <c r="BF276" s="100">
        <v>0</v>
      </c>
      <c r="BG276" s="100">
        <v>0</v>
      </c>
      <c r="BH276" s="100">
        <v>0</v>
      </c>
      <c r="BI276" s="100">
        <v>0</v>
      </c>
      <c r="BJ276" s="100">
        <v>0</v>
      </c>
      <c r="BK276" s="100">
        <v>0</v>
      </c>
      <c r="BL276" s="100">
        <v>0</v>
      </c>
      <c r="BM276" s="100">
        <v>0</v>
      </c>
      <c r="BN276" s="100">
        <v>0</v>
      </c>
      <c r="BO276" s="100">
        <v>0</v>
      </c>
      <c r="BP276" s="100">
        <v>0</v>
      </c>
      <c r="BQ276" s="100">
        <v>0</v>
      </c>
      <c r="BR276" s="100">
        <v>0</v>
      </c>
      <c r="BS276" s="100">
        <v>0</v>
      </c>
      <c r="BT276" s="100">
        <v>0</v>
      </c>
      <c r="BU276" s="100">
        <v>0</v>
      </c>
      <c r="BV276" s="100">
        <v>0</v>
      </c>
      <c r="BW276" s="100">
        <v>1</v>
      </c>
      <c r="BX276" s="100">
        <v>0</v>
      </c>
      <c r="BY276" s="100">
        <v>0</v>
      </c>
      <c r="BZ276" s="100">
        <v>0</v>
      </c>
      <c r="CA276" s="100">
        <v>1</v>
      </c>
      <c r="CB276" s="100" t="s">
        <v>2090</v>
      </c>
      <c r="CC276" s="100">
        <v>0</v>
      </c>
      <c r="CD276" s="100">
        <v>0</v>
      </c>
      <c r="CE276" s="100">
        <v>0</v>
      </c>
      <c r="CF276" s="100">
        <v>0</v>
      </c>
      <c r="CG276" s="103">
        <v>80053.137520000004</v>
      </c>
      <c r="CH276" s="103">
        <v>6.41</v>
      </c>
      <c r="CI276" s="103">
        <v>2857570.16328</v>
      </c>
      <c r="CJ276" s="103">
        <v>27.91</v>
      </c>
      <c r="CK276" s="103">
        <f t="shared" si="16"/>
        <v>178.90309999999999</v>
      </c>
      <c r="CL276" s="103">
        <v>162596.6</v>
      </c>
      <c r="CM276" s="103">
        <v>203065.5</v>
      </c>
      <c r="CN276" s="104">
        <v>0.80071011570158401</v>
      </c>
      <c r="CO276" s="103">
        <v>281652.01838000002</v>
      </c>
      <c r="CP276" s="103">
        <v>18.05</v>
      </c>
      <c r="CQ276" s="103">
        <v>4487704.1510399999</v>
      </c>
      <c r="CR276" s="103">
        <v>29.44</v>
      </c>
      <c r="CS276" s="103">
        <f t="shared" si="17"/>
        <v>531.39200000000005</v>
      </c>
      <c r="CT276" s="103">
        <v>651384.1</v>
      </c>
      <c r="CU276" s="103">
        <v>683396.5</v>
      </c>
      <c r="CV276" s="104">
        <v>0.95315691549488468</v>
      </c>
      <c r="CW276" s="103">
        <v>608217.75448999996</v>
      </c>
      <c r="CX276" s="103">
        <v>46.63</v>
      </c>
      <c r="CY276" s="103">
        <v>5652538.0295500001</v>
      </c>
      <c r="CZ276" s="103">
        <v>51.575249320036264</v>
      </c>
      <c r="DA276" s="103">
        <f t="shared" si="18"/>
        <v>2404.953875793291</v>
      </c>
      <c r="DB276" s="103">
        <v>497224.1</v>
      </c>
      <c r="DC276" s="103">
        <v>340444.2</v>
      </c>
      <c r="DD276" s="104">
        <v>1.4605157027201521</v>
      </c>
      <c r="DE276" s="103">
        <v>373122.97431000002</v>
      </c>
      <c r="DF276" s="103">
        <v>22.12</v>
      </c>
      <c r="DG276" s="103">
        <v>4742538.4027399998</v>
      </c>
      <c r="DH276" s="103">
        <v>24.63</v>
      </c>
      <c r="DI276" s="103">
        <f t="shared" si="19"/>
        <v>544.81560000000002</v>
      </c>
      <c r="DJ276" s="103">
        <v>379452.1</v>
      </c>
      <c r="DK276" s="103">
        <v>518448</v>
      </c>
      <c r="DL276" s="104">
        <v>0.73190001697373697</v>
      </c>
    </row>
    <row r="277" spans="1:116" s="15" customFormat="1" ht="241.7" customHeight="1" x14ac:dyDescent="0.25">
      <c r="A277" s="100" t="s">
        <v>362</v>
      </c>
      <c r="B277" s="100" t="s">
        <v>2658</v>
      </c>
      <c r="C277" s="100" t="s">
        <v>279</v>
      </c>
      <c r="D277" s="101" t="str">
        <f>"Chemistry 106"</f>
        <v>Chemistry 106</v>
      </c>
      <c r="E277" s="102" t="s">
        <v>2659</v>
      </c>
      <c r="F277" s="100">
        <v>10</v>
      </c>
      <c r="G277" s="100">
        <v>9</v>
      </c>
      <c r="H277" s="100">
        <v>0.9</v>
      </c>
      <c r="I277" s="100">
        <v>15</v>
      </c>
      <c r="J277" s="100">
        <v>5</v>
      </c>
      <c r="K277" s="100">
        <v>5</v>
      </c>
      <c r="L277" s="100">
        <v>3</v>
      </c>
      <c r="M277" s="100">
        <v>0</v>
      </c>
      <c r="N277" s="100">
        <v>4</v>
      </c>
      <c r="O277" s="100">
        <v>1</v>
      </c>
      <c r="P277" s="100">
        <v>-1.22</v>
      </c>
      <c r="Q277" s="100">
        <v>44.81</v>
      </c>
      <c r="R277" s="100">
        <v>2</v>
      </c>
      <c r="S277" s="100">
        <v>0</v>
      </c>
      <c r="T277" s="100">
        <v>1</v>
      </c>
      <c r="U277" s="100">
        <v>0</v>
      </c>
      <c r="V277" s="100">
        <v>0</v>
      </c>
      <c r="W277" s="100">
        <v>0</v>
      </c>
      <c r="X277" s="100">
        <v>0</v>
      </c>
      <c r="Y277" s="100">
        <v>0</v>
      </c>
      <c r="Z277" s="100">
        <v>1</v>
      </c>
      <c r="AA277" s="100">
        <v>0</v>
      </c>
      <c r="AB277" s="100">
        <v>1</v>
      </c>
      <c r="AC277" s="100">
        <v>0</v>
      </c>
      <c r="AD277" s="100">
        <v>0</v>
      </c>
      <c r="AE277" s="100">
        <v>1</v>
      </c>
      <c r="AF277" s="100">
        <v>0</v>
      </c>
      <c r="AG277" s="100">
        <v>0</v>
      </c>
      <c r="AH277" s="100">
        <v>0</v>
      </c>
      <c r="AI277" s="100">
        <v>1</v>
      </c>
      <c r="AJ277" s="100">
        <v>0</v>
      </c>
      <c r="AK277" s="100">
        <v>0</v>
      </c>
      <c r="AL277" s="100">
        <v>0</v>
      </c>
      <c r="AM277" s="100">
        <v>0</v>
      </c>
      <c r="AN277" s="100">
        <v>0</v>
      </c>
      <c r="AO277" s="100">
        <v>0</v>
      </c>
      <c r="AP277" s="100">
        <v>0</v>
      </c>
      <c r="AQ277" s="100">
        <v>0</v>
      </c>
      <c r="AR277" s="100">
        <v>0</v>
      </c>
      <c r="AS277" s="100">
        <v>0</v>
      </c>
      <c r="AT277" s="100">
        <v>1</v>
      </c>
      <c r="AU277" s="100">
        <v>0</v>
      </c>
      <c r="AV277" s="100">
        <v>0</v>
      </c>
      <c r="AW277" s="100">
        <v>0</v>
      </c>
      <c r="AX277" s="100">
        <v>0</v>
      </c>
      <c r="AY277" s="100">
        <v>0</v>
      </c>
      <c r="AZ277" s="100">
        <v>0</v>
      </c>
      <c r="BA277" s="100">
        <v>0</v>
      </c>
      <c r="BB277" s="100">
        <v>0</v>
      </c>
      <c r="BC277" s="100">
        <v>0</v>
      </c>
      <c r="BD277" s="100">
        <v>0</v>
      </c>
      <c r="BE277" s="100">
        <v>0</v>
      </c>
      <c r="BF277" s="100">
        <v>0</v>
      </c>
      <c r="BG277" s="100">
        <v>0</v>
      </c>
      <c r="BH277" s="100">
        <v>1</v>
      </c>
      <c r="BI277" s="100">
        <v>0</v>
      </c>
      <c r="BJ277" s="100">
        <v>2</v>
      </c>
      <c r="BK277" s="100">
        <v>0</v>
      </c>
      <c r="BL277" s="100">
        <v>0</v>
      </c>
      <c r="BM277" s="100">
        <v>0</v>
      </c>
      <c r="BN277" s="100">
        <v>0</v>
      </c>
      <c r="BO277" s="100">
        <v>0</v>
      </c>
      <c r="BP277" s="100">
        <v>0</v>
      </c>
      <c r="BQ277" s="100">
        <v>0</v>
      </c>
      <c r="BR277" s="100">
        <v>0</v>
      </c>
      <c r="BS277" s="100">
        <v>0</v>
      </c>
      <c r="BT277" s="100">
        <v>0</v>
      </c>
      <c r="BU277" s="100">
        <v>0</v>
      </c>
      <c r="BV277" s="100">
        <v>0</v>
      </c>
      <c r="BW277" s="100">
        <v>0</v>
      </c>
      <c r="BX277" s="100">
        <v>1</v>
      </c>
      <c r="BY277" s="100">
        <v>0</v>
      </c>
      <c r="BZ277" s="100">
        <v>0</v>
      </c>
      <c r="CA277" s="100">
        <v>0</v>
      </c>
      <c r="CB277" s="100" t="s">
        <v>2090</v>
      </c>
      <c r="CC277" s="100">
        <v>1</v>
      </c>
      <c r="CD277" s="100">
        <v>0</v>
      </c>
      <c r="CE277" s="100">
        <v>0</v>
      </c>
      <c r="CF277" s="100">
        <v>0</v>
      </c>
      <c r="CG277" s="103">
        <v>698559.53194000002</v>
      </c>
      <c r="CH277" s="103">
        <v>40.68</v>
      </c>
      <c r="CI277" s="103">
        <v>3175170.7355</v>
      </c>
      <c r="CJ277" s="103">
        <v>50.82</v>
      </c>
      <c r="CK277" s="103">
        <f t="shared" si="16"/>
        <v>2067.3575999999998</v>
      </c>
      <c r="CL277" s="103">
        <v>230318.3</v>
      </c>
      <c r="CM277" s="103">
        <v>315270</v>
      </c>
      <c r="CN277" s="104">
        <v>0.73054302661211024</v>
      </c>
      <c r="CO277" s="103">
        <v>160474.03448999999</v>
      </c>
      <c r="CP277" s="103">
        <v>9.51</v>
      </c>
      <c r="CQ277" s="103">
        <v>1554812.47483</v>
      </c>
      <c r="CR277" s="103">
        <v>30.04</v>
      </c>
      <c r="CS277" s="103">
        <f t="shared" si="17"/>
        <v>285.68039999999996</v>
      </c>
      <c r="CT277" s="103">
        <v>40222.199999999997</v>
      </c>
      <c r="CU277" s="103">
        <v>155819</v>
      </c>
      <c r="CV277" s="104">
        <v>0.25813411714874307</v>
      </c>
      <c r="CW277" s="103">
        <v>1106357.1416199999</v>
      </c>
      <c r="CX277" s="103">
        <v>68.59</v>
      </c>
      <c r="CY277" s="103">
        <v>4314918.0766399996</v>
      </c>
      <c r="CZ277" s="103">
        <v>65.120844068212477</v>
      </c>
      <c r="DA277" s="103">
        <f t="shared" si="18"/>
        <v>4466.6386946386938</v>
      </c>
      <c r="DB277" s="103">
        <v>335191.2</v>
      </c>
      <c r="DC277" s="103">
        <v>255450.1</v>
      </c>
      <c r="DD277" s="104">
        <v>1.312159204478683</v>
      </c>
      <c r="DE277" s="103">
        <v>150150.50789000001</v>
      </c>
      <c r="DF277" s="103">
        <v>9.27</v>
      </c>
      <c r="DG277" s="103">
        <v>1417562.3554400001</v>
      </c>
      <c r="DH277" s="103">
        <v>23.13</v>
      </c>
      <c r="DI277" s="103">
        <f t="shared" si="19"/>
        <v>214.41509999999997</v>
      </c>
      <c r="DJ277" s="103">
        <v>37847.300000000003</v>
      </c>
      <c r="DK277" s="103">
        <v>152709.9</v>
      </c>
      <c r="DL277" s="104">
        <v>0.24783789394138825</v>
      </c>
    </row>
    <row r="278" spans="1:116" s="15" customFormat="1" ht="112.7" customHeight="1" x14ac:dyDescent="0.25">
      <c r="A278" s="100" t="s">
        <v>363</v>
      </c>
      <c r="B278" s="100" t="s">
        <v>2660</v>
      </c>
      <c r="C278" s="100" t="s">
        <v>279</v>
      </c>
      <c r="D278" s="101" t="str">
        <f>"Chemistry 176"</f>
        <v>Chemistry 176</v>
      </c>
      <c r="E278" s="102" t="s">
        <v>2661</v>
      </c>
      <c r="F278" s="100">
        <v>9</v>
      </c>
      <c r="G278" s="100">
        <v>3</v>
      </c>
      <c r="H278" s="100">
        <v>0.33</v>
      </c>
      <c r="I278" s="100">
        <v>10</v>
      </c>
      <c r="J278" s="100">
        <v>1</v>
      </c>
      <c r="K278" s="100">
        <v>1</v>
      </c>
      <c r="L278" s="100">
        <v>1</v>
      </c>
      <c r="M278" s="100">
        <v>1</v>
      </c>
      <c r="N278" s="100">
        <v>1</v>
      </c>
      <c r="O278" s="100">
        <v>1</v>
      </c>
      <c r="P278" s="100">
        <v>1.59</v>
      </c>
      <c r="Q278" s="100">
        <v>12.03</v>
      </c>
      <c r="R278" s="100">
        <v>0</v>
      </c>
      <c r="S278" s="100">
        <v>0</v>
      </c>
      <c r="T278" s="100">
        <v>0</v>
      </c>
      <c r="U278" s="100">
        <v>1</v>
      </c>
      <c r="V278" s="100">
        <v>0</v>
      </c>
      <c r="W278" s="100">
        <v>0</v>
      </c>
      <c r="X278" s="100">
        <v>1</v>
      </c>
      <c r="Y278" s="100">
        <v>0</v>
      </c>
      <c r="Z278" s="100">
        <v>1</v>
      </c>
      <c r="AA278" s="100">
        <v>0</v>
      </c>
      <c r="AB278" s="100">
        <v>0</v>
      </c>
      <c r="AC278" s="100">
        <v>1</v>
      </c>
      <c r="AD278" s="100">
        <v>0</v>
      </c>
      <c r="AE278" s="100">
        <v>0</v>
      </c>
      <c r="AF278" s="100">
        <v>1</v>
      </c>
      <c r="AG278" s="100">
        <v>0</v>
      </c>
      <c r="AH278" s="100">
        <v>1</v>
      </c>
      <c r="AI278" s="100">
        <v>0</v>
      </c>
      <c r="AJ278" s="100">
        <v>0</v>
      </c>
      <c r="AK278" s="100">
        <v>0</v>
      </c>
      <c r="AL278" s="100">
        <v>0</v>
      </c>
      <c r="AM278" s="100">
        <v>0</v>
      </c>
      <c r="AN278" s="100">
        <v>0</v>
      </c>
      <c r="AO278" s="100">
        <v>0</v>
      </c>
      <c r="AP278" s="100">
        <v>0</v>
      </c>
      <c r="AQ278" s="100">
        <v>0</v>
      </c>
      <c r="AR278" s="100">
        <v>0</v>
      </c>
      <c r="AS278" s="100">
        <v>0</v>
      </c>
      <c r="AT278" s="100">
        <v>0</v>
      </c>
      <c r="AU278" s="100">
        <v>0</v>
      </c>
      <c r="AV278" s="100">
        <v>0</v>
      </c>
      <c r="AW278" s="100">
        <v>0</v>
      </c>
      <c r="AX278" s="100">
        <v>0</v>
      </c>
      <c r="AY278" s="100">
        <v>0</v>
      </c>
      <c r="AZ278" s="100">
        <v>0</v>
      </c>
      <c r="BA278" s="100">
        <v>0</v>
      </c>
      <c r="BB278" s="100">
        <v>0</v>
      </c>
      <c r="BC278" s="100">
        <v>0</v>
      </c>
      <c r="BD278" s="100">
        <v>0</v>
      </c>
      <c r="BE278" s="100">
        <v>0</v>
      </c>
      <c r="BF278" s="100">
        <v>0</v>
      </c>
      <c r="BG278" s="100">
        <v>0</v>
      </c>
      <c r="BH278" s="100">
        <v>0</v>
      </c>
      <c r="BI278" s="100">
        <v>0</v>
      </c>
      <c r="BJ278" s="100">
        <v>0</v>
      </c>
      <c r="BK278" s="100">
        <v>0</v>
      </c>
      <c r="BL278" s="100">
        <v>0</v>
      </c>
      <c r="BM278" s="100">
        <v>0</v>
      </c>
      <c r="BN278" s="100">
        <v>0</v>
      </c>
      <c r="BO278" s="100">
        <v>0</v>
      </c>
      <c r="BP278" s="100">
        <v>0</v>
      </c>
      <c r="BQ278" s="100">
        <v>0</v>
      </c>
      <c r="BR278" s="100">
        <v>0</v>
      </c>
      <c r="BS278" s="100">
        <v>0</v>
      </c>
      <c r="BT278" s="100">
        <v>0</v>
      </c>
      <c r="BU278" s="100">
        <v>0</v>
      </c>
      <c r="BV278" s="100">
        <v>0</v>
      </c>
      <c r="BW278" s="100">
        <v>1</v>
      </c>
      <c r="BX278" s="100">
        <v>0</v>
      </c>
      <c r="BY278" s="100">
        <v>0</v>
      </c>
      <c r="BZ278" s="100">
        <v>1</v>
      </c>
      <c r="CA278" s="100">
        <v>1</v>
      </c>
      <c r="CB278" s="100" t="s">
        <v>2090</v>
      </c>
      <c r="CC278" s="100">
        <v>0</v>
      </c>
      <c r="CD278" s="100">
        <v>0</v>
      </c>
      <c r="CE278" s="100">
        <v>0</v>
      </c>
      <c r="CF278" s="100">
        <v>0</v>
      </c>
      <c r="CG278" s="103">
        <v>187815.11014</v>
      </c>
      <c r="CH278" s="103">
        <v>14.74</v>
      </c>
      <c r="CI278" s="103">
        <v>3300206.9560799999</v>
      </c>
      <c r="CJ278" s="103">
        <v>48.35</v>
      </c>
      <c r="CK278" s="103">
        <f t="shared" si="16"/>
        <v>712.67900000000009</v>
      </c>
      <c r="CL278" s="103">
        <v>34480.800000000003</v>
      </c>
      <c r="CM278" s="103">
        <v>48597.3</v>
      </c>
      <c r="CN278" s="104">
        <v>0.70952089930922091</v>
      </c>
      <c r="CO278" s="103">
        <v>443919.80573999998</v>
      </c>
      <c r="CP278" s="103">
        <v>23.28</v>
      </c>
      <c r="CQ278" s="103">
        <v>4276876.8665300002</v>
      </c>
      <c r="CR278" s="103">
        <v>28.83</v>
      </c>
      <c r="CS278" s="103">
        <f t="shared" si="17"/>
        <v>671.16240000000005</v>
      </c>
      <c r="CT278" s="103">
        <v>440779.8</v>
      </c>
      <c r="CU278" s="103">
        <v>403552.2</v>
      </c>
      <c r="CV278" s="104">
        <v>1.092249775865427</v>
      </c>
      <c r="CW278" s="103">
        <v>1020323.00945</v>
      </c>
      <c r="CX278" s="103">
        <v>61.18</v>
      </c>
      <c r="CY278" s="103">
        <v>5616566.2898399998</v>
      </c>
      <c r="CZ278" s="103">
        <v>64.13754227733935</v>
      </c>
      <c r="DA278" s="103">
        <f t="shared" si="18"/>
        <v>3923.9348365276214</v>
      </c>
      <c r="DB278" s="103">
        <v>79901.399999999994</v>
      </c>
      <c r="DC278" s="103">
        <v>13894.7</v>
      </c>
      <c r="DD278" s="104">
        <v>5.7504947929786168</v>
      </c>
      <c r="DE278" s="103">
        <v>23411.569220000001</v>
      </c>
      <c r="DF278" s="103">
        <v>1.1000000000000001</v>
      </c>
      <c r="DG278" s="103">
        <v>857230.56920000003</v>
      </c>
      <c r="DH278" s="103">
        <v>8.3699999999999992</v>
      </c>
      <c r="DI278" s="103">
        <f t="shared" si="19"/>
        <v>9.2070000000000007</v>
      </c>
      <c r="DJ278" s="103">
        <v>21614.9</v>
      </c>
      <c r="DK278" s="103">
        <v>286475.2</v>
      </c>
      <c r="DL278" s="104">
        <v>7.5451208341943743E-2</v>
      </c>
    </row>
    <row r="279" spans="1:116" s="15" customFormat="1" ht="177.95" customHeight="1" x14ac:dyDescent="0.25">
      <c r="A279" s="100" t="s">
        <v>364</v>
      </c>
      <c r="B279" s="100" t="s">
        <v>2662</v>
      </c>
      <c r="C279" s="100" t="s">
        <v>279</v>
      </c>
      <c r="D279" s="101" t="str">
        <f>"Chemistry 135"</f>
        <v>Chemistry 135</v>
      </c>
      <c r="E279" s="102" t="s">
        <v>1992</v>
      </c>
      <c r="F279" s="100">
        <v>11</v>
      </c>
      <c r="G279" s="100">
        <v>5</v>
      </c>
      <c r="H279" s="100">
        <v>0.45</v>
      </c>
      <c r="I279" s="100">
        <v>13</v>
      </c>
      <c r="J279" s="100">
        <v>2</v>
      </c>
      <c r="K279" s="100">
        <v>2</v>
      </c>
      <c r="L279" s="100">
        <v>2</v>
      </c>
      <c r="M279" s="100">
        <v>1</v>
      </c>
      <c r="N279" s="100">
        <v>2</v>
      </c>
      <c r="O279" s="100">
        <v>1</v>
      </c>
      <c r="P279" s="100">
        <v>2.61</v>
      </c>
      <c r="Q279" s="100">
        <v>15.27</v>
      </c>
      <c r="R279" s="100">
        <v>1</v>
      </c>
      <c r="S279" s="100">
        <v>0</v>
      </c>
      <c r="T279" s="100">
        <v>0</v>
      </c>
      <c r="U279" s="100">
        <v>1</v>
      </c>
      <c r="V279" s="100">
        <v>0</v>
      </c>
      <c r="W279" s="100">
        <v>1</v>
      </c>
      <c r="X279" s="100">
        <v>0</v>
      </c>
      <c r="Y279" s="100">
        <v>0</v>
      </c>
      <c r="Z279" s="100">
        <v>1</v>
      </c>
      <c r="AA279" s="100">
        <v>0</v>
      </c>
      <c r="AB279" s="100">
        <v>0</v>
      </c>
      <c r="AC279" s="100">
        <v>1</v>
      </c>
      <c r="AD279" s="100">
        <v>0</v>
      </c>
      <c r="AE279" s="100">
        <v>0</v>
      </c>
      <c r="AF279" s="100">
        <v>0</v>
      </c>
      <c r="AG279" s="100">
        <v>1</v>
      </c>
      <c r="AH279" s="100">
        <v>1</v>
      </c>
      <c r="AI279" s="100">
        <v>0</v>
      </c>
      <c r="AJ279" s="100">
        <v>0</v>
      </c>
      <c r="AK279" s="100">
        <v>0</v>
      </c>
      <c r="AL279" s="100">
        <v>0</v>
      </c>
      <c r="AM279" s="100">
        <v>0</v>
      </c>
      <c r="AN279" s="100">
        <v>0</v>
      </c>
      <c r="AO279" s="100">
        <v>0</v>
      </c>
      <c r="AP279" s="100">
        <v>0</v>
      </c>
      <c r="AQ279" s="100">
        <v>0</v>
      </c>
      <c r="AR279" s="100">
        <v>0</v>
      </c>
      <c r="AS279" s="100">
        <v>0</v>
      </c>
      <c r="AT279" s="100">
        <v>0</v>
      </c>
      <c r="AU279" s="100">
        <v>1</v>
      </c>
      <c r="AV279" s="100">
        <v>0</v>
      </c>
      <c r="AW279" s="100">
        <v>0</v>
      </c>
      <c r="AX279" s="100">
        <v>0</v>
      </c>
      <c r="AY279" s="100">
        <v>0</v>
      </c>
      <c r="AZ279" s="100">
        <v>0</v>
      </c>
      <c r="BA279" s="100">
        <v>0</v>
      </c>
      <c r="BB279" s="100">
        <v>0</v>
      </c>
      <c r="BC279" s="100">
        <v>0</v>
      </c>
      <c r="BD279" s="100">
        <v>0</v>
      </c>
      <c r="BE279" s="100">
        <v>0</v>
      </c>
      <c r="BF279" s="100">
        <v>0</v>
      </c>
      <c r="BG279" s="100">
        <v>0</v>
      </c>
      <c r="BH279" s="100">
        <v>0</v>
      </c>
      <c r="BI279" s="100">
        <v>0</v>
      </c>
      <c r="BJ279" s="100">
        <v>1</v>
      </c>
      <c r="BK279" s="100">
        <v>0</v>
      </c>
      <c r="BL279" s="100">
        <v>0</v>
      </c>
      <c r="BM279" s="100">
        <v>0</v>
      </c>
      <c r="BN279" s="100">
        <v>0</v>
      </c>
      <c r="BO279" s="100">
        <v>0</v>
      </c>
      <c r="BP279" s="100">
        <v>0</v>
      </c>
      <c r="BQ279" s="100">
        <v>0</v>
      </c>
      <c r="BR279" s="100">
        <v>0</v>
      </c>
      <c r="BS279" s="100">
        <v>0</v>
      </c>
      <c r="BT279" s="100">
        <v>0</v>
      </c>
      <c r="BU279" s="100">
        <v>0</v>
      </c>
      <c r="BV279" s="100">
        <v>0</v>
      </c>
      <c r="BW279" s="100">
        <v>0</v>
      </c>
      <c r="BX279" s="100">
        <v>1</v>
      </c>
      <c r="BY279" s="100">
        <v>0</v>
      </c>
      <c r="BZ279" s="100">
        <v>1</v>
      </c>
      <c r="CA279" s="100">
        <v>0</v>
      </c>
      <c r="CB279" s="100" t="s">
        <v>2090</v>
      </c>
      <c r="CC279" s="100">
        <v>0</v>
      </c>
      <c r="CD279" s="100">
        <v>0</v>
      </c>
      <c r="CE279" s="100">
        <v>0</v>
      </c>
      <c r="CF279" s="100">
        <v>1</v>
      </c>
      <c r="CG279" s="103">
        <v>253491.1783</v>
      </c>
      <c r="CH279" s="103">
        <v>13.54</v>
      </c>
      <c r="CI279" s="103">
        <v>3277726.0264599998</v>
      </c>
      <c r="CJ279" s="103">
        <v>23.73</v>
      </c>
      <c r="CK279" s="103">
        <f t="shared" si="16"/>
        <v>321.30419999999998</v>
      </c>
      <c r="CL279" s="103">
        <v>202923.2</v>
      </c>
      <c r="CM279" s="103">
        <v>688491.9</v>
      </c>
      <c r="CN279" s="104">
        <v>0.29473578411016893</v>
      </c>
      <c r="CO279" s="103">
        <v>58593.124199999998</v>
      </c>
      <c r="CP279" s="103">
        <v>2.96</v>
      </c>
      <c r="CQ279" s="103">
        <v>1803708.9084699999</v>
      </c>
      <c r="CR279" s="103">
        <v>15.8</v>
      </c>
      <c r="CS279" s="103">
        <f t="shared" si="17"/>
        <v>46.768000000000001</v>
      </c>
      <c r="CT279" s="103">
        <v>148464.29999999999</v>
      </c>
      <c r="CU279" s="103">
        <v>853820.5</v>
      </c>
      <c r="CV279" s="104">
        <v>0.1738823324106179</v>
      </c>
      <c r="CW279" s="103">
        <v>851200.23236999998</v>
      </c>
      <c r="CX279" s="103">
        <v>47.85</v>
      </c>
      <c r="CY279" s="103">
        <v>4749855.9195699999</v>
      </c>
      <c r="CZ279" s="103">
        <v>39.891436800708988</v>
      </c>
      <c r="DA279" s="103">
        <f t="shared" si="18"/>
        <v>1908.8052509139252</v>
      </c>
      <c r="DB279" s="103">
        <v>303869.09999999998</v>
      </c>
      <c r="DC279" s="103">
        <v>361034.9</v>
      </c>
      <c r="DD279" s="104">
        <v>0.84166129091675057</v>
      </c>
      <c r="DE279" s="103">
        <v>83850.954180000001</v>
      </c>
      <c r="DF279" s="103">
        <v>4.33</v>
      </c>
      <c r="DG279" s="103">
        <v>2049719.05596</v>
      </c>
      <c r="DH279" s="103">
        <v>12.1</v>
      </c>
      <c r="DI279" s="103">
        <f t="shared" si="19"/>
        <v>52.393000000000001</v>
      </c>
      <c r="DJ279" s="103">
        <v>88529.1</v>
      </c>
      <c r="DK279" s="103">
        <v>677325.6</v>
      </c>
      <c r="DL279" s="104">
        <v>0.1307039037059872</v>
      </c>
    </row>
    <row r="280" spans="1:116" s="15" customFormat="1" ht="151.69999999999999" customHeight="1" x14ac:dyDescent="0.25">
      <c r="A280" s="100" t="s">
        <v>365</v>
      </c>
      <c r="B280" s="100" t="s">
        <v>2663</v>
      </c>
      <c r="C280" s="100" t="s">
        <v>279</v>
      </c>
      <c r="D280" s="101" t="str">
        <f>"Chemistry 158"</f>
        <v>Chemistry 158</v>
      </c>
      <c r="E280" s="102" t="s">
        <v>2664</v>
      </c>
      <c r="F280" s="100">
        <v>7</v>
      </c>
      <c r="G280" s="100">
        <v>7</v>
      </c>
      <c r="H280" s="100">
        <v>1</v>
      </c>
      <c r="I280" s="100">
        <v>9</v>
      </c>
      <c r="J280" s="100">
        <v>2</v>
      </c>
      <c r="K280" s="100">
        <v>2</v>
      </c>
      <c r="L280" s="100">
        <v>2</v>
      </c>
      <c r="M280" s="100">
        <v>0</v>
      </c>
      <c r="N280" s="100">
        <v>2</v>
      </c>
      <c r="O280" s="100">
        <v>1</v>
      </c>
      <c r="P280" s="100">
        <v>-0.37</v>
      </c>
      <c r="Q280" s="100">
        <v>15.27</v>
      </c>
      <c r="R280" s="100">
        <v>1</v>
      </c>
      <c r="S280" s="100">
        <v>0</v>
      </c>
      <c r="T280" s="100">
        <v>0</v>
      </c>
      <c r="U280" s="100">
        <v>1</v>
      </c>
      <c r="V280" s="100">
        <v>0</v>
      </c>
      <c r="W280" s="100">
        <v>1</v>
      </c>
      <c r="X280" s="100">
        <v>0</v>
      </c>
      <c r="Y280" s="100">
        <v>0</v>
      </c>
      <c r="Z280" s="100">
        <v>1</v>
      </c>
      <c r="AA280" s="100">
        <v>0</v>
      </c>
      <c r="AB280" s="100">
        <v>0</v>
      </c>
      <c r="AC280" s="100">
        <v>1</v>
      </c>
      <c r="AD280" s="100">
        <v>0</v>
      </c>
      <c r="AE280" s="100">
        <v>1</v>
      </c>
      <c r="AF280" s="100">
        <v>0</v>
      </c>
      <c r="AG280" s="100">
        <v>0</v>
      </c>
      <c r="AH280" s="100">
        <v>1</v>
      </c>
      <c r="AI280" s="100">
        <v>0</v>
      </c>
      <c r="AJ280" s="100">
        <v>0</v>
      </c>
      <c r="AK280" s="100">
        <v>0</v>
      </c>
      <c r="AL280" s="100">
        <v>0</v>
      </c>
      <c r="AM280" s="100">
        <v>0</v>
      </c>
      <c r="AN280" s="100">
        <v>0</v>
      </c>
      <c r="AO280" s="100">
        <v>0</v>
      </c>
      <c r="AP280" s="100">
        <v>0</v>
      </c>
      <c r="AQ280" s="100">
        <v>0</v>
      </c>
      <c r="AR280" s="100">
        <v>0</v>
      </c>
      <c r="AS280" s="100">
        <v>0</v>
      </c>
      <c r="AT280" s="100">
        <v>0</v>
      </c>
      <c r="AU280" s="100">
        <v>0</v>
      </c>
      <c r="AV280" s="100">
        <v>0</v>
      </c>
      <c r="AW280" s="100">
        <v>0</v>
      </c>
      <c r="AX280" s="100">
        <v>0</v>
      </c>
      <c r="AY280" s="100">
        <v>0</v>
      </c>
      <c r="AZ280" s="100">
        <v>0</v>
      </c>
      <c r="BA280" s="100">
        <v>0</v>
      </c>
      <c r="BB280" s="100">
        <v>0</v>
      </c>
      <c r="BC280" s="100">
        <v>0</v>
      </c>
      <c r="BD280" s="100">
        <v>0</v>
      </c>
      <c r="BE280" s="100">
        <v>0</v>
      </c>
      <c r="BF280" s="100">
        <v>0</v>
      </c>
      <c r="BG280" s="100">
        <v>0</v>
      </c>
      <c r="BH280" s="100">
        <v>1</v>
      </c>
      <c r="BI280" s="100">
        <v>0</v>
      </c>
      <c r="BJ280" s="100">
        <v>1</v>
      </c>
      <c r="BK280" s="100">
        <v>0</v>
      </c>
      <c r="BL280" s="100">
        <v>0</v>
      </c>
      <c r="BM280" s="100">
        <v>0</v>
      </c>
      <c r="BN280" s="100">
        <v>0</v>
      </c>
      <c r="BO280" s="100">
        <v>0</v>
      </c>
      <c r="BP280" s="100">
        <v>0</v>
      </c>
      <c r="BQ280" s="100">
        <v>0</v>
      </c>
      <c r="BR280" s="100">
        <v>0</v>
      </c>
      <c r="BS280" s="100">
        <v>0</v>
      </c>
      <c r="BT280" s="100">
        <v>0</v>
      </c>
      <c r="BU280" s="100">
        <v>0</v>
      </c>
      <c r="BV280" s="100">
        <v>0</v>
      </c>
      <c r="BW280" s="100">
        <v>1</v>
      </c>
      <c r="BX280" s="100">
        <v>0</v>
      </c>
      <c r="BY280" s="100">
        <v>0</v>
      </c>
      <c r="BZ280" s="100">
        <v>0</v>
      </c>
      <c r="CA280" s="100">
        <v>1</v>
      </c>
      <c r="CB280" s="100" t="s">
        <v>2090</v>
      </c>
      <c r="CC280" s="100">
        <v>0</v>
      </c>
      <c r="CD280" s="100">
        <v>0</v>
      </c>
      <c r="CE280" s="100">
        <v>0</v>
      </c>
      <c r="CF280" s="100">
        <v>0</v>
      </c>
      <c r="CG280" s="103">
        <v>507205.14811000001</v>
      </c>
      <c r="CH280" s="103">
        <v>32.06</v>
      </c>
      <c r="CI280" s="103">
        <v>2959132.3976500002</v>
      </c>
      <c r="CJ280" s="103">
        <v>49.73</v>
      </c>
      <c r="CK280" s="103">
        <f t="shared" si="16"/>
        <v>1594.3438000000001</v>
      </c>
      <c r="CL280" s="103">
        <v>744095.4</v>
      </c>
      <c r="CM280" s="103">
        <v>709984.8</v>
      </c>
      <c r="CN280" s="104">
        <v>1.0480441271418768</v>
      </c>
      <c r="CO280" s="103">
        <v>109179.53455</v>
      </c>
      <c r="CP280" s="103">
        <v>7.61</v>
      </c>
      <c r="CQ280" s="103">
        <v>1278664.2860600001</v>
      </c>
      <c r="CR280" s="103">
        <v>25.77</v>
      </c>
      <c r="CS280" s="103">
        <f t="shared" si="17"/>
        <v>196.1097</v>
      </c>
      <c r="CT280" s="103">
        <v>255171.7</v>
      </c>
      <c r="CU280" s="103">
        <v>589050.30000000005</v>
      </c>
      <c r="CV280" s="104">
        <v>0.43319169856971468</v>
      </c>
      <c r="CW280" s="103">
        <v>556757.29070000001</v>
      </c>
      <c r="CX280" s="103">
        <v>34.5</v>
      </c>
      <c r="CY280" s="103">
        <v>4639828.9963699998</v>
      </c>
      <c r="CZ280" s="103">
        <v>60.42662743655756</v>
      </c>
      <c r="DA280" s="103">
        <f t="shared" si="18"/>
        <v>2084.7186465612358</v>
      </c>
      <c r="DB280" s="103">
        <v>707013</v>
      </c>
      <c r="DC280" s="103">
        <v>438089.8</v>
      </c>
      <c r="DD280" s="104">
        <v>1.6138540545796776</v>
      </c>
      <c r="DE280" s="103">
        <v>0</v>
      </c>
      <c r="DF280" s="103">
        <v>0</v>
      </c>
      <c r="DG280" s="103">
        <v>35244.991620000001</v>
      </c>
      <c r="DH280" s="103">
        <v>0</v>
      </c>
      <c r="DI280" s="103">
        <f t="shared" si="19"/>
        <v>0</v>
      </c>
      <c r="DJ280" s="103">
        <v>8576.6</v>
      </c>
      <c r="DK280" s="103">
        <v>494825.3</v>
      </c>
      <c r="DL280" s="104">
        <v>1.7332581822311836E-2</v>
      </c>
    </row>
    <row r="281" spans="1:116" s="15" customFormat="1" ht="180.2" customHeight="1" x14ac:dyDescent="0.25">
      <c r="A281" s="100" t="s">
        <v>366</v>
      </c>
      <c r="B281" s="100" t="s">
        <v>2665</v>
      </c>
      <c r="C281" s="100" t="s">
        <v>279</v>
      </c>
      <c r="D281" s="101" t="str">
        <f>"Chemistry 72"</f>
        <v>Chemistry 72</v>
      </c>
      <c r="E281" s="102" t="s">
        <v>2666</v>
      </c>
      <c r="F281" s="100">
        <v>12</v>
      </c>
      <c r="G281" s="100">
        <v>6</v>
      </c>
      <c r="H281" s="100">
        <v>0.5</v>
      </c>
      <c r="I281" s="100">
        <v>14</v>
      </c>
      <c r="J281" s="100">
        <v>2</v>
      </c>
      <c r="K281" s="100">
        <v>2</v>
      </c>
      <c r="L281" s="100">
        <v>2</v>
      </c>
      <c r="M281" s="100">
        <v>1</v>
      </c>
      <c r="N281" s="100">
        <v>2</v>
      </c>
      <c r="O281" s="100">
        <v>1</v>
      </c>
      <c r="P281" s="100">
        <v>3.09</v>
      </c>
      <c r="Q281" s="100">
        <v>15.27</v>
      </c>
      <c r="R281" s="100">
        <v>1</v>
      </c>
      <c r="S281" s="100">
        <v>0</v>
      </c>
      <c r="T281" s="100">
        <v>0</v>
      </c>
      <c r="U281" s="100">
        <v>1</v>
      </c>
      <c r="V281" s="100">
        <v>0</v>
      </c>
      <c r="W281" s="100">
        <v>1</v>
      </c>
      <c r="X281" s="100">
        <v>0</v>
      </c>
      <c r="Y281" s="100">
        <v>0</v>
      </c>
      <c r="Z281" s="100">
        <v>1</v>
      </c>
      <c r="AA281" s="100">
        <v>0</v>
      </c>
      <c r="AB281" s="100">
        <v>0</v>
      </c>
      <c r="AC281" s="100">
        <v>1</v>
      </c>
      <c r="AD281" s="100">
        <v>0</v>
      </c>
      <c r="AE281" s="100">
        <v>0</v>
      </c>
      <c r="AF281" s="100">
        <v>0</v>
      </c>
      <c r="AG281" s="100">
        <v>1</v>
      </c>
      <c r="AH281" s="100">
        <v>1</v>
      </c>
      <c r="AI281" s="100">
        <v>0</v>
      </c>
      <c r="AJ281" s="100">
        <v>0</v>
      </c>
      <c r="AK281" s="100">
        <v>0</v>
      </c>
      <c r="AL281" s="100">
        <v>0</v>
      </c>
      <c r="AM281" s="100">
        <v>0</v>
      </c>
      <c r="AN281" s="100">
        <v>0</v>
      </c>
      <c r="AO281" s="100">
        <v>0</v>
      </c>
      <c r="AP281" s="100">
        <v>0</v>
      </c>
      <c r="AQ281" s="100">
        <v>0</v>
      </c>
      <c r="AR281" s="100">
        <v>0</v>
      </c>
      <c r="AS281" s="100">
        <v>0</v>
      </c>
      <c r="AT281" s="100">
        <v>0</v>
      </c>
      <c r="AU281" s="100">
        <v>1</v>
      </c>
      <c r="AV281" s="100">
        <v>0</v>
      </c>
      <c r="AW281" s="100">
        <v>0</v>
      </c>
      <c r="AX281" s="100">
        <v>0</v>
      </c>
      <c r="AY281" s="100">
        <v>0</v>
      </c>
      <c r="AZ281" s="100">
        <v>0</v>
      </c>
      <c r="BA281" s="100">
        <v>0</v>
      </c>
      <c r="BB281" s="100">
        <v>0</v>
      </c>
      <c r="BC281" s="100">
        <v>0</v>
      </c>
      <c r="BD281" s="100">
        <v>0</v>
      </c>
      <c r="BE281" s="100">
        <v>0</v>
      </c>
      <c r="BF281" s="100">
        <v>0</v>
      </c>
      <c r="BG281" s="100">
        <v>0</v>
      </c>
      <c r="BH281" s="100">
        <v>0</v>
      </c>
      <c r="BI281" s="100">
        <v>0</v>
      </c>
      <c r="BJ281" s="100">
        <v>1</v>
      </c>
      <c r="BK281" s="100">
        <v>0</v>
      </c>
      <c r="BL281" s="100">
        <v>0</v>
      </c>
      <c r="BM281" s="100">
        <v>0</v>
      </c>
      <c r="BN281" s="100">
        <v>0</v>
      </c>
      <c r="BO281" s="100">
        <v>0</v>
      </c>
      <c r="BP281" s="100">
        <v>0</v>
      </c>
      <c r="BQ281" s="100">
        <v>0</v>
      </c>
      <c r="BR281" s="100">
        <v>0</v>
      </c>
      <c r="BS281" s="100">
        <v>0</v>
      </c>
      <c r="BT281" s="100">
        <v>0</v>
      </c>
      <c r="BU281" s="100">
        <v>0</v>
      </c>
      <c r="BV281" s="100">
        <v>0</v>
      </c>
      <c r="BW281" s="100">
        <v>0</v>
      </c>
      <c r="BX281" s="100">
        <v>1</v>
      </c>
      <c r="BY281" s="100">
        <v>0</v>
      </c>
      <c r="BZ281" s="100">
        <v>0</v>
      </c>
      <c r="CA281" s="100">
        <v>0</v>
      </c>
      <c r="CB281" s="100" t="s">
        <v>2090</v>
      </c>
      <c r="CC281" s="100">
        <v>0</v>
      </c>
      <c r="CD281" s="100">
        <v>0</v>
      </c>
      <c r="CE281" s="100">
        <v>0</v>
      </c>
      <c r="CF281" s="100">
        <v>1</v>
      </c>
      <c r="CG281" s="103">
        <v>190049.70115000001</v>
      </c>
      <c r="CH281" s="103">
        <v>11.3</v>
      </c>
      <c r="CI281" s="103">
        <v>3510813.7021400002</v>
      </c>
      <c r="CJ281" s="103">
        <v>20.99</v>
      </c>
      <c r="CK281" s="103">
        <f t="shared" si="16"/>
        <v>237.18699999999998</v>
      </c>
      <c r="CL281" s="103">
        <v>339367</v>
      </c>
      <c r="CM281" s="103">
        <v>573411.4</v>
      </c>
      <c r="CN281" s="104">
        <v>0.5918385996511405</v>
      </c>
      <c r="CO281" s="103">
        <v>0</v>
      </c>
      <c r="CP281" s="103">
        <v>0</v>
      </c>
      <c r="CQ281" s="103">
        <v>430428.20490000001</v>
      </c>
      <c r="CR281" s="103">
        <v>2.66</v>
      </c>
      <c r="CS281" s="103">
        <f t="shared" si="17"/>
        <v>0</v>
      </c>
      <c r="CT281" s="103">
        <v>21835.7</v>
      </c>
      <c r="CU281" s="103">
        <v>703039.6</v>
      </c>
      <c r="CV281" s="104">
        <v>3.1058990133699442E-2</v>
      </c>
      <c r="CW281" s="103">
        <v>503437.49781999999</v>
      </c>
      <c r="CX281" s="103">
        <v>36.369999999999997</v>
      </c>
      <c r="CY281" s="103">
        <v>4933299.0257599996</v>
      </c>
      <c r="CZ281" s="103">
        <v>36.782347900599831</v>
      </c>
      <c r="DA281" s="103">
        <f t="shared" si="18"/>
        <v>1337.7739931448157</v>
      </c>
      <c r="DB281" s="103">
        <v>485999.4</v>
      </c>
      <c r="DC281" s="103">
        <v>438175.2</v>
      </c>
      <c r="DD281" s="104">
        <v>1.1091440136274258</v>
      </c>
      <c r="DE281" s="103">
        <v>18551.007549999998</v>
      </c>
      <c r="DF281" s="103">
        <v>1.01</v>
      </c>
      <c r="DG281" s="103">
        <v>1007332.30376</v>
      </c>
      <c r="DH281" s="103">
        <v>7.68</v>
      </c>
      <c r="DI281" s="103">
        <f t="shared" si="19"/>
        <v>7.7568000000000001</v>
      </c>
      <c r="DJ281" s="103">
        <v>41024.400000000001</v>
      </c>
      <c r="DK281" s="103">
        <v>837139.3</v>
      </c>
      <c r="DL281" s="104">
        <v>4.9005464204105578E-2</v>
      </c>
    </row>
    <row r="282" spans="1:116" s="15" customFormat="1" ht="238.7" customHeight="1" x14ac:dyDescent="0.25">
      <c r="A282" s="100" t="s">
        <v>367</v>
      </c>
      <c r="B282" s="100" t="s">
        <v>2667</v>
      </c>
      <c r="C282" s="100" t="s">
        <v>279</v>
      </c>
      <c r="D282" s="101" t="str">
        <f>"Chemistry 175"</f>
        <v>Chemistry 175</v>
      </c>
      <c r="E282" s="102" t="s">
        <v>2668</v>
      </c>
      <c r="F282" s="100">
        <v>17</v>
      </c>
      <c r="G282" s="100">
        <v>5</v>
      </c>
      <c r="H282" s="100">
        <v>0.28999999999999998</v>
      </c>
      <c r="I282" s="100">
        <v>19</v>
      </c>
      <c r="J282" s="100">
        <v>2</v>
      </c>
      <c r="K282" s="100">
        <v>2</v>
      </c>
      <c r="L282" s="100">
        <v>2</v>
      </c>
      <c r="M282" s="100">
        <v>2</v>
      </c>
      <c r="N282" s="100">
        <v>2</v>
      </c>
      <c r="O282" s="100">
        <v>1</v>
      </c>
      <c r="P282" s="100">
        <v>3.22</v>
      </c>
      <c r="Q282" s="100">
        <v>15.27</v>
      </c>
      <c r="R282" s="100">
        <v>3</v>
      </c>
      <c r="S282" s="100">
        <v>1</v>
      </c>
      <c r="T282" s="100">
        <v>0</v>
      </c>
      <c r="U282" s="100">
        <v>0</v>
      </c>
      <c r="V282" s="100">
        <v>0</v>
      </c>
      <c r="W282" s="100">
        <v>1</v>
      </c>
      <c r="X282" s="100">
        <v>0</v>
      </c>
      <c r="Y282" s="100">
        <v>0</v>
      </c>
      <c r="Z282" s="100">
        <v>1</v>
      </c>
      <c r="AA282" s="100">
        <v>0</v>
      </c>
      <c r="AB282" s="100">
        <v>0</v>
      </c>
      <c r="AC282" s="100">
        <v>1</v>
      </c>
      <c r="AD282" s="100">
        <v>0</v>
      </c>
      <c r="AE282" s="100">
        <v>0</v>
      </c>
      <c r="AF282" s="100">
        <v>0</v>
      </c>
      <c r="AG282" s="100">
        <v>1</v>
      </c>
      <c r="AH282" s="100">
        <v>1</v>
      </c>
      <c r="AI282" s="100">
        <v>0</v>
      </c>
      <c r="AJ282" s="100">
        <v>0</v>
      </c>
      <c r="AK282" s="100">
        <v>0</v>
      </c>
      <c r="AL282" s="100">
        <v>0</v>
      </c>
      <c r="AM282" s="100">
        <v>0</v>
      </c>
      <c r="AN282" s="100">
        <v>0</v>
      </c>
      <c r="AO282" s="100">
        <v>0</v>
      </c>
      <c r="AP282" s="100">
        <v>0</v>
      </c>
      <c r="AQ282" s="100">
        <v>0</v>
      </c>
      <c r="AR282" s="100">
        <v>0</v>
      </c>
      <c r="AS282" s="100">
        <v>0</v>
      </c>
      <c r="AT282" s="100">
        <v>0</v>
      </c>
      <c r="AU282" s="100">
        <v>0</v>
      </c>
      <c r="AV282" s="100">
        <v>0</v>
      </c>
      <c r="AW282" s="100">
        <v>0</v>
      </c>
      <c r="AX282" s="100">
        <v>0</v>
      </c>
      <c r="AY282" s="100">
        <v>0</v>
      </c>
      <c r="AZ282" s="100">
        <v>0</v>
      </c>
      <c r="BA282" s="100">
        <v>0</v>
      </c>
      <c r="BB282" s="100">
        <v>0</v>
      </c>
      <c r="BC282" s="100">
        <v>0</v>
      </c>
      <c r="BD282" s="100">
        <v>0</v>
      </c>
      <c r="BE282" s="100">
        <v>0</v>
      </c>
      <c r="BF282" s="100">
        <v>0</v>
      </c>
      <c r="BG282" s="100">
        <v>0</v>
      </c>
      <c r="BH282" s="100">
        <v>1</v>
      </c>
      <c r="BI282" s="100">
        <v>0</v>
      </c>
      <c r="BJ282" s="100">
        <v>1</v>
      </c>
      <c r="BK282" s="100">
        <v>0</v>
      </c>
      <c r="BL282" s="100">
        <v>0</v>
      </c>
      <c r="BM282" s="100">
        <v>0</v>
      </c>
      <c r="BN282" s="100">
        <v>0</v>
      </c>
      <c r="BO282" s="100">
        <v>0</v>
      </c>
      <c r="BP282" s="100">
        <v>0</v>
      </c>
      <c r="BQ282" s="100">
        <v>0</v>
      </c>
      <c r="BR282" s="100">
        <v>0</v>
      </c>
      <c r="BS282" s="100">
        <v>0</v>
      </c>
      <c r="BT282" s="100">
        <v>0</v>
      </c>
      <c r="BU282" s="100">
        <v>0</v>
      </c>
      <c r="BV282" s="100">
        <v>0</v>
      </c>
      <c r="BW282" s="100">
        <v>0</v>
      </c>
      <c r="BX282" s="100">
        <v>1</v>
      </c>
      <c r="BY282" s="100">
        <v>0</v>
      </c>
      <c r="BZ282" s="100">
        <v>0</v>
      </c>
      <c r="CA282" s="100">
        <v>0</v>
      </c>
      <c r="CB282" s="100" t="s">
        <v>2090</v>
      </c>
      <c r="CC282" s="100">
        <v>0</v>
      </c>
      <c r="CD282" s="100">
        <v>0</v>
      </c>
      <c r="CE282" s="100">
        <v>0</v>
      </c>
      <c r="CF282" s="100">
        <v>0</v>
      </c>
      <c r="CG282" s="103">
        <v>462185.03115</v>
      </c>
      <c r="CH282" s="103">
        <v>23.39</v>
      </c>
      <c r="CI282" s="103">
        <v>4165661.9185700002</v>
      </c>
      <c r="CJ282" s="103">
        <v>29.63</v>
      </c>
      <c r="CK282" s="103">
        <f t="shared" si="16"/>
        <v>693.04570000000001</v>
      </c>
      <c r="CL282" s="103">
        <v>629154</v>
      </c>
      <c r="CM282" s="103">
        <v>908918.2</v>
      </c>
      <c r="CN282" s="104">
        <v>0.69220090432780423</v>
      </c>
      <c r="CO282" s="103">
        <v>201017.78018999999</v>
      </c>
      <c r="CP282" s="103">
        <v>9.66</v>
      </c>
      <c r="CQ282" s="103">
        <v>3431215.6538200001</v>
      </c>
      <c r="CR282" s="103">
        <v>15.67</v>
      </c>
      <c r="CS282" s="103">
        <f t="shared" si="17"/>
        <v>151.37219999999999</v>
      </c>
      <c r="CT282" s="103">
        <v>473725.5</v>
      </c>
      <c r="CU282" s="103">
        <v>830445.6</v>
      </c>
      <c r="CV282" s="104">
        <v>0.57044735982706152</v>
      </c>
      <c r="CW282" s="103">
        <v>989880.21684999997</v>
      </c>
      <c r="CX282" s="103">
        <v>56.06</v>
      </c>
      <c r="CY282" s="103">
        <v>5690086.4440000001</v>
      </c>
      <c r="CZ282" s="103">
        <v>48.763211153586688</v>
      </c>
      <c r="DA282" s="103">
        <f t="shared" si="18"/>
        <v>2733.66561727007</v>
      </c>
      <c r="DB282" s="103">
        <v>193277.1</v>
      </c>
      <c r="DC282" s="103">
        <v>173563.1</v>
      </c>
      <c r="DD282" s="104">
        <v>1.1135840509877963</v>
      </c>
      <c r="DE282" s="103">
        <v>523555.43225999997</v>
      </c>
      <c r="DF282" s="103">
        <v>24.58</v>
      </c>
      <c r="DG282" s="103">
        <v>4771206.5086099999</v>
      </c>
      <c r="DH282" s="103">
        <v>24.28</v>
      </c>
      <c r="DI282" s="103">
        <f t="shared" si="19"/>
        <v>596.80240000000003</v>
      </c>
      <c r="DJ282" s="103">
        <v>367052.6</v>
      </c>
      <c r="DK282" s="103">
        <v>575289.19999999995</v>
      </c>
      <c r="DL282" s="104">
        <v>0.63803144574937265</v>
      </c>
    </row>
    <row r="283" spans="1:116" s="15" customFormat="1" ht="241.7" customHeight="1" x14ac:dyDescent="0.25">
      <c r="A283" s="100" t="s">
        <v>368</v>
      </c>
      <c r="B283" s="100" t="s">
        <v>2669</v>
      </c>
      <c r="C283" s="100" t="s">
        <v>279</v>
      </c>
      <c r="D283" s="101" t="str">
        <f>"Chemistry 118"</f>
        <v>Chemistry 118</v>
      </c>
      <c r="E283" s="102" t="s">
        <v>2670</v>
      </c>
      <c r="F283" s="100">
        <v>8</v>
      </c>
      <c r="G283" s="100">
        <v>7</v>
      </c>
      <c r="H283" s="100">
        <v>0.88</v>
      </c>
      <c r="I283" s="100">
        <v>12</v>
      </c>
      <c r="J283" s="100">
        <v>4</v>
      </c>
      <c r="K283" s="100">
        <v>4</v>
      </c>
      <c r="L283" s="100">
        <v>2</v>
      </c>
      <c r="M283" s="100">
        <v>0</v>
      </c>
      <c r="N283" s="100">
        <v>4</v>
      </c>
      <c r="O283" s="100">
        <v>1</v>
      </c>
      <c r="P283" s="100">
        <v>0.42</v>
      </c>
      <c r="Q283" s="100">
        <v>41.57</v>
      </c>
      <c r="R283" s="100">
        <v>4</v>
      </c>
      <c r="S283" s="100">
        <v>0</v>
      </c>
      <c r="T283" s="100">
        <v>0</v>
      </c>
      <c r="U283" s="100">
        <v>1</v>
      </c>
      <c r="V283" s="100">
        <v>0</v>
      </c>
      <c r="W283" s="100">
        <v>0</v>
      </c>
      <c r="X283" s="100">
        <v>0</v>
      </c>
      <c r="Y283" s="100">
        <v>0</v>
      </c>
      <c r="Z283" s="100">
        <v>1</v>
      </c>
      <c r="AA283" s="100">
        <v>0</v>
      </c>
      <c r="AB283" s="100">
        <v>1</v>
      </c>
      <c r="AC283" s="100">
        <v>0</v>
      </c>
      <c r="AD283" s="100">
        <v>0</v>
      </c>
      <c r="AE283" s="100">
        <v>0</v>
      </c>
      <c r="AF283" s="100">
        <v>1</v>
      </c>
      <c r="AG283" s="100">
        <v>0</v>
      </c>
      <c r="AH283" s="100">
        <v>0</v>
      </c>
      <c r="AI283" s="100">
        <v>1</v>
      </c>
      <c r="AJ283" s="100">
        <v>0</v>
      </c>
      <c r="AK283" s="100">
        <v>0</v>
      </c>
      <c r="AL283" s="100">
        <v>0</v>
      </c>
      <c r="AM283" s="100">
        <v>0</v>
      </c>
      <c r="AN283" s="100">
        <v>0</v>
      </c>
      <c r="AO283" s="100">
        <v>0</v>
      </c>
      <c r="AP283" s="100">
        <v>0</v>
      </c>
      <c r="AQ283" s="100">
        <v>0</v>
      </c>
      <c r="AR283" s="100">
        <v>0</v>
      </c>
      <c r="AS283" s="100">
        <v>0</v>
      </c>
      <c r="AT283" s="100">
        <v>0</v>
      </c>
      <c r="AU283" s="100">
        <v>0</v>
      </c>
      <c r="AV283" s="100">
        <v>0</v>
      </c>
      <c r="AW283" s="100">
        <v>0</v>
      </c>
      <c r="AX283" s="100">
        <v>1</v>
      </c>
      <c r="AY283" s="100">
        <v>0</v>
      </c>
      <c r="AZ283" s="100">
        <v>0</v>
      </c>
      <c r="BA283" s="100">
        <v>0</v>
      </c>
      <c r="BB283" s="100">
        <v>0</v>
      </c>
      <c r="BC283" s="100">
        <v>0</v>
      </c>
      <c r="BD283" s="100">
        <v>0</v>
      </c>
      <c r="BE283" s="100">
        <v>0</v>
      </c>
      <c r="BF283" s="100">
        <v>0</v>
      </c>
      <c r="BG283" s="100">
        <v>0</v>
      </c>
      <c r="BH283" s="100">
        <v>1</v>
      </c>
      <c r="BI283" s="100">
        <v>0</v>
      </c>
      <c r="BJ283" s="100">
        <v>2</v>
      </c>
      <c r="BK283" s="100">
        <v>0</v>
      </c>
      <c r="BL283" s="100">
        <v>0</v>
      </c>
      <c r="BM283" s="100">
        <v>0</v>
      </c>
      <c r="BN283" s="100">
        <v>0</v>
      </c>
      <c r="BO283" s="100">
        <v>0</v>
      </c>
      <c r="BP283" s="100">
        <v>0</v>
      </c>
      <c r="BQ283" s="100">
        <v>0</v>
      </c>
      <c r="BR283" s="100">
        <v>0</v>
      </c>
      <c r="BS283" s="100">
        <v>0</v>
      </c>
      <c r="BT283" s="100">
        <v>0</v>
      </c>
      <c r="BU283" s="100">
        <v>0</v>
      </c>
      <c r="BV283" s="100">
        <v>0</v>
      </c>
      <c r="BW283" s="100">
        <v>0</v>
      </c>
      <c r="BX283" s="100">
        <v>1</v>
      </c>
      <c r="BY283" s="100">
        <v>0</v>
      </c>
      <c r="BZ283" s="100">
        <v>0</v>
      </c>
      <c r="CA283" s="100">
        <v>0</v>
      </c>
      <c r="CB283" s="100" t="s">
        <v>2090</v>
      </c>
      <c r="CC283" s="100">
        <v>1</v>
      </c>
      <c r="CD283" s="100">
        <v>0</v>
      </c>
      <c r="CE283" s="100">
        <v>0</v>
      </c>
      <c r="CF283" s="100">
        <v>0</v>
      </c>
      <c r="CG283" s="103">
        <v>110456.39208999999</v>
      </c>
      <c r="CH283" s="103">
        <v>7.52</v>
      </c>
      <c r="CI283" s="103">
        <v>1806510.91545</v>
      </c>
      <c r="CJ283" s="103">
        <v>30.17</v>
      </c>
      <c r="CK283" s="103">
        <f t="shared" si="16"/>
        <v>226.8784</v>
      </c>
      <c r="CL283" s="103">
        <v>45713.7</v>
      </c>
      <c r="CM283" s="103">
        <v>336052.2</v>
      </c>
      <c r="CN283" s="104">
        <v>0.13603154509924351</v>
      </c>
      <c r="CO283" s="103">
        <v>63797.980150000003</v>
      </c>
      <c r="CP283" s="103">
        <v>4.0199999999999996</v>
      </c>
      <c r="CQ283" s="103">
        <v>1394158.6933200001</v>
      </c>
      <c r="CR283" s="103">
        <v>18.63</v>
      </c>
      <c r="CS283" s="103">
        <f t="shared" si="17"/>
        <v>74.892599999999987</v>
      </c>
      <c r="CT283" s="103">
        <v>145563.6</v>
      </c>
      <c r="CU283" s="103">
        <v>796502.5</v>
      </c>
      <c r="CV283" s="104">
        <v>0.18275347535004599</v>
      </c>
      <c r="CW283" s="103">
        <v>390305.23849999998</v>
      </c>
      <c r="CX283" s="103">
        <v>39.520000000000003</v>
      </c>
      <c r="CY283" s="103">
        <v>1470763.7433199999</v>
      </c>
      <c r="CZ283" s="103">
        <v>40.236182128074013</v>
      </c>
      <c r="DA283" s="103">
        <f t="shared" si="18"/>
        <v>1590.1339177014852</v>
      </c>
      <c r="DB283" s="103">
        <v>234556.1</v>
      </c>
      <c r="DC283" s="103">
        <v>813608.9</v>
      </c>
      <c r="DD283" s="104">
        <v>0.28829097125166647</v>
      </c>
      <c r="DE283" s="103">
        <v>59304.07389</v>
      </c>
      <c r="DF283" s="103">
        <v>4.28</v>
      </c>
      <c r="DG283" s="103">
        <v>1225675.6672</v>
      </c>
      <c r="DH283" s="103">
        <v>18.89</v>
      </c>
      <c r="DI283" s="103">
        <f t="shared" si="19"/>
        <v>80.84920000000001</v>
      </c>
      <c r="DJ283" s="103">
        <v>24508.400000000001</v>
      </c>
      <c r="DK283" s="103">
        <v>334829.2</v>
      </c>
      <c r="DL283" s="104">
        <v>7.3196722388608887E-2</v>
      </c>
    </row>
    <row r="284" spans="1:116" s="15" customFormat="1" ht="175.7" customHeight="1" x14ac:dyDescent="0.25">
      <c r="A284" s="100" t="s">
        <v>369</v>
      </c>
      <c r="B284" s="100" t="s">
        <v>2671</v>
      </c>
      <c r="C284" s="100" t="s">
        <v>279</v>
      </c>
      <c r="D284" s="101" t="str">
        <f>"Chemistry 38"</f>
        <v>Chemistry 38</v>
      </c>
      <c r="E284" s="102" t="s">
        <v>2672</v>
      </c>
      <c r="F284" s="100">
        <v>10</v>
      </c>
      <c r="G284" s="100">
        <v>10</v>
      </c>
      <c r="H284" s="100">
        <v>1</v>
      </c>
      <c r="I284" s="100">
        <v>12</v>
      </c>
      <c r="J284" s="100">
        <v>2</v>
      </c>
      <c r="K284" s="100">
        <v>2</v>
      </c>
      <c r="L284" s="100">
        <v>2</v>
      </c>
      <c r="M284" s="100">
        <v>0</v>
      </c>
      <c r="N284" s="100">
        <v>2</v>
      </c>
      <c r="O284" s="100">
        <v>1</v>
      </c>
      <c r="P284" s="100">
        <v>1.7</v>
      </c>
      <c r="Q284" s="100">
        <v>15.27</v>
      </c>
      <c r="R284" s="100">
        <v>1</v>
      </c>
      <c r="S284" s="100">
        <v>0</v>
      </c>
      <c r="T284" s="100">
        <v>0</v>
      </c>
      <c r="U284" s="100">
        <v>1</v>
      </c>
      <c r="V284" s="100">
        <v>0</v>
      </c>
      <c r="W284" s="100">
        <v>1</v>
      </c>
      <c r="X284" s="100">
        <v>0</v>
      </c>
      <c r="Y284" s="100">
        <v>0</v>
      </c>
      <c r="Z284" s="100">
        <v>1</v>
      </c>
      <c r="AA284" s="100">
        <v>0</v>
      </c>
      <c r="AB284" s="100">
        <v>0</v>
      </c>
      <c r="AC284" s="100">
        <v>1</v>
      </c>
      <c r="AD284" s="100">
        <v>0</v>
      </c>
      <c r="AE284" s="100">
        <v>0</v>
      </c>
      <c r="AF284" s="100">
        <v>1</v>
      </c>
      <c r="AG284" s="100">
        <v>0</v>
      </c>
      <c r="AH284" s="100">
        <v>1</v>
      </c>
      <c r="AI284" s="100">
        <v>0</v>
      </c>
      <c r="AJ284" s="100">
        <v>0</v>
      </c>
      <c r="AK284" s="100">
        <v>0</v>
      </c>
      <c r="AL284" s="100">
        <v>0</v>
      </c>
      <c r="AM284" s="100">
        <v>0</v>
      </c>
      <c r="AN284" s="100">
        <v>0</v>
      </c>
      <c r="AO284" s="100">
        <v>0</v>
      </c>
      <c r="AP284" s="100">
        <v>0</v>
      </c>
      <c r="AQ284" s="100">
        <v>0</v>
      </c>
      <c r="AR284" s="100">
        <v>0</v>
      </c>
      <c r="AS284" s="100">
        <v>0</v>
      </c>
      <c r="AT284" s="100">
        <v>0</v>
      </c>
      <c r="AU284" s="100">
        <v>0</v>
      </c>
      <c r="AV284" s="100">
        <v>0</v>
      </c>
      <c r="AW284" s="100">
        <v>0</v>
      </c>
      <c r="AX284" s="100">
        <v>0</v>
      </c>
      <c r="AY284" s="100">
        <v>0</v>
      </c>
      <c r="AZ284" s="100">
        <v>0</v>
      </c>
      <c r="BA284" s="100">
        <v>0</v>
      </c>
      <c r="BB284" s="100">
        <v>0</v>
      </c>
      <c r="BC284" s="100">
        <v>0</v>
      </c>
      <c r="BD284" s="100">
        <v>0</v>
      </c>
      <c r="BE284" s="100">
        <v>0</v>
      </c>
      <c r="BF284" s="100">
        <v>0</v>
      </c>
      <c r="BG284" s="100">
        <v>0</v>
      </c>
      <c r="BH284" s="100">
        <v>1</v>
      </c>
      <c r="BI284" s="100">
        <v>0</v>
      </c>
      <c r="BJ284" s="100">
        <v>1</v>
      </c>
      <c r="BK284" s="100">
        <v>0</v>
      </c>
      <c r="BL284" s="100">
        <v>0</v>
      </c>
      <c r="BM284" s="100">
        <v>0</v>
      </c>
      <c r="BN284" s="100">
        <v>0</v>
      </c>
      <c r="BO284" s="100">
        <v>0</v>
      </c>
      <c r="BP284" s="100">
        <v>0</v>
      </c>
      <c r="BQ284" s="100">
        <v>0</v>
      </c>
      <c r="BR284" s="100">
        <v>0</v>
      </c>
      <c r="BS284" s="100">
        <v>0</v>
      </c>
      <c r="BT284" s="100">
        <v>0</v>
      </c>
      <c r="BU284" s="100">
        <v>0</v>
      </c>
      <c r="BV284" s="100">
        <v>0</v>
      </c>
      <c r="BW284" s="100">
        <v>0</v>
      </c>
      <c r="BX284" s="100">
        <v>1</v>
      </c>
      <c r="BY284" s="100">
        <v>0</v>
      </c>
      <c r="BZ284" s="100">
        <v>0</v>
      </c>
      <c r="CA284" s="100">
        <v>0</v>
      </c>
      <c r="CB284" s="100" t="s">
        <v>2090</v>
      </c>
      <c r="CC284" s="100">
        <v>1</v>
      </c>
      <c r="CD284" s="100">
        <v>0</v>
      </c>
      <c r="CE284" s="100">
        <v>0</v>
      </c>
      <c r="CF284" s="100">
        <v>0</v>
      </c>
      <c r="CG284" s="103">
        <v>816288.65457999997</v>
      </c>
      <c r="CH284" s="103">
        <v>46.56</v>
      </c>
      <c r="CI284" s="103">
        <v>4842268.89597</v>
      </c>
      <c r="CJ284" s="103">
        <v>49.26</v>
      </c>
      <c r="CK284" s="103">
        <f t="shared" si="16"/>
        <v>2293.5455999999999</v>
      </c>
      <c r="CL284" s="103">
        <v>790983.6</v>
      </c>
      <c r="CM284" s="103">
        <v>767918.1</v>
      </c>
      <c r="CN284" s="104">
        <v>1.0300364062261327</v>
      </c>
      <c r="CO284" s="103">
        <v>31806.41619</v>
      </c>
      <c r="CP284" s="103">
        <v>1.96</v>
      </c>
      <c r="CQ284" s="103">
        <v>744118.58192999999</v>
      </c>
      <c r="CR284" s="103">
        <v>13.05</v>
      </c>
      <c r="CS284" s="103">
        <f t="shared" si="17"/>
        <v>25.577999999999999</v>
      </c>
      <c r="CT284" s="103">
        <v>130945.1</v>
      </c>
      <c r="CU284" s="103">
        <v>857097.5</v>
      </c>
      <c r="CV284" s="104">
        <v>0.15277736780237955</v>
      </c>
      <c r="CW284" s="103">
        <v>701951.51312000002</v>
      </c>
      <c r="CX284" s="103">
        <v>50.96</v>
      </c>
      <c r="CY284" s="103">
        <v>4460659.8957799999</v>
      </c>
      <c r="CZ284" s="103">
        <v>65.398321646166238</v>
      </c>
      <c r="DA284" s="103">
        <f t="shared" si="18"/>
        <v>3332.6984710886313</v>
      </c>
      <c r="DB284" s="103">
        <v>882732.2</v>
      </c>
      <c r="DC284" s="103">
        <v>625088.6</v>
      </c>
      <c r="DD284" s="104">
        <v>1.4121713305921753</v>
      </c>
      <c r="DE284" s="103">
        <v>68588.242639999997</v>
      </c>
      <c r="DF284" s="103">
        <v>4.97</v>
      </c>
      <c r="DG284" s="103">
        <v>885954.76436000003</v>
      </c>
      <c r="DH284" s="103">
        <v>14.64</v>
      </c>
      <c r="DI284" s="103">
        <f t="shared" si="19"/>
        <v>72.760800000000003</v>
      </c>
      <c r="DJ284" s="103">
        <v>73037</v>
      </c>
      <c r="DK284" s="103">
        <v>695412.9</v>
      </c>
      <c r="DL284" s="104">
        <v>0.10502681212844915</v>
      </c>
    </row>
    <row r="285" spans="1:116" s="15" customFormat="1" ht="161.44999999999999" customHeight="1" x14ac:dyDescent="0.25">
      <c r="A285" s="100" t="s">
        <v>370</v>
      </c>
      <c r="B285" s="100" t="s">
        <v>2673</v>
      </c>
      <c r="C285" s="100" t="s">
        <v>279</v>
      </c>
      <c r="D285" s="101" t="str">
        <f>"Chemistry 123"</f>
        <v>Chemistry 123</v>
      </c>
      <c r="E285" s="102" t="s">
        <v>2674</v>
      </c>
      <c r="F285" s="100">
        <v>6</v>
      </c>
      <c r="G285" s="100">
        <v>5</v>
      </c>
      <c r="H285" s="100">
        <v>0.83</v>
      </c>
      <c r="I285" s="100">
        <v>9</v>
      </c>
      <c r="J285" s="100">
        <v>3</v>
      </c>
      <c r="K285" s="100">
        <v>3</v>
      </c>
      <c r="L285" s="100">
        <v>2</v>
      </c>
      <c r="M285" s="100">
        <v>0</v>
      </c>
      <c r="N285" s="100">
        <v>2</v>
      </c>
      <c r="O285" s="100">
        <v>1</v>
      </c>
      <c r="P285" s="100">
        <v>-0.83</v>
      </c>
      <c r="Q285" s="100">
        <v>32.340000000000003</v>
      </c>
      <c r="R285" s="100">
        <v>0</v>
      </c>
      <c r="S285" s="100">
        <v>0</v>
      </c>
      <c r="T285" s="100">
        <v>0</v>
      </c>
      <c r="U285" s="100">
        <v>1</v>
      </c>
      <c r="V285" s="100">
        <v>0</v>
      </c>
      <c r="W285" s="100">
        <v>1</v>
      </c>
      <c r="X285" s="100">
        <v>0</v>
      </c>
      <c r="Y285" s="100">
        <v>0</v>
      </c>
      <c r="Z285" s="100">
        <v>1</v>
      </c>
      <c r="AA285" s="100">
        <v>0</v>
      </c>
      <c r="AB285" s="100">
        <v>0</v>
      </c>
      <c r="AC285" s="100">
        <v>1</v>
      </c>
      <c r="AD285" s="100">
        <v>0</v>
      </c>
      <c r="AE285" s="100">
        <v>1</v>
      </c>
      <c r="AF285" s="100">
        <v>0</v>
      </c>
      <c r="AG285" s="100">
        <v>0</v>
      </c>
      <c r="AH285" s="100">
        <v>0</v>
      </c>
      <c r="AI285" s="100">
        <v>1</v>
      </c>
      <c r="AJ285" s="100">
        <v>0</v>
      </c>
      <c r="AK285" s="100">
        <v>0</v>
      </c>
      <c r="AL285" s="100">
        <v>0</v>
      </c>
      <c r="AM285" s="100">
        <v>0</v>
      </c>
      <c r="AN285" s="100">
        <v>0</v>
      </c>
      <c r="AO285" s="100">
        <v>0</v>
      </c>
      <c r="AP285" s="100">
        <v>0</v>
      </c>
      <c r="AQ285" s="100">
        <v>0</v>
      </c>
      <c r="AR285" s="100">
        <v>0</v>
      </c>
      <c r="AS285" s="100">
        <v>0</v>
      </c>
      <c r="AT285" s="100">
        <v>1</v>
      </c>
      <c r="AU285" s="100">
        <v>0</v>
      </c>
      <c r="AV285" s="100">
        <v>0</v>
      </c>
      <c r="AW285" s="100">
        <v>0</v>
      </c>
      <c r="AX285" s="100">
        <v>0</v>
      </c>
      <c r="AY285" s="100">
        <v>0</v>
      </c>
      <c r="AZ285" s="100">
        <v>0</v>
      </c>
      <c r="BA285" s="100">
        <v>0</v>
      </c>
      <c r="BB285" s="100">
        <v>0</v>
      </c>
      <c r="BC285" s="100">
        <v>0</v>
      </c>
      <c r="BD285" s="100">
        <v>0</v>
      </c>
      <c r="BE285" s="100">
        <v>0</v>
      </c>
      <c r="BF285" s="100">
        <v>0</v>
      </c>
      <c r="BG285" s="100">
        <v>0</v>
      </c>
      <c r="BH285" s="100">
        <v>0</v>
      </c>
      <c r="BI285" s="100">
        <v>0</v>
      </c>
      <c r="BJ285" s="100">
        <v>1</v>
      </c>
      <c r="BK285" s="100">
        <v>0</v>
      </c>
      <c r="BL285" s="100">
        <v>0</v>
      </c>
      <c r="BM285" s="100">
        <v>0</v>
      </c>
      <c r="BN285" s="100">
        <v>0</v>
      </c>
      <c r="BO285" s="100">
        <v>0</v>
      </c>
      <c r="BP285" s="100">
        <v>0</v>
      </c>
      <c r="BQ285" s="100">
        <v>0</v>
      </c>
      <c r="BR285" s="100">
        <v>0</v>
      </c>
      <c r="BS285" s="100">
        <v>0</v>
      </c>
      <c r="BT285" s="100">
        <v>0</v>
      </c>
      <c r="BU285" s="100">
        <v>0</v>
      </c>
      <c r="BV285" s="100">
        <v>0</v>
      </c>
      <c r="BW285" s="100">
        <v>0</v>
      </c>
      <c r="BX285" s="100">
        <v>1</v>
      </c>
      <c r="BY285" s="100">
        <v>0</v>
      </c>
      <c r="BZ285" s="100">
        <v>0</v>
      </c>
      <c r="CA285" s="100">
        <v>0</v>
      </c>
      <c r="CB285" s="100" t="s">
        <v>2090</v>
      </c>
      <c r="CC285" s="100">
        <v>0</v>
      </c>
      <c r="CD285" s="100">
        <v>1</v>
      </c>
      <c r="CE285" s="100">
        <v>0</v>
      </c>
      <c r="CF285" s="100">
        <v>0</v>
      </c>
      <c r="CG285" s="103">
        <v>331885.01078000001</v>
      </c>
      <c r="CH285" s="103">
        <v>21.44</v>
      </c>
      <c r="CI285" s="103">
        <v>2218942.2174200001</v>
      </c>
      <c r="CJ285" s="103">
        <v>41.92</v>
      </c>
      <c r="CK285" s="103">
        <f t="shared" si="16"/>
        <v>898.76480000000004</v>
      </c>
      <c r="CL285" s="103">
        <v>422966.5</v>
      </c>
      <c r="CM285" s="103">
        <v>630478.80000000005</v>
      </c>
      <c r="CN285" s="104">
        <v>0.67086553901574486</v>
      </c>
      <c r="CO285" s="103">
        <v>194728.92657000001</v>
      </c>
      <c r="CP285" s="103">
        <v>11.55</v>
      </c>
      <c r="CQ285" s="103">
        <v>1794849.03162</v>
      </c>
      <c r="CR285" s="103">
        <v>27.87</v>
      </c>
      <c r="CS285" s="103">
        <f t="shared" si="17"/>
        <v>321.89850000000001</v>
      </c>
      <c r="CT285" s="103">
        <v>540299.30000000005</v>
      </c>
      <c r="CU285" s="103">
        <v>838774.2</v>
      </c>
      <c r="CV285" s="104">
        <v>0.64415345631756449</v>
      </c>
      <c r="CW285" s="103">
        <v>1253738.62219</v>
      </c>
      <c r="CX285" s="103">
        <v>72.430000000000007</v>
      </c>
      <c r="CY285" s="103">
        <v>3885009.7089399998</v>
      </c>
      <c r="CZ285" s="103">
        <v>68.193292463036414</v>
      </c>
      <c r="DA285" s="103">
        <f t="shared" si="18"/>
        <v>4939.2401730977281</v>
      </c>
      <c r="DB285" s="103">
        <v>748244.7</v>
      </c>
      <c r="DC285" s="103">
        <v>584804.69999999995</v>
      </c>
      <c r="DD285" s="104">
        <v>1.2794779180126288</v>
      </c>
      <c r="DE285" s="103">
        <v>433561.88939999999</v>
      </c>
      <c r="DF285" s="103">
        <v>26.9</v>
      </c>
      <c r="DG285" s="103">
        <v>2445782.5003300002</v>
      </c>
      <c r="DH285" s="103">
        <v>38.130000000000003</v>
      </c>
      <c r="DI285" s="103">
        <f t="shared" si="19"/>
        <v>1025.6970000000001</v>
      </c>
      <c r="DJ285" s="103">
        <v>322837.8</v>
      </c>
      <c r="DK285" s="103">
        <v>446869.6</v>
      </c>
      <c r="DL285" s="104">
        <v>0.72244296770243488</v>
      </c>
    </row>
    <row r="286" spans="1:116" s="15" customFormat="1" ht="149.44999999999999" customHeight="1" x14ac:dyDescent="0.25">
      <c r="A286" s="100" t="s">
        <v>371</v>
      </c>
      <c r="B286" s="100" t="s">
        <v>2675</v>
      </c>
      <c r="C286" s="100" t="s">
        <v>279</v>
      </c>
      <c r="D286" s="101" t="str">
        <f>"Chemistry 73"</f>
        <v>Chemistry 73</v>
      </c>
      <c r="E286" s="102" t="s">
        <v>2676</v>
      </c>
      <c r="F286" s="100">
        <v>6</v>
      </c>
      <c r="G286" s="100">
        <v>6</v>
      </c>
      <c r="H286" s="100">
        <v>1</v>
      </c>
      <c r="I286" s="100">
        <v>8</v>
      </c>
      <c r="J286" s="100">
        <v>2</v>
      </c>
      <c r="K286" s="100">
        <v>2</v>
      </c>
      <c r="L286" s="100">
        <v>2</v>
      </c>
      <c r="M286" s="100">
        <v>0</v>
      </c>
      <c r="N286" s="100">
        <v>2</v>
      </c>
      <c r="O286" s="100">
        <v>1</v>
      </c>
      <c r="P286" s="100">
        <v>0.28999999999999998</v>
      </c>
      <c r="Q286" s="100">
        <v>15.27</v>
      </c>
      <c r="R286" s="100">
        <v>1</v>
      </c>
      <c r="S286" s="100">
        <v>0</v>
      </c>
      <c r="T286" s="100">
        <v>0</v>
      </c>
      <c r="U286" s="100">
        <v>1</v>
      </c>
      <c r="V286" s="100">
        <v>0</v>
      </c>
      <c r="W286" s="100">
        <v>1</v>
      </c>
      <c r="X286" s="100">
        <v>0</v>
      </c>
      <c r="Y286" s="100">
        <v>0</v>
      </c>
      <c r="Z286" s="100">
        <v>1</v>
      </c>
      <c r="AA286" s="100">
        <v>0</v>
      </c>
      <c r="AB286" s="100">
        <v>0</v>
      </c>
      <c r="AC286" s="100">
        <v>1</v>
      </c>
      <c r="AD286" s="100">
        <v>0</v>
      </c>
      <c r="AE286" s="100">
        <v>1</v>
      </c>
      <c r="AF286" s="100">
        <v>0</v>
      </c>
      <c r="AG286" s="100">
        <v>0</v>
      </c>
      <c r="AH286" s="100">
        <v>1</v>
      </c>
      <c r="AI286" s="100">
        <v>0</v>
      </c>
      <c r="AJ286" s="100">
        <v>0</v>
      </c>
      <c r="AK286" s="100">
        <v>0</v>
      </c>
      <c r="AL286" s="100">
        <v>0</v>
      </c>
      <c r="AM286" s="100">
        <v>0</v>
      </c>
      <c r="AN286" s="100">
        <v>0</v>
      </c>
      <c r="AO286" s="100">
        <v>0</v>
      </c>
      <c r="AP286" s="100">
        <v>0</v>
      </c>
      <c r="AQ286" s="100">
        <v>0</v>
      </c>
      <c r="AR286" s="100">
        <v>0</v>
      </c>
      <c r="AS286" s="100">
        <v>0</v>
      </c>
      <c r="AT286" s="100">
        <v>0</v>
      </c>
      <c r="AU286" s="100">
        <v>0</v>
      </c>
      <c r="AV286" s="100">
        <v>0</v>
      </c>
      <c r="AW286" s="100">
        <v>0</v>
      </c>
      <c r="AX286" s="100">
        <v>0</v>
      </c>
      <c r="AY286" s="100">
        <v>0</v>
      </c>
      <c r="AZ286" s="100">
        <v>0</v>
      </c>
      <c r="BA286" s="100">
        <v>0</v>
      </c>
      <c r="BB286" s="100">
        <v>0</v>
      </c>
      <c r="BC286" s="100">
        <v>0</v>
      </c>
      <c r="BD286" s="100">
        <v>0</v>
      </c>
      <c r="BE286" s="100">
        <v>0</v>
      </c>
      <c r="BF286" s="100">
        <v>0</v>
      </c>
      <c r="BG286" s="100">
        <v>0</v>
      </c>
      <c r="BH286" s="100">
        <v>1</v>
      </c>
      <c r="BI286" s="100">
        <v>0</v>
      </c>
      <c r="BJ286" s="100">
        <v>1</v>
      </c>
      <c r="BK286" s="100">
        <v>0</v>
      </c>
      <c r="BL286" s="100">
        <v>0</v>
      </c>
      <c r="BM286" s="100">
        <v>0</v>
      </c>
      <c r="BN286" s="100">
        <v>0</v>
      </c>
      <c r="BO286" s="100">
        <v>0</v>
      </c>
      <c r="BP286" s="100">
        <v>0</v>
      </c>
      <c r="BQ286" s="100">
        <v>0</v>
      </c>
      <c r="BR286" s="100">
        <v>0</v>
      </c>
      <c r="BS286" s="100">
        <v>0</v>
      </c>
      <c r="BT286" s="100">
        <v>0</v>
      </c>
      <c r="BU286" s="100">
        <v>0</v>
      </c>
      <c r="BV286" s="100">
        <v>0</v>
      </c>
      <c r="BW286" s="100">
        <v>0</v>
      </c>
      <c r="BX286" s="100">
        <v>1</v>
      </c>
      <c r="BY286" s="100">
        <v>0</v>
      </c>
      <c r="BZ286" s="100">
        <v>0</v>
      </c>
      <c r="CA286" s="100">
        <v>0</v>
      </c>
      <c r="CB286" s="100" t="s">
        <v>2090</v>
      </c>
      <c r="CC286" s="100">
        <v>1</v>
      </c>
      <c r="CD286" s="100">
        <v>0</v>
      </c>
      <c r="CE286" s="100">
        <v>0</v>
      </c>
      <c r="CF286" s="100">
        <v>0</v>
      </c>
      <c r="CG286" s="103">
        <v>576371.83221999998</v>
      </c>
      <c r="CH286" s="103">
        <v>35.799999999999997</v>
      </c>
      <c r="CI286" s="103">
        <v>3445910.1084199999</v>
      </c>
      <c r="CJ286" s="103">
        <v>49.16</v>
      </c>
      <c r="CK286" s="103">
        <f t="shared" si="16"/>
        <v>1759.9279999999997</v>
      </c>
      <c r="CL286" s="103">
        <v>164572.9</v>
      </c>
      <c r="CM286" s="103">
        <v>249851.4</v>
      </c>
      <c r="CN286" s="104">
        <v>0.65868312124726935</v>
      </c>
      <c r="CO286" s="103">
        <v>106725.78973999999</v>
      </c>
      <c r="CP286" s="103">
        <v>6.53</v>
      </c>
      <c r="CQ286" s="103">
        <v>1501280.1402</v>
      </c>
      <c r="CR286" s="103">
        <v>24.38</v>
      </c>
      <c r="CS286" s="103">
        <f t="shared" si="17"/>
        <v>159.20140000000001</v>
      </c>
      <c r="CT286" s="103">
        <v>62885.8</v>
      </c>
      <c r="CU286" s="103">
        <v>252894.5</v>
      </c>
      <c r="CV286" s="104">
        <v>0.24866416628277802</v>
      </c>
      <c r="CW286" s="103">
        <v>943533.45660999999</v>
      </c>
      <c r="CX286" s="103">
        <v>59.73</v>
      </c>
      <c r="CY286" s="103">
        <v>4767007.1593800001</v>
      </c>
      <c r="CZ286" s="103">
        <v>73.560849967804245</v>
      </c>
      <c r="DA286" s="103">
        <f t="shared" si="18"/>
        <v>4393.7895685769472</v>
      </c>
      <c r="DB286" s="103">
        <v>738675.9</v>
      </c>
      <c r="DC286" s="103">
        <v>718229.6</v>
      </c>
      <c r="DD286" s="104">
        <v>1.0284676376467916</v>
      </c>
      <c r="DE286" s="103">
        <v>121630.67942</v>
      </c>
      <c r="DF286" s="103">
        <v>8.8000000000000007</v>
      </c>
      <c r="DG286" s="103">
        <v>1551241.94239</v>
      </c>
      <c r="DH286" s="103">
        <v>26.25</v>
      </c>
      <c r="DI286" s="103">
        <f t="shared" si="19"/>
        <v>231.00000000000003</v>
      </c>
      <c r="DJ286" s="103">
        <v>245190.5</v>
      </c>
      <c r="DK286" s="103">
        <v>811232.3</v>
      </c>
      <c r="DL286" s="104">
        <v>0.30224449889384336</v>
      </c>
    </row>
    <row r="287" spans="1:116" s="15" customFormat="1" ht="161.44999999999999" customHeight="1" x14ac:dyDescent="0.25">
      <c r="A287" s="100" t="s">
        <v>372</v>
      </c>
      <c r="B287" s="100" t="s">
        <v>2677</v>
      </c>
      <c r="C287" s="100" t="s">
        <v>279</v>
      </c>
      <c r="D287" s="101" t="str">
        <f>"Chemistry 3"</f>
        <v>Chemistry 3</v>
      </c>
      <c r="E287" s="102" t="s">
        <v>2678</v>
      </c>
      <c r="F287" s="100">
        <v>6</v>
      </c>
      <c r="G287" s="100">
        <v>5</v>
      </c>
      <c r="H287" s="100">
        <v>0.83</v>
      </c>
      <c r="I287" s="100">
        <v>9</v>
      </c>
      <c r="J287" s="100">
        <v>3</v>
      </c>
      <c r="K287" s="100">
        <v>3</v>
      </c>
      <c r="L287" s="100">
        <v>1</v>
      </c>
      <c r="M287" s="100">
        <v>0</v>
      </c>
      <c r="N287" s="100">
        <v>3</v>
      </c>
      <c r="O287" s="100">
        <v>2</v>
      </c>
      <c r="P287" s="100">
        <v>-1.85</v>
      </c>
      <c r="Q287" s="100">
        <v>49.33</v>
      </c>
      <c r="R287" s="100">
        <v>1</v>
      </c>
      <c r="S287" s="100">
        <v>0</v>
      </c>
      <c r="T287" s="100">
        <v>0</v>
      </c>
      <c r="U287" s="100">
        <v>1</v>
      </c>
      <c r="V287" s="100">
        <v>0</v>
      </c>
      <c r="W287" s="100">
        <v>0</v>
      </c>
      <c r="X287" s="100">
        <v>1</v>
      </c>
      <c r="Y287" s="100">
        <v>1</v>
      </c>
      <c r="Z287" s="100">
        <v>0</v>
      </c>
      <c r="AA287" s="100">
        <v>0</v>
      </c>
      <c r="AB287" s="100">
        <v>0</v>
      </c>
      <c r="AC287" s="100">
        <v>1</v>
      </c>
      <c r="AD287" s="100">
        <v>0</v>
      </c>
      <c r="AE287" s="100">
        <v>1</v>
      </c>
      <c r="AF287" s="100">
        <v>0</v>
      </c>
      <c r="AG287" s="100">
        <v>0</v>
      </c>
      <c r="AH287" s="100">
        <v>0</v>
      </c>
      <c r="AI287" s="100">
        <v>0</v>
      </c>
      <c r="AJ287" s="100">
        <v>1</v>
      </c>
      <c r="AK287" s="100">
        <v>1</v>
      </c>
      <c r="AL287" s="100">
        <v>1</v>
      </c>
      <c r="AM287" s="100">
        <v>0</v>
      </c>
      <c r="AN287" s="100">
        <v>0</v>
      </c>
      <c r="AO287" s="100">
        <v>0</v>
      </c>
      <c r="AP287" s="100">
        <v>0</v>
      </c>
      <c r="AQ287" s="100">
        <v>0</v>
      </c>
      <c r="AR287" s="100">
        <v>0</v>
      </c>
      <c r="AS287" s="100">
        <v>0</v>
      </c>
      <c r="AT287" s="100">
        <v>0</v>
      </c>
      <c r="AU287" s="100">
        <v>0</v>
      </c>
      <c r="AV287" s="100">
        <v>0</v>
      </c>
      <c r="AW287" s="100">
        <v>1</v>
      </c>
      <c r="AX287" s="100">
        <v>0</v>
      </c>
      <c r="AY287" s="100">
        <v>0</v>
      </c>
      <c r="AZ287" s="100">
        <v>0</v>
      </c>
      <c r="BA287" s="100">
        <v>0</v>
      </c>
      <c r="BB287" s="100">
        <v>0</v>
      </c>
      <c r="BC287" s="100">
        <v>0</v>
      </c>
      <c r="BD287" s="100">
        <v>0</v>
      </c>
      <c r="BE287" s="100">
        <v>0</v>
      </c>
      <c r="BF287" s="100">
        <v>0</v>
      </c>
      <c r="BG287" s="100">
        <v>0</v>
      </c>
      <c r="BH287" s="100">
        <v>0</v>
      </c>
      <c r="BI287" s="100">
        <v>0</v>
      </c>
      <c r="BJ287" s="100">
        <v>1</v>
      </c>
      <c r="BK287" s="100">
        <v>0</v>
      </c>
      <c r="BL287" s="100">
        <v>0</v>
      </c>
      <c r="BM287" s="100">
        <v>0</v>
      </c>
      <c r="BN287" s="100">
        <v>0</v>
      </c>
      <c r="BO287" s="100">
        <v>0</v>
      </c>
      <c r="BP287" s="100">
        <v>0</v>
      </c>
      <c r="BQ287" s="100">
        <v>0</v>
      </c>
      <c r="BR287" s="100">
        <v>0</v>
      </c>
      <c r="BS287" s="100">
        <v>0</v>
      </c>
      <c r="BT287" s="100">
        <v>0</v>
      </c>
      <c r="BU287" s="100">
        <v>0</v>
      </c>
      <c r="BV287" s="100">
        <v>0</v>
      </c>
      <c r="BW287" s="100">
        <v>1</v>
      </c>
      <c r="BX287" s="100">
        <v>0</v>
      </c>
      <c r="BY287" s="100">
        <v>0</v>
      </c>
      <c r="BZ287" s="100">
        <v>0</v>
      </c>
      <c r="CA287" s="100">
        <v>0</v>
      </c>
      <c r="CB287" s="100" t="s">
        <v>2090</v>
      </c>
      <c r="CC287" s="100">
        <v>0</v>
      </c>
      <c r="CD287" s="100">
        <v>0</v>
      </c>
      <c r="CE287" s="100">
        <v>0</v>
      </c>
      <c r="CF287" s="100">
        <v>0</v>
      </c>
      <c r="CG287" s="103">
        <v>97586.351379999993</v>
      </c>
      <c r="CH287" s="103">
        <v>6.61</v>
      </c>
      <c r="CI287" s="103">
        <v>2028629.2521200001</v>
      </c>
      <c r="CJ287" s="103">
        <v>29.86</v>
      </c>
      <c r="CK287" s="103">
        <f t="shared" si="16"/>
        <v>197.37460000000002</v>
      </c>
      <c r="CL287" s="103">
        <v>126299.1</v>
      </c>
      <c r="CM287" s="103">
        <v>857495.5</v>
      </c>
      <c r="CN287" s="104">
        <v>0.14728835311672189</v>
      </c>
      <c r="CO287" s="103">
        <v>0</v>
      </c>
      <c r="CP287" s="103">
        <v>0</v>
      </c>
      <c r="CQ287" s="103">
        <v>18098.193149999999</v>
      </c>
      <c r="CR287" s="103">
        <v>0</v>
      </c>
      <c r="CS287" s="103">
        <f t="shared" si="17"/>
        <v>0</v>
      </c>
      <c r="CT287" s="103">
        <v>4343.8999999999996</v>
      </c>
      <c r="CU287" s="103">
        <v>756462.6</v>
      </c>
      <c r="CV287" s="104">
        <v>5.7423856777585568E-3</v>
      </c>
      <c r="CW287" s="103">
        <v>0</v>
      </c>
      <c r="CX287" s="103">
        <v>0</v>
      </c>
      <c r="CY287" s="103">
        <v>2254.98918</v>
      </c>
      <c r="CZ287" s="103">
        <v>0</v>
      </c>
      <c r="DA287" s="103">
        <f t="shared" si="18"/>
        <v>0</v>
      </c>
      <c r="DB287" s="103">
        <v>2920.9</v>
      </c>
      <c r="DC287" s="103">
        <v>624852.69999999995</v>
      </c>
      <c r="DD287" s="104">
        <v>4.6745416959869104E-3</v>
      </c>
      <c r="DE287" s="103">
        <v>0</v>
      </c>
      <c r="DF287" s="103">
        <v>0</v>
      </c>
      <c r="DG287" s="103">
        <v>13995.04091</v>
      </c>
      <c r="DH287" s="103">
        <v>0</v>
      </c>
      <c r="DI287" s="103">
        <f t="shared" si="19"/>
        <v>0</v>
      </c>
      <c r="DJ287" s="103">
        <v>2192</v>
      </c>
      <c r="DK287" s="103">
        <v>459971.6</v>
      </c>
      <c r="DL287" s="104">
        <v>4.765511609847217E-3</v>
      </c>
    </row>
    <row r="288" spans="1:116" s="15" customFormat="1" ht="221.45" customHeight="1" x14ac:dyDescent="0.25">
      <c r="A288" s="100" t="s">
        <v>373</v>
      </c>
      <c r="B288" s="100" t="s">
        <v>2679</v>
      </c>
      <c r="C288" s="100" t="s">
        <v>279</v>
      </c>
      <c r="D288" s="101" t="str">
        <f>"Chemistry 187"</f>
        <v>Chemistry 187</v>
      </c>
      <c r="E288" s="102" t="s">
        <v>1998</v>
      </c>
      <c r="F288" s="100">
        <v>9</v>
      </c>
      <c r="G288" s="100">
        <v>8</v>
      </c>
      <c r="H288" s="100">
        <v>0.89</v>
      </c>
      <c r="I288" s="100">
        <v>13</v>
      </c>
      <c r="J288" s="100">
        <v>4</v>
      </c>
      <c r="K288" s="100">
        <v>4</v>
      </c>
      <c r="L288" s="100">
        <v>2</v>
      </c>
      <c r="M288" s="100">
        <v>0</v>
      </c>
      <c r="N288" s="100">
        <v>3</v>
      </c>
      <c r="O288" s="100">
        <v>1</v>
      </c>
      <c r="P288" s="100">
        <v>1.56</v>
      </c>
      <c r="Q288" s="100">
        <v>41.57</v>
      </c>
      <c r="R288" s="100">
        <v>2</v>
      </c>
      <c r="S288" s="100">
        <v>0</v>
      </c>
      <c r="T288" s="100">
        <v>0</v>
      </c>
      <c r="U288" s="100">
        <v>1</v>
      </c>
      <c r="V288" s="100">
        <v>0</v>
      </c>
      <c r="W288" s="100">
        <v>1</v>
      </c>
      <c r="X288" s="100">
        <v>0</v>
      </c>
      <c r="Y288" s="100">
        <v>0</v>
      </c>
      <c r="Z288" s="100">
        <v>1</v>
      </c>
      <c r="AA288" s="100">
        <v>0</v>
      </c>
      <c r="AB288" s="100">
        <v>0</v>
      </c>
      <c r="AC288" s="100">
        <v>1</v>
      </c>
      <c r="AD288" s="100">
        <v>0</v>
      </c>
      <c r="AE288" s="100">
        <v>0</v>
      </c>
      <c r="AF288" s="100">
        <v>1</v>
      </c>
      <c r="AG288" s="100">
        <v>0</v>
      </c>
      <c r="AH288" s="100">
        <v>0</v>
      </c>
      <c r="AI288" s="100">
        <v>1</v>
      </c>
      <c r="AJ288" s="100">
        <v>0</v>
      </c>
      <c r="AK288" s="100">
        <v>0</v>
      </c>
      <c r="AL288" s="100">
        <v>0</v>
      </c>
      <c r="AM288" s="100">
        <v>0</v>
      </c>
      <c r="AN288" s="100">
        <v>0</v>
      </c>
      <c r="AO288" s="100">
        <v>0</v>
      </c>
      <c r="AP288" s="100">
        <v>0</v>
      </c>
      <c r="AQ288" s="100">
        <v>0</v>
      </c>
      <c r="AR288" s="100">
        <v>0</v>
      </c>
      <c r="AS288" s="100">
        <v>0</v>
      </c>
      <c r="AT288" s="100">
        <v>0</v>
      </c>
      <c r="AU288" s="100">
        <v>0</v>
      </c>
      <c r="AV288" s="100">
        <v>1</v>
      </c>
      <c r="AW288" s="100">
        <v>0</v>
      </c>
      <c r="AX288" s="100">
        <v>0</v>
      </c>
      <c r="AY288" s="100">
        <v>0</v>
      </c>
      <c r="AZ288" s="100">
        <v>0</v>
      </c>
      <c r="BA288" s="100">
        <v>0</v>
      </c>
      <c r="BB288" s="100">
        <v>0</v>
      </c>
      <c r="BC288" s="100">
        <v>0</v>
      </c>
      <c r="BD288" s="100">
        <v>0</v>
      </c>
      <c r="BE288" s="100">
        <v>0</v>
      </c>
      <c r="BF288" s="100">
        <v>0</v>
      </c>
      <c r="BG288" s="100">
        <v>0</v>
      </c>
      <c r="BH288" s="100">
        <v>0</v>
      </c>
      <c r="BI288" s="100">
        <v>0</v>
      </c>
      <c r="BJ288" s="100">
        <v>1</v>
      </c>
      <c r="BK288" s="100">
        <v>0</v>
      </c>
      <c r="BL288" s="100">
        <v>0</v>
      </c>
      <c r="BM288" s="100">
        <v>0</v>
      </c>
      <c r="BN288" s="100">
        <v>0</v>
      </c>
      <c r="BO288" s="100">
        <v>0</v>
      </c>
      <c r="BP288" s="100">
        <v>0</v>
      </c>
      <c r="BQ288" s="100">
        <v>0</v>
      </c>
      <c r="BR288" s="100">
        <v>0</v>
      </c>
      <c r="BS288" s="100">
        <v>0</v>
      </c>
      <c r="BT288" s="100">
        <v>0</v>
      </c>
      <c r="BU288" s="100">
        <v>0</v>
      </c>
      <c r="BV288" s="100">
        <v>0</v>
      </c>
      <c r="BW288" s="100">
        <v>0</v>
      </c>
      <c r="BX288" s="100">
        <v>1</v>
      </c>
      <c r="BY288" s="100">
        <v>0</v>
      </c>
      <c r="BZ288" s="100">
        <v>0</v>
      </c>
      <c r="CA288" s="100">
        <v>0</v>
      </c>
      <c r="CB288" s="100" t="s">
        <v>2090</v>
      </c>
      <c r="CC288" s="100">
        <v>0</v>
      </c>
      <c r="CD288" s="100">
        <v>1</v>
      </c>
      <c r="CE288" s="100">
        <v>0</v>
      </c>
      <c r="CF288" s="100">
        <v>0</v>
      </c>
      <c r="CG288" s="103">
        <v>309427.83356</v>
      </c>
      <c r="CH288" s="103">
        <v>20.93</v>
      </c>
      <c r="CI288" s="103">
        <v>3126660.4396099998</v>
      </c>
      <c r="CJ288" s="103">
        <v>51.38</v>
      </c>
      <c r="CK288" s="103">
        <f t="shared" si="16"/>
        <v>1075.3833999999999</v>
      </c>
      <c r="CL288" s="103">
        <v>593123.1</v>
      </c>
      <c r="CM288" s="103">
        <v>745183.5</v>
      </c>
      <c r="CN288" s="104">
        <v>0.7959423417185163</v>
      </c>
      <c r="CO288" s="103">
        <v>697943.37632000004</v>
      </c>
      <c r="CP288" s="103">
        <v>36.69</v>
      </c>
      <c r="CQ288" s="103">
        <v>4199818.3862100001</v>
      </c>
      <c r="CR288" s="103">
        <v>40.08</v>
      </c>
      <c r="CS288" s="103">
        <f t="shared" si="17"/>
        <v>1470.5351999999998</v>
      </c>
      <c r="CT288" s="103">
        <v>537194.6</v>
      </c>
      <c r="CU288" s="103">
        <v>420574.2</v>
      </c>
      <c r="CV288" s="104">
        <v>1.2772885260199032</v>
      </c>
      <c r="CW288" s="103">
        <v>1089640.6788600001</v>
      </c>
      <c r="CX288" s="103">
        <v>68.23</v>
      </c>
      <c r="CY288" s="103">
        <v>4912265.7148900004</v>
      </c>
      <c r="CZ288" s="103">
        <v>77.580478863558255</v>
      </c>
      <c r="DA288" s="103">
        <f t="shared" si="18"/>
        <v>5293.3160728605799</v>
      </c>
      <c r="DB288" s="103">
        <v>806897.3</v>
      </c>
      <c r="DC288" s="103">
        <v>526406.6</v>
      </c>
      <c r="DD288" s="104">
        <v>1.532840393718468</v>
      </c>
      <c r="DE288" s="103">
        <v>1015739.62757</v>
      </c>
      <c r="DF288" s="103">
        <v>52.08</v>
      </c>
      <c r="DG288" s="103">
        <v>4891794.6795499995</v>
      </c>
      <c r="DH288" s="103">
        <v>36.58</v>
      </c>
      <c r="DI288" s="103">
        <f t="shared" si="19"/>
        <v>1905.0863999999999</v>
      </c>
      <c r="DJ288" s="103">
        <v>718043.7</v>
      </c>
      <c r="DK288" s="103">
        <v>487120.5</v>
      </c>
      <c r="DL288" s="104">
        <v>1.4740576510329579</v>
      </c>
    </row>
    <row r="289" spans="1:116" s="15" customFormat="1" ht="222.2" customHeight="1" x14ac:dyDescent="0.25">
      <c r="A289" s="100" t="s">
        <v>374</v>
      </c>
      <c r="B289" s="100" t="s">
        <v>2680</v>
      </c>
      <c r="C289" s="100" t="s">
        <v>279</v>
      </c>
      <c r="D289" s="101" t="str">
        <f>"Chemistry 8"</f>
        <v>Chemistry 8</v>
      </c>
      <c r="E289" s="102" t="s">
        <v>2681</v>
      </c>
      <c r="F289" s="100">
        <v>11</v>
      </c>
      <c r="G289" s="100">
        <v>11</v>
      </c>
      <c r="H289" s="100">
        <v>1</v>
      </c>
      <c r="I289" s="100">
        <v>13</v>
      </c>
      <c r="J289" s="100">
        <v>2</v>
      </c>
      <c r="K289" s="100">
        <v>2</v>
      </c>
      <c r="L289" s="100">
        <v>2</v>
      </c>
      <c r="M289" s="100">
        <v>0</v>
      </c>
      <c r="N289" s="100">
        <v>2</v>
      </c>
      <c r="O289" s="100">
        <v>1</v>
      </c>
      <c r="P289" s="100">
        <v>1.77</v>
      </c>
      <c r="Q289" s="100">
        <v>15.27</v>
      </c>
      <c r="R289" s="100">
        <v>2</v>
      </c>
      <c r="S289" s="100">
        <v>0</v>
      </c>
      <c r="T289" s="100">
        <v>0</v>
      </c>
      <c r="U289" s="100">
        <v>1</v>
      </c>
      <c r="V289" s="100">
        <v>0</v>
      </c>
      <c r="W289" s="100">
        <v>1</v>
      </c>
      <c r="X289" s="100">
        <v>0</v>
      </c>
      <c r="Y289" s="100">
        <v>0</v>
      </c>
      <c r="Z289" s="100">
        <v>1</v>
      </c>
      <c r="AA289" s="100">
        <v>0</v>
      </c>
      <c r="AB289" s="100">
        <v>0</v>
      </c>
      <c r="AC289" s="100">
        <v>1</v>
      </c>
      <c r="AD289" s="100">
        <v>0</v>
      </c>
      <c r="AE289" s="100">
        <v>0</v>
      </c>
      <c r="AF289" s="100">
        <v>0</v>
      </c>
      <c r="AG289" s="100">
        <v>1</v>
      </c>
      <c r="AH289" s="100">
        <v>1</v>
      </c>
      <c r="AI289" s="100">
        <v>0</v>
      </c>
      <c r="AJ289" s="100">
        <v>0</v>
      </c>
      <c r="AK289" s="100">
        <v>1</v>
      </c>
      <c r="AL289" s="100">
        <v>1</v>
      </c>
      <c r="AM289" s="100">
        <v>0</v>
      </c>
      <c r="AN289" s="100">
        <v>0</v>
      </c>
      <c r="AO289" s="100">
        <v>0</v>
      </c>
      <c r="AP289" s="100">
        <v>0</v>
      </c>
      <c r="AQ289" s="100">
        <v>0</v>
      </c>
      <c r="AR289" s="100">
        <v>0</v>
      </c>
      <c r="AS289" s="100">
        <v>0</v>
      </c>
      <c r="AT289" s="100">
        <v>0</v>
      </c>
      <c r="AU289" s="100">
        <v>0</v>
      </c>
      <c r="AV289" s="100">
        <v>0</v>
      </c>
      <c r="AW289" s="100">
        <v>0</v>
      </c>
      <c r="AX289" s="100">
        <v>0</v>
      </c>
      <c r="AY289" s="100">
        <v>0</v>
      </c>
      <c r="AZ289" s="100">
        <v>0</v>
      </c>
      <c r="BA289" s="100">
        <v>0</v>
      </c>
      <c r="BB289" s="100">
        <v>0</v>
      </c>
      <c r="BC289" s="100">
        <v>0</v>
      </c>
      <c r="BD289" s="100">
        <v>0</v>
      </c>
      <c r="BE289" s="100">
        <v>0</v>
      </c>
      <c r="BF289" s="100">
        <v>0</v>
      </c>
      <c r="BG289" s="100">
        <v>0</v>
      </c>
      <c r="BH289" s="100">
        <v>1</v>
      </c>
      <c r="BI289" s="100">
        <v>0</v>
      </c>
      <c r="BJ289" s="100">
        <v>1</v>
      </c>
      <c r="BK289" s="100">
        <v>0</v>
      </c>
      <c r="BL289" s="100">
        <v>0</v>
      </c>
      <c r="BM289" s="100">
        <v>0</v>
      </c>
      <c r="BN289" s="100">
        <v>0</v>
      </c>
      <c r="BO289" s="100">
        <v>0</v>
      </c>
      <c r="BP289" s="100">
        <v>0</v>
      </c>
      <c r="BQ289" s="100">
        <v>0</v>
      </c>
      <c r="BR289" s="100">
        <v>0</v>
      </c>
      <c r="BS289" s="100">
        <v>0</v>
      </c>
      <c r="BT289" s="100">
        <v>0</v>
      </c>
      <c r="BU289" s="100">
        <v>0</v>
      </c>
      <c r="BV289" s="100">
        <v>0</v>
      </c>
      <c r="BW289" s="100">
        <v>1</v>
      </c>
      <c r="BX289" s="100">
        <v>0</v>
      </c>
      <c r="BY289" s="100">
        <v>0</v>
      </c>
      <c r="BZ289" s="100">
        <v>0</v>
      </c>
      <c r="CA289" s="100">
        <v>0</v>
      </c>
      <c r="CB289" s="100" t="s">
        <v>2090</v>
      </c>
      <c r="CC289" s="100">
        <v>0</v>
      </c>
      <c r="CD289" s="100">
        <v>0</v>
      </c>
      <c r="CE289" s="100">
        <v>0</v>
      </c>
      <c r="CF289" s="100">
        <v>0</v>
      </c>
      <c r="CG289" s="103">
        <v>0</v>
      </c>
      <c r="CH289" s="103">
        <v>0</v>
      </c>
      <c r="CI289" s="103">
        <v>21000.141350000002</v>
      </c>
      <c r="CJ289" s="103">
        <v>0</v>
      </c>
      <c r="CK289" s="103">
        <f t="shared" si="16"/>
        <v>0</v>
      </c>
      <c r="CL289" s="103">
        <v>10703.7</v>
      </c>
      <c r="CM289" s="103">
        <v>692561</v>
      </c>
      <c r="CN289" s="104">
        <v>1.5455245097543755E-2</v>
      </c>
      <c r="CO289" s="103">
        <v>0</v>
      </c>
      <c r="CP289" s="103">
        <v>0</v>
      </c>
      <c r="CQ289" s="103">
        <v>74853.272450000004</v>
      </c>
      <c r="CR289" s="103">
        <v>0</v>
      </c>
      <c r="CS289" s="103">
        <f t="shared" si="17"/>
        <v>0</v>
      </c>
      <c r="CT289" s="103">
        <v>24507.9</v>
      </c>
      <c r="CU289" s="103">
        <v>669138</v>
      </c>
      <c r="CV289" s="104">
        <v>3.6626077132071416E-2</v>
      </c>
      <c r="CW289" s="103">
        <v>0</v>
      </c>
      <c r="CX289" s="103">
        <v>0</v>
      </c>
      <c r="CY289" s="103">
        <v>21113.416730000001</v>
      </c>
      <c r="CZ289" s="103">
        <v>0</v>
      </c>
      <c r="DA289" s="103">
        <f t="shared" si="18"/>
        <v>0</v>
      </c>
      <c r="DB289" s="103">
        <v>13994.1</v>
      </c>
      <c r="DC289" s="103">
        <v>787718</v>
      </c>
      <c r="DD289" s="104">
        <v>1.7765367809292158E-2</v>
      </c>
      <c r="DE289" s="103">
        <v>0</v>
      </c>
      <c r="DF289" s="103">
        <v>0</v>
      </c>
      <c r="DG289" s="103">
        <v>125863.23088</v>
      </c>
      <c r="DH289" s="103">
        <v>0</v>
      </c>
      <c r="DI289" s="103">
        <f t="shared" si="19"/>
        <v>0</v>
      </c>
      <c r="DJ289" s="103">
        <v>24054.400000000001</v>
      </c>
      <c r="DK289" s="103">
        <v>455673.59999999998</v>
      </c>
      <c r="DL289" s="104">
        <v>5.2788662762117453E-2</v>
      </c>
    </row>
    <row r="290" spans="1:116" s="15" customFormat="1" ht="241.7" customHeight="1" x14ac:dyDescent="0.25">
      <c r="A290" s="100" t="s">
        <v>375</v>
      </c>
      <c r="B290" s="100" t="s">
        <v>2682</v>
      </c>
      <c r="C290" s="100" t="s">
        <v>279</v>
      </c>
      <c r="D290" s="101" t="str">
        <f>"Chemistry 55"</f>
        <v>Chemistry 55</v>
      </c>
      <c r="E290" s="102" t="s">
        <v>2683</v>
      </c>
      <c r="F290" s="100">
        <v>9</v>
      </c>
      <c r="G290" s="100">
        <v>9</v>
      </c>
      <c r="H290" s="100">
        <v>1</v>
      </c>
      <c r="I290" s="100">
        <v>12</v>
      </c>
      <c r="J290" s="100">
        <v>3</v>
      </c>
      <c r="K290" s="100">
        <v>3</v>
      </c>
      <c r="L290" s="100">
        <v>3</v>
      </c>
      <c r="M290" s="100">
        <v>0</v>
      </c>
      <c r="N290" s="100">
        <v>3</v>
      </c>
      <c r="O290" s="100">
        <v>1</v>
      </c>
      <c r="P290" s="100">
        <v>0.3</v>
      </c>
      <c r="Q290" s="100">
        <v>18.5</v>
      </c>
      <c r="R290" s="100">
        <v>4</v>
      </c>
      <c r="S290" s="100">
        <v>0</v>
      </c>
      <c r="T290" s="100">
        <v>0</v>
      </c>
      <c r="U290" s="100">
        <v>1</v>
      </c>
      <c r="V290" s="100">
        <v>0</v>
      </c>
      <c r="W290" s="100">
        <v>1</v>
      </c>
      <c r="X290" s="100">
        <v>0</v>
      </c>
      <c r="Y290" s="100">
        <v>0</v>
      </c>
      <c r="Z290" s="100">
        <v>1</v>
      </c>
      <c r="AA290" s="100">
        <v>0</v>
      </c>
      <c r="AB290" s="100">
        <v>0</v>
      </c>
      <c r="AC290" s="100">
        <v>1</v>
      </c>
      <c r="AD290" s="100">
        <v>0</v>
      </c>
      <c r="AE290" s="100">
        <v>1</v>
      </c>
      <c r="AF290" s="100">
        <v>0</v>
      </c>
      <c r="AG290" s="100">
        <v>0</v>
      </c>
      <c r="AH290" s="100">
        <v>1</v>
      </c>
      <c r="AI290" s="100">
        <v>0</v>
      </c>
      <c r="AJ290" s="100">
        <v>0</v>
      </c>
      <c r="AK290" s="100">
        <v>0</v>
      </c>
      <c r="AL290" s="100">
        <v>0</v>
      </c>
      <c r="AM290" s="100">
        <v>0</v>
      </c>
      <c r="AN290" s="100">
        <v>0</v>
      </c>
      <c r="AO290" s="100">
        <v>0</v>
      </c>
      <c r="AP290" s="100">
        <v>0</v>
      </c>
      <c r="AQ290" s="100">
        <v>0</v>
      </c>
      <c r="AR290" s="100">
        <v>0</v>
      </c>
      <c r="AS290" s="100">
        <v>0</v>
      </c>
      <c r="AT290" s="100">
        <v>0</v>
      </c>
      <c r="AU290" s="100">
        <v>0</v>
      </c>
      <c r="AV290" s="100">
        <v>0</v>
      </c>
      <c r="AW290" s="100">
        <v>0</v>
      </c>
      <c r="AX290" s="100">
        <v>0</v>
      </c>
      <c r="AY290" s="100">
        <v>0</v>
      </c>
      <c r="AZ290" s="100">
        <v>0</v>
      </c>
      <c r="BA290" s="100">
        <v>0</v>
      </c>
      <c r="BB290" s="100">
        <v>0</v>
      </c>
      <c r="BC290" s="100">
        <v>0</v>
      </c>
      <c r="BD290" s="100">
        <v>0</v>
      </c>
      <c r="BE290" s="100">
        <v>0</v>
      </c>
      <c r="BF290" s="100">
        <v>0</v>
      </c>
      <c r="BG290" s="100">
        <v>0</v>
      </c>
      <c r="BH290" s="100">
        <v>1</v>
      </c>
      <c r="BI290" s="100">
        <v>0</v>
      </c>
      <c r="BJ290" s="100">
        <v>2</v>
      </c>
      <c r="BK290" s="100">
        <v>0</v>
      </c>
      <c r="BL290" s="100">
        <v>0</v>
      </c>
      <c r="BM290" s="100">
        <v>0</v>
      </c>
      <c r="BN290" s="100">
        <v>0</v>
      </c>
      <c r="BO290" s="100">
        <v>0</v>
      </c>
      <c r="BP290" s="100">
        <v>0</v>
      </c>
      <c r="BQ290" s="100">
        <v>0</v>
      </c>
      <c r="BR290" s="100">
        <v>0</v>
      </c>
      <c r="BS290" s="100">
        <v>0</v>
      </c>
      <c r="BT290" s="100">
        <v>0</v>
      </c>
      <c r="BU290" s="100">
        <v>0</v>
      </c>
      <c r="BV290" s="100">
        <v>0</v>
      </c>
      <c r="BW290" s="100">
        <v>0</v>
      </c>
      <c r="BX290" s="100">
        <v>1</v>
      </c>
      <c r="BY290" s="100">
        <v>0</v>
      </c>
      <c r="BZ290" s="100">
        <v>0</v>
      </c>
      <c r="CA290" s="100">
        <v>0</v>
      </c>
      <c r="CB290" s="100" t="s">
        <v>2090</v>
      </c>
      <c r="CC290" s="100">
        <v>1</v>
      </c>
      <c r="CD290" s="100">
        <v>0</v>
      </c>
      <c r="CE290" s="100">
        <v>0</v>
      </c>
      <c r="CF290" s="100">
        <v>0</v>
      </c>
      <c r="CG290" s="103">
        <v>491906.30865999998</v>
      </c>
      <c r="CH290" s="103">
        <v>32.82</v>
      </c>
      <c r="CI290" s="103">
        <v>3441327.5131299999</v>
      </c>
      <c r="CJ290" s="103">
        <v>40.770000000000003</v>
      </c>
      <c r="CK290" s="103">
        <f t="shared" si="16"/>
        <v>1338.0714</v>
      </c>
      <c r="CL290" s="103">
        <v>307773.3</v>
      </c>
      <c r="CM290" s="103">
        <v>443938.4</v>
      </c>
      <c r="CN290" s="104">
        <v>0.69327929280278522</v>
      </c>
      <c r="CO290" s="103">
        <v>88845.412880000003</v>
      </c>
      <c r="CP290" s="103">
        <v>5.82</v>
      </c>
      <c r="CQ290" s="103">
        <v>1164893.02257</v>
      </c>
      <c r="CR290" s="103">
        <v>19.2</v>
      </c>
      <c r="CS290" s="103">
        <f t="shared" si="17"/>
        <v>111.744</v>
      </c>
      <c r="CT290" s="103">
        <v>149936.1</v>
      </c>
      <c r="CU290" s="103">
        <v>569951.9</v>
      </c>
      <c r="CV290" s="104">
        <v>0.26306798871974985</v>
      </c>
      <c r="CW290" s="103">
        <v>122447.15330999999</v>
      </c>
      <c r="CX290" s="103">
        <v>9.4</v>
      </c>
      <c r="CY290" s="103">
        <v>3353042.2440300002</v>
      </c>
      <c r="CZ290" s="103">
        <v>19.024166762112014</v>
      </c>
      <c r="DA290" s="103">
        <f t="shared" si="18"/>
        <v>178.82716756385292</v>
      </c>
      <c r="DB290" s="103">
        <v>700384.7</v>
      </c>
      <c r="DC290" s="103">
        <v>652528.5</v>
      </c>
      <c r="DD290" s="104">
        <v>1.0733396319087978</v>
      </c>
      <c r="DE290" s="103">
        <v>42525.667410000002</v>
      </c>
      <c r="DF290" s="103">
        <v>3.06</v>
      </c>
      <c r="DG290" s="103">
        <v>476132.02367999998</v>
      </c>
      <c r="DH290" s="103">
        <v>10.98</v>
      </c>
      <c r="DI290" s="103">
        <f t="shared" si="19"/>
        <v>33.598800000000004</v>
      </c>
      <c r="DJ290" s="103">
        <v>32444.2</v>
      </c>
      <c r="DK290" s="103">
        <v>399779</v>
      </c>
      <c r="DL290" s="104">
        <v>8.1155338324424245E-2</v>
      </c>
    </row>
    <row r="291" spans="1:116" s="15" customFormat="1" ht="238.7" customHeight="1" x14ac:dyDescent="0.25">
      <c r="A291" s="100" t="s">
        <v>376</v>
      </c>
      <c r="B291" s="100" t="s">
        <v>2684</v>
      </c>
      <c r="C291" s="100" t="s">
        <v>279</v>
      </c>
      <c r="D291" s="101" t="str">
        <f>"Chemistry 143"</f>
        <v>Chemistry 143</v>
      </c>
      <c r="E291" s="102" t="s">
        <v>2020</v>
      </c>
      <c r="F291" s="100">
        <v>11</v>
      </c>
      <c r="G291" s="100">
        <v>11</v>
      </c>
      <c r="H291" s="100">
        <v>1</v>
      </c>
      <c r="I291" s="100">
        <v>13</v>
      </c>
      <c r="J291" s="100">
        <v>2</v>
      </c>
      <c r="K291" s="100">
        <v>2</v>
      </c>
      <c r="L291" s="100">
        <v>2</v>
      </c>
      <c r="M291" s="100">
        <v>0</v>
      </c>
      <c r="N291" s="100">
        <v>2</v>
      </c>
      <c r="O291" s="100">
        <v>1</v>
      </c>
      <c r="P291" s="100">
        <v>1.84</v>
      </c>
      <c r="Q291" s="100">
        <v>15.27</v>
      </c>
      <c r="R291" s="100">
        <v>2</v>
      </c>
      <c r="S291" s="100">
        <v>0</v>
      </c>
      <c r="T291" s="100">
        <v>0</v>
      </c>
      <c r="U291" s="100">
        <v>1</v>
      </c>
      <c r="V291" s="100">
        <v>0</v>
      </c>
      <c r="W291" s="100">
        <v>1</v>
      </c>
      <c r="X291" s="100">
        <v>0</v>
      </c>
      <c r="Y291" s="100">
        <v>0</v>
      </c>
      <c r="Z291" s="100">
        <v>1</v>
      </c>
      <c r="AA291" s="100">
        <v>0</v>
      </c>
      <c r="AB291" s="100">
        <v>0</v>
      </c>
      <c r="AC291" s="100">
        <v>1</v>
      </c>
      <c r="AD291" s="100">
        <v>0</v>
      </c>
      <c r="AE291" s="100">
        <v>0</v>
      </c>
      <c r="AF291" s="100">
        <v>0</v>
      </c>
      <c r="AG291" s="100">
        <v>1</v>
      </c>
      <c r="AH291" s="100">
        <v>1</v>
      </c>
      <c r="AI291" s="100">
        <v>0</v>
      </c>
      <c r="AJ291" s="100">
        <v>0</v>
      </c>
      <c r="AK291" s="100">
        <v>1</v>
      </c>
      <c r="AL291" s="100">
        <v>1</v>
      </c>
      <c r="AM291" s="100">
        <v>0</v>
      </c>
      <c r="AN291" s="100">
        <v>0</v>
      </c>
      <c r="AO291" s="100">
        <v>0</v>
      </c>
      <c r="AP291" s="100">
        <v>0</v>
      </c>
      <c r="AQ291" s="100">
        <v>0</v>
      </c>
      <c r="AR291" s="100">
        <v>0</v>
      </c>
      <c r="AS291" s="100">
        <v>0</v>
      </c>
      <c r="AT291" s="100">
        <v>0</v>
      </c>
      <c r="AU291" s="100">
        <v>0</v>
      </c>
      <c r="AV291" s="100">
        <v>0</v>
      </c>
      <c r="AW291" s="100">
        <v>0</v>
      </c>
      <c r="AX291" s="100">
        <v>0</v>
      </c>
      <c r="AY291" s="100">
        <v>0</v>
      </c>
      <c r="AZ291" s="100">
        <v>0</v>
      </c>
      <c r="BA291" s="100">
        <v>0</v>
      </c>
      <c r="BB291" s="100">
        <v>0</v>
      </c>
      <c r="BC291" s="100">
        <v>0</v>
      </c>
      <c r="BD291" s="100">
        <v>0</v>
      </c>
      <c r="BE291" s="100">
        <v>0</v>
      </c>
      <c r="BF291" s="100">
        <v>0</v>
      </c>
      <c r="BG291" s="100">
        <v>0</v>
      </c>
      <c r="BH291" s="100">
        <v>1</v>
      </c>
      <c r="BI291" s="100">
        <v>0</v>
      </c>
      <c r="BJ291" s="100">
        <v>1</v>
      </c>
      <c r="BK291" s="100">
        <v>0</v>
      </c>
      <c r="BL291" s="100">
        <v>0</v>
      </c>
      <c r="BM291" s="100">
        <v>0</v>
      </c>
      <c r="BN291" s="100">
        <v>0</v>
      </c>
      <c r="BO291" s="100">
        <v>0</v>
      </c>
      <c r="BP291" s="100">
        <v>0</v>
      </c>
      <c r="BQ291" s="100">
        <v>0</v>
      </c>
      <c r="BR291" s="100">
        <v>0</v>
      </c>
      <c r="BS291" s="100">
        <v>0</v>
      </c>
      <c r="BT291" s="100">
        <v>0</v>
      </c>
      <c r="BU291" s="100">
        <v>0</v>
      </c>
      <c r="BV291" s="100">
        <v>0</v>
      </c>
      <c r="BW291" s="100">
        <v>1</v>
      </c>
      <c r="BX291" s="100">
        <v>0</v>
      </c>
      <c r="BY291" s="100">
        <v>0</v>
      </c>
      <c r="BZ291" s="100">
        <v>0</v>
      </c>
      <c r="CA291" s="100">
        <v>0</v>
      </c>
      <c r="CB291" s="100" t="s">
        <v>2090</v>
      </c>
      <c r="CC291" s="100">
        <v>0</v>
      </c>
      <c r="CD291" s="100">
        <v>0</v>
      </c>
      <c r="CE291" s="100">
        <v>0</v>
      </c>
      <c r="CF291" s="100">
        <v>0</v>
      </c>
      <c r="CG291" s="103">
        <v>69330.758960000006</v>
      </c>
      <c r="CH291" s="103">
        <v>4.57</v>
      </c>
      <c r="CI291" s="103">
        <v>1228344.4201700001</v>
      </c>
      <c r="CJ291" s="103">
        <v>19</v>
      </c>
      <c r="CK291" s="103">
        <f t="shared" si="16"/>
        <v>86.830000000000013</v>
      </c>
      <c r="CL291" s="103">
        <v>14914.7</v>
      </c>
      <c r="CM291" s="103">
        <v>185619</v>
      </c>
      <c r="CN291" s="104">
        <v>8.0351149397421606E-2</v>
      </c>
      <c r="CO291" s="103">
        <v>54801.73386</v>
      </c>
      <c r="CP291" s="103">
        <v>3.64</v>
      </c>
      <c r="CQ291" s="103">
        <v>1761607.09305</v>
      </c>
      <c r="CR291" s="103">
        <v>20.45</v>
      </c>
      <c r="CS291" s="103">
        <f t="shared" si="17"/>
        <v>74.438000000000002</v>
      </c>
      <c r="CT291" s="103">
        <v>61107</v>
      </c>
      <c r="CU291" s="103">
        <v>538085.5</v>
      </c>
      <c r="CV291" s="104">
        <v>0.11356373661806535</v>
      </c>
      <c r="CW291" s="103">
        <v>22533.014060000001</v>
      </c>
      <c r="CX291" s="103">
        <v>2.25</v>
      </c>
      <c r="CY291" s="103">
        <v>591197.28541000001</v>
      </c>
      <c r="CZ291" s="103">
        <v>14.398734177215189</v>
      </c>
      <c r="DA291" s="103">
        <f t="shared" si="18"/>
        <v>32.39715189873418</v>
      </c>
      <c r="DB291" s="103">
        <v>14775</v>
      </c>
      <c r="DC291" s="103">
        <v>555142.9</v>
      </c>
      <c r="DD291" s="104">
        <v>2.6614768918056954E-2</v>
      </c>
      <c r="DE291" s="103">
        <v>43176.55113</v>
      </c>
      <c r="DF291" s="103">
        <v>2.89</v>
      </c>
      <c r="DG291" s="103">
        <v>1353863.80648</v>
      </c>
      <c r="DH291" s="103">
        <v>13.16</v>
      </c>
      <c r="DI291" s="103">
        <f t="shared" si="19"/>
        <v>38.032400000000003</v>
      </c>
      <c r="DJ291" s="103">
        <v>14793.6</v>
      </c>
      <c r="DK291" s="103">
        <v>339272.4</v>
      </c>
      <c r="DL291" s="104">
        <v>4.3603900582540753E-2</v>
      </c>
    </row>
    <row r="292" spans="1:116" s="15" customFormat="1" ht="241.7" customHeight="1" x14ac:dyDescent="0.25">
      <c r="A292" s="100" t="s">
        <v>377</v>
      </c>
      <c r="B292" s="100" t="s">
        <v>2685</v>
      </c>
      <c r="C292" s="100" t="s">
        <v>279</v>
      </c>
      <c r="D292" s="101" t="str">
        <f>"Chemistry 37"</f>
        <v>Chemistry 37</v>
      </c>
      <c r="E292" s="102" t="s">
        <v>2686</v>
      </c>
      <c r="F292" s="100">
        <v>10</v>
      </c>
      <c r="G292" s="100">
        <v>10</v>
      </c>
      <c r="H292" s="100">
        <v>1</v>
      </c>
      <c r="I292" s="100">
        <v>13</v>
      </c>
      <c r="J292" s="100">
        <v>3</v>
      </c>
      <c r="K292" s="100">
        <v>3</v>
      </c>
      <c r="L292" s="100">
        <v>3</v>
      </c>
      <c r="M292" s="100">
        <v>0</v>
      </c>
      <c r="N292" s="100">
        <v>3</v>
      </c>
      <c r="O292" s="100">
        <v>1</v>
      </c>
      <c r="P292" s="100">
        <v>1.2</v>
      </c>
      <c r="Q292" s="100">
        <v>18.5</v>
      </c>
      <c r="R292" s="100">
        <v>5</v>
      </c>
      <c r="S292" s="100">
        <v>0</v>
      </c>
      <c r="T292" s="100">
        <v>0</v>
      </c>
      <c r="U292" s="100">
        <v>1</v>
      </c>
      <c r="V292" s="100">
        <v>0</v>
      </c>
      <c r="W292" s="100">
        <v>1</v>
      </c>
      <c r="X292" s="100">
        <v>0</v>
      </c>
      <c r="Y292" s="100">
        <v>0</v>
      </c>
      <c r="Z292" s="100">
        <v>1</v>
      </c>
      <c r="AA292" s="100">
        <v>0</v>
      </c>
      <c r="AB292" s="100">
        <v>0</v>
      </c>
      <c r="AC292" s="100">
        <v>1</v>
      </c>
      <c r="AD292" s="100">
        <v>0</v>
      </c>
      <c r="AE292" s="100">
        <v>0</v>
      </c>
      <c r="AF292" s="100">
        <v>1</v>
      </c>
      <c r="AG292" s="100">
        <v>0</v>
      </c>
      <c r="AH292" s="100">
        <v>1</v>
      </c>
      <c r="AI292" s="100">
        <v>0</v>
      </c>
      <c r="AJ292" s="100">
        <v>0</v>
      </c>
      <c r="AK292" s="100">
        <v>0</v>
      </c>
      <c r="AL292" s="100">
        <v>0</v>
      </c>
      <c r="AM292" s="100">
        <v>0</v>
      </c>
      <c r="AN292" s="100">
        <v>0</v>
      </c>
      <c r="AO292" s="100">
        <v>0</v>
      </c>
      <c r="AP292" s="100">
        <v>0</v>
      </c>
      <c r="AQ292" s="100">
        <v>0</v>
      </c>
      <c r="AR292" s="100">
        <v>0</v>
      </c>
      <c r="AS292" s="100">
        <v>0</v>
      </c>
      <c r="AT292" s="100">
        <v>0</v>
      </c>
      <c r="AU292" s="100">
        <v>0</v>
      </c>
      <c r="AV292" s="100">
        <v>0</v>
      </c>
      <c r="AW292" s="100">
        <v>0</v>
      </c>
      <c r="AX292" s="100">
        <v>0</v>
      </c>
      <c r="AY292" s="100">
        <v>0</v>
      </c>
      <c r="AZ292" s="100">
        <v>0</v>
      </c>
      <c r="BA292" s="100">
        <v>0</v>
      </c>
      <c r="BB292" s="100">
        <v>0</v>
      </c>
      <c r="BC292" s="100">
        <v>0</v>
      </c>
      <c r="BD292" s="100">
        <v>0</v>
      </c>
      <c r="BE292" s="100">
        <v>0</v>
      </c>
      <c r="BF292" s="100">
        <v>0</v>
      </c>
      <c r="BG292" s="100">
        <v>0</v>
      </c>
      <c r="BH292" s="100">
        <v>1</v>
      </c>
      <c r="BI292" s="100">
        <v>0</v>
      </c>
      <c r="BJ292" s="100">
        <v>2</v>
      </c>
      <c r="BK292" s="100">
        <v>0</v>
      </c>
      <c r="BL292" s="100">
        <v>0</v>
      </c>
      <c r="BM292" s="100">
        <v>0</v>
      </c>
      <c r="BN292" s="100">
        <v>0</v>
      </c>
      <c r="BO292" s="100">
        <v>0</v>
      </c>
      <c r="BP292" s="100">
        <v>0</v>
      </c>
      <c r="BQ292" s="100">
        <v>0</v>
      </c>
      <c r="BR292" s="100">
        <v>0</v>
      </c>
      <c r="BS292" s="100">
        <v>0</v>
      </c>
      <c r="BT292" s="100">
        <v>0</v>
      </c>
      <c r="BU292" s="100">
        <v>0</v>
      </c>
      <c r="BV292" s="100">
        <v>0</v>
      </c>
      <c r="BW292" s="100">
        <v>0</v>
      </c>
      <c r="BX292" s="100">
        <v>1</v>
      </c>
      <c r="BY292" s="100">
        <v>0</v>
      </c>
      <c r="BZ292" s="100">
        <v>0</v>
      </c>
      <c r="CA292" s="100">
        <v>0</v>
      </c>
      <c r="CB292" s="100" t="s">
        <v>2090</v>
      </c>
      <c r="CC292" s="100">
        <v>1</v>
      </c>
      <c r="CD292" s="100">
        <v>0</v>
      </c>
      <c r="CE292" s="100">
        <v>0</v>
      </c>
      <c r="CF292" s="100">
        <v>0</v>
      </c>
      <c r="CG292" s="103">
        <v>351295.22223000001</v>
      </c>
      <c r="CH292" s="103">
        <v>19.559999999999999</v>
      </c>
      <c r="CI292" s="103">
        <v>3126737.5668600001</v>
      </c>
      <c r="CJ292" s="103">
        <v>31.33</v>
      </c>
      <c r="CK292" s="103">
        <f t="shared" si="16"/>
        <v>612.81479999999988</v>
      </c>
      <c r="CL292" s="103">
        <v>288090.2</v>
      </c>
      <c r="CM292" s="103">
        <v>521279.9</v>
      </c>
      <c r="CN292" s="104">
        <v>0.55265932946963814</v>
      </c>
      <c r="CO292" s="103">
        <v>27975.912550000001</v>
      </c>
      <c r="CP292" s="103">
        <v>1.8</v>
      </c>
      <c r="CQ292" s="103">
        <v>957992.87214999995</v>
      </c>
      <c r="CR292" s="103">
        <v>15.95</v>
      </c>
      <c r="CS292" s="103">
        <f t="shared" si="17"/>
        <v>28.71</v>
      </c>
      <c r="CT292" s="103">
        <v>220223.1</v>
      </c>
      <c r="CU292" s="103">
        <v>890712.7</v>
      </c>
      <c r="CV292" s="104">
        <v>0.24724369597514442</v>
      </c>
      <c r="CW292" s="103">
        <v>884891.21068999998</v>
      </c>
      <c r="CX292" s="103">
        <v>63.31</v>
      </c>
      <c r="CY292" s="103">
        <v>5509475.6139599998</v>
      </c>
      <c r="CZ292" s="103">
        <v>72.765857109172373</v>
      </c>
      <c r="DA292" s="103">
        <f t="shared" si="18"/>
        <v>4606.8064135817031</v>
      </c>
      <c r="DB292" s="103">
        <v>728715.9</v>
      </c>
      <c r="DC292" s="103">
        <v>624356.30000000005</v>
      </c>
      <c r="DD292" s="104">
        <v>1.1671475085620182</v>
      </c>
      <c r="DE292" s="103">
        <v>19028.16764</v>
      </c>
      <c r="DF292" s="103">
        <v>1.25</v>
      </c>
      <c r="DG292" s="103">
        <v>792812.44276999997</v>
      </c>
      <c r="DH292" s="103">
        <v>10.3</v>
      </c>
      <c r="DI292" s="103">
        <f t="shared" si="19"/>
        <v>12.875</v>
      </c>
      <c r="DJ292" s="103">
        <v>14711.7</v>
      </c>
      <c r="DK292" s="103">
        <v>384885.4</v>
      </c>
      <c r="DL292" s="104">
        <v>3.8223585514025736E-2</v>
      </c>
    </row>
    <row r="293" spans="1:116" s="15" customFormat="1" ht="177.95" customHeight="1" x14ac:dyDescent="0.25">
      <c r="A293" s="100" t="s">
        <v>378</v>
      </c>
      <c r="B293" s="100" t="s">
        <v>2687</v>
      </c>
      <c r="C293" s="100" t="s">
        <v>279</v>
      </c>
      <c r="D293" s="101" t="str">
        <f>"Chemistry 27"</f>
        <v>Chemistry 27</v>
      </c>
      <c r="E293" s="102" t="s">
        <v>2688</v>
      </c>
      <c r="F293" s="100">
        <v>7</v>
      </c>
      <c r="G293" s="100">
        <v>6</v>
      </c>
      <c r="H293" s="100">
        <v>0.86</v>
      </c>
      <c r="I293" s="100">
        <v>10</v>
      </c>
      <c r="J293" s="100">
        <v>3</v>
      </c>
      <c r="K293" s="100">
        <v>3</v>
      </c>
      <c r="L293" s="100">
        <v>1</v>
      </c>
      <c r="M293" s="100">
        <v>0</v>
      </c>
      <c r="N293" s="100">
        <v>3</v>
      </c>
      <c r="O293" s="100">
        <v>1</v>
      </c>
      <c r="P293" s="100">
        <v>-0.21</v>
      </c>
      <c r="Q293" s="100">
        <v>38.33</v>
      </c>
      <c r="R293" s="100">
        <v>2</v>
      </c>
      <c r="S293" s="100">
        <v>0</v>
      </c>
      <c r="T293" s="100">
        <v>0</v>
      </c>
      <c r="U293" s="100">
        <v>1</v>
      </c>
      <c r="V293" s="100">
        <v>0</v>
      </c>
      <c r="W293" s="100">
        <v>0</v>
      </c>
      <c r="X293" s="100">
        <v>1</v>
      </c>
      <c r="Y293" s="100">
        <v>0</v>
      </c>
      <c r="Z293" s="100">
        <v>1</v>
      </c>
      <c r="AA293" s="100">
        <v>0</v>
      </c>
      <c r="AB293" s="100">
        <v>0</v>
      </c>
      <c r="AC293" s="100">
        <v>1</v>
      </c>
      <c r="AD293" s="100">
        <v>0</v>
      </c>
      <c r="AE293" s="100">
        <v>1</v>
      </c>
      <c r="AF293" s="100">
        <v>0</v>
      </c>
      <c r="AG293" s="100">
        <v>0</v>
      </c>
      <c r="AH293" s="100">
        <v>0</v>
      </c>
      <c r="AI293" s="100">
        <v>1</v>
      </c>
      <c r="AJ293" s="100">
        <v>0</v>
      </c>
      <c r="AK293" s="100">
        <v>0</v>
      </c>
      <c r="AL293" s="100">
        <v>0</v>
      </c>
      <c r="AM293" s="100">
        <v>0</v>
      </c>
      <c r="AN293" s="100">
        <v>0</v>
      </c>
      <c r="AO293" s="100">
        <v>0</v>
      </c>
      <c r="AP293" s="100">
        <v>0</v>
      </c>
      <c r="AQ293" s="100">
        <v>0</v>
      </c>
      <c r="AR293" s="100">
        <v>0</v>
      </c>
      <c r="AS293" s="100">
        <v>0</v>
      </c>
      <c r="AT293" s="100">
        <v>0</v>
      </c>
      <c r="AU293" s="100">
        <v>0</v>
      </c>
      <c r="AV293" s="100">
        <v>0</v>
      </c>
      <c r="AW293" s="100">
        <v>0</v>
      </c>
      <c r="AX293" s="100">
        <v>1</v>
      </c>
      <c r="AY293" s="100">
        <v>0</v>
      </c>
      <c r="AZ293" s="100">
        <v>0</v>
      </c>
      <c r="BA293" s="100">
        <v>0</v>
      </c>
      <c r="BB293" s="100">
        <v>0</v>
      </c>
      <c r="BC293" s="100">
        <v>0</v>
      </c>
      <c r="BD293" s="100">
        <v>0</v>
      </c>
      <c r="BE293" s="100">
        <v>0</v>
      </c>
      <c r="BF293" s="100">
        <v>0</v>
      </c>
      <c r="BG293" s="100">
        <v>0</v>
      </c>
      <c r="BH293" s="100">
        <v>0</v>
      </c>
      <c r="BI293" s="100">
        <v>0</v>
      </c>
      <c r="BJ293" s="100">
        <v>1</v>
      </c>
      <c r="BK293" s="100">
        <v>0</v>
      </c>
      <c r="BL293" s="100">
        <v>0</v>
      </c>
      <c r="BM293" s="100">
        <v>0</v>
      </c>
      <c r="BN293" s="100">
        <v>0</v>
      </c>
      <c r="BO293" s="100">
        <v>0</v>
      </c>
      <c r="BP293" s="100">
        <v>0</v>
      </c>
      <c r="BQ293" s="100">
        <v>0</v>
      </c>
      <c r="BR293" s="100">
        <v>0</v>
      </c>
      <c r="BS293" s="100">
        <v>0</v>
      </c>
      <c r="BT293" s="100">
        <v>0</v>
      </c>
      <c r="BU293" s="100">
        <v>0</v>
      </c>
      <c r="BV293" s="100">
        <v>0</v>
      </c>
      <c r="BW293" s="100">
        <v>1</v>
      </c>
      <c r="BX293" s="100">
        <v>0</v>
      </c>
      <c r="BY293" s="100">
        <v>0</v>
      </c>
      <c r="BZ293" s="100">
        <v>0</v>
      </c>
      <c r="CA293" s="100">
        <v>1</v>
      </c>
      <c r="CB293" s="100" t="s">
        <v>2090</v>
      </c>
      <c r="CC293" s="100">
        <v>0</v>
      </c>
      <c r="CD293" s="100">
        <v>0</v>
      </c>
      <c r="CE293" s="100">
        <v>0</v>
      </c>
      <c r="CF293" s="100">
        <v>0</v>
      </c>
      <c r="CG293" s="103">
        <v>90247.983909999995</v>
      </c>
      <c r="CH293" s="103">
        <v>5.93</v>
      </c>
      <c r="CI293" s="103">
        <v>2205185.2107500001</v>
      </c>
      <c r="CJ293" s="103">
        <v>22.81</v>
      </c>
      <c r="CK293" s="103">
        <f t="shared" si="16"/>
        <v>135.26329999999999</v>
      </c>
      <c r="CL293" s="103">
        <v>230927.1</v>
      </c>
      <c r="CM293" s="103">
        <v>584562.4</v>
      </c>
      <c r="CN293" s="104">
        <v>0.3950426849212334</v>
      </c>
      <c r="CO293" s="103">
        <v>0</v>
      </c>
      <c r="CP293" s="103">
        <v>0</v>
      </c>
      <c r="CQ293" s="103">
        <v>55320.168940000003</v>
      </c>
      <c r="CR293" s="103">
        <v>2.14</v>
      </c>
      <c r="CS293" s="103">
        <f t="shared" si="17"/>
        <v>0</v>
      </c>
      <c r="CT293" s="103">
        <v>6948.4</v>
      </c>
      <c r="CU293" s="103">
        <v>545819.69999999995</v>
      </c>
      <c r="CV293" s="104">
        <v>1.2730211093516779E-2</v>
      </c>
      <c r="CW293" s="103">
        <v>138570.54784000001</v>
      </c>
      <c r="CX293" s="103">
        <v>13.05</v>
      </c>
      <c r="CY293" s="103">
        <v>2527684.60721</v>
      </c>
      <c r="CZ293" s="103">
        <v>30.24991116901575</v>
      </c>
      <c r="DA293" s="103">
        <f t="shared" si="18"/>
        <v>394.76134075565557</v>
      </c>
      <c r="DB293" s="103">
        <v>494714.5</v>
      </c>
      <c r="DC293" s="103">
        <v>484576</v>
      </c>
      <c r="DD293" s="104">
        <v>1.0209224146470317</v>
      </c>
      <c r="DE293" s="103">
        <v>0</v>
      </c>
      <c r="DF293" s="103">
        <v>0</v>
      </c>
      <c r="DG293" s="103">
        <v>45471.893020000003</v>
      </c>
      <c r="DH293" s="103">
        <v>1.38</v>
      </c>
      <c r="DI293" s="103">
        <f t="shared" si="19"/>
        <v>0</v>
      </c>
      <c r="DJ293" s="103">
        <v>1327.8</v>
      </c>
      <c r="DK293" s="103">
        <v>106123</v>
      </c>
      <c r="DL293" s="104">
        <v>1.2511896572844718E-2</v>
      </c>
    </row>
    <row r="294" spans="1:116" s="15" customFormat="1" ht="177.95" customHeight="1" x14ac:dyDescent="0.25">
      <c r="A294" s="100" t="s">
        <v>379</v>
      </c>
      <c r="B294" s="100" t="s">
        <v>2689</v>
      </c>
      <c r="C294" s="100" t="s">
        <v>279</v>
      </c>
      <c r="D294" s="101" t="str">
        <f>"Chemistry 109"</f>
        <v>Chemistry 109</v>
      </c>
      <c r="E294" s="102" t="s">
        <v>2690</v>
      </c>
      <c r="F294" s="100">
        <v>8</v>
      </c>
      <c r="G294" s="100">
        <v>8</v>
      </c>
      <c r="H294" s="100">
        <v>1</v>
      </c>
      <c r="I294" s="100">
        <v>10</v>
      </c>
      <c r="J294" s="100">
        <v>2</v>
      </c>
      <c r="K294" s="100">
        <v>2</v>
      </c>
      <c r="L294" s="100">
        <v>2</v>
      </c>
      <c r="M294" s="100">
        <v>0</v>
      </c>
      <c r="N294" s="100">
        <v>2</v>
      </c>
      <c r="O294" s="100">
        <v>1</v>
      </c>
      <c r="P294" s="100">
        <v>1.22</v>
      </c>
      <c r="Q294" s="100">
        <v>15.27</v>
      </c>
      <c r="R294" s="100">
        <v>2</v>
      </c>
      <c r="S294" s="100">
        <v>0</v>
      </c>
      <c r="T294" s="100">
        <v>0</v>
      </c>
      <c r="U294" s="100">
        <v>1</v>
      </c>
      <c r="V294" s="100">
        <v>0</v>
      </c>
      <c r="W294" s="100">
        <v>1</v>
      </c>
      <c r="X294" s="100">
        <v>0</v>
      </c>
      <c r="Y294" s="100">
        <v>0</v>
      </c>
      <c r="Z294" s="100">
        <v>1</v>
      </c>
      <c r="AA294" s="100">
        <v>0</v>
      </c>
      <c r="AB294" s="100">
        <v>0</v>
      </c>
      <c r="AC294" s="100">
        <v>1</v>
      </c>
      <c r="AD294" s="100">
        <v>0</v>
      </c>
      <c r="AE294" s="100">
        <v>0</v>
      </c>
      <c r="AF294" s="100">
        <v>1</v>
      </c>
      <c r="AG294" s="100">
        <v>0</v>
      </c>
      <c r="AH294" s="100">
        <v>1</v>
      </c>
      <c r="AI294" s="100">
        <v>0</v>
      </c>
      <c r="AJ294" s="100">
        <v>0</v>
      </c>
      <c r="AK294" s="100">
        <v>0</v>
      </c>
      <c r="AL294" s="100">
        <v>0</v>
      </c>
      <c r="AM294" s="100">
        <v>0</v>
      </c>
      <c r="AN294" s="100">
        <v>0</v>
      </c>
      <c r="AO294" s="100">
        <v>0</v>
      </c>
      <c r="AP294" s="100">
        <v>0</v>
      </c>
      <c r="AQ294" s="100">
        <v>0</v>
      </c>
      <c r="AR294" s="100">
        <v>0</v>
      </c>
      <c r="AS294" s="100">
        <v>0</v>
      </c>
      <c r="AT294" s="100">
        <v>0</v>
      </c>
      <c r="AU294" s="100">
        <v>0</v>
      </c>
      <c r="AV294" s="100">
        <v>0</v>
      </c>
      <c r="AW294" s="100">
        <v>0</v>
      </c>
      <c r="AX294" s="100">
        <v>0</v>
      </c>
      <c r="AY294" s="100">
        <v>0</v>
      </c>
      <c r="AZ294" s="100">
        <v>0</v>
      </c>
      <c r="BA294" s="100">
        <v>0</v>
      </c>
      <c r="BB294" s="100">
        <v>0</v>
      </c>
      <c r="BC294" s="100">
        <v>0</v>
      </c>
      <c r="BD294" s="100">
        <v>0</v>
      </c>
      <c r="BE294" s="100">
        <v>0</v>
      </c>
      <c r="BF294" s="100">
        <v>0</v>
      </c>
      <c r="BG294" s="100">
        <v>0</v>
      </c>
      <c r="BH294" s="100">
        <v>1</v>
      </c>
      <c r="BI294" s="100">
        <v>0</v>
      </c>
      <c r="BJ294" s="100">
        <v>1</v>
      </c>
      <c r="BK294" s="100">
        <v>0</v>
      </c>
      <c r="BL294" s="100">
        <v>0</v>
      </c>
      <c r="BM294" s="100">
        <v>0</v>
      </c>
      <c r="BN294" s="100">
        <v>0</v>
      </c>
      <c r="BO294" s="100">
        <v>0</v>
      </c>
      <c r="BP294" s="100">
        <v>0</v>
      </c>
      <c r="BQ294" s="100">
        <v>0</v>
      </c>
      <c r="BR294" s="100">
        <v>0</v>
      </c>
      <c r="BS294" s="100">
        <v>0</v>
      </c>
      <c r="BT294" s="100">
        <v>0</v>
      </c>
      <c r="BU294" s="100">
        <v>0</v>
      </c>
      <c r="BV294" s="100">
        <v>0</v>
      </c>
      <c r="BW294" s="100">
        <v>0</v>
      </c>
      <c r="BX294" s="100">
        <v>1</v>
      </c>
      <c r="BY294" s="100">
        <v>0</v>
      </c>
      <c r="BZ294" s="100">
        <v>0</v>
      </c>
      <c r="CA294" s="100">
        <v>0</v>
      </c>
      <c r="CB294" s="100" t="s">
        <v>2090</v>
      </c>
      <c r="CC294" s="100">
        <v>1</v>
      </c>
      <c r="CD294" s="100">
        <v>0</v>
      </c>
      <c r="CE294" s="100">
        <v>0</v>
      </c>
      <c r="CF294" s="100">
        <v>0</v>
      </c>
      <c r="CG294" s="103">
        <v>571114.00837000005</v>
      </c>
      <c r="CH294" s="103">
        <v>33.47</v>
      </c>
      <c r="CI294" s="103">
        <v>3970775.16188</v>
      </c>
      <c r="CJ294" s="103">
        <v>38.159999999999997</v>
      </c>
      <c r="CK294" s="103">
        <f t="shared" si="16"/>
        <v>1277.2151999999999</v>
      </c>
      <c r="CL294" s="103">
        <v>60328.7</v>
      </c>
      <c r="CM294" s="103">
        <v>108284.3</v>
      </c>
      <c r="CN294" s="104">
        <v>0.55713247442149971</v>
      </c>
      <c r="CO294" s="103">
        <v>46200.730259999997</v>
      </c>
      <c r="CP294" s="103">
        <v>2.9</v>
      </c>
      <c r="CQ294" s="103">
        <v>1308698.4754900001</v>
      </c>
      <c r="CR294" s="103">
        <v>15.47</v>
      </c>
      <c r="CS294" s="103">
        <f t="shared" si="17"/>
        <v>44.863</v>
      </c>
      <c r="CT294" s="103">
        <v>48943.1</v>
      </c>
      <c r="CU294" s="103">
        <v>457282.1</v>
      </c>
      <c r="CV294" s="104">
        <v>0.10703043044982517</v>
      </c>
      <c r="CW294" s="103">
        <v>609900.16986999998</v>
      </c>
      <c r="CX294" s="103">
        <v>45.71</v>
      </c>
      <c r="CY294" s="103">
        <v>4517274.5423299996</v>
      </c>
      <c r="CZ294" s="103">
        <v>67.065446868402532</v>
      </c>
      <c r="DA294" s="103">
        <f t="shared" si="18"/>
        <v>3065.5615763546798</v>
      </c>
      <c r="DB294" s="103">
        <v>168244.5</v>
      </c>
      <c r="DC294" s="103">
        <v>118154.3</v>
      </c>
      <c r="DD294" s="104">
        <v>1.4239388663806565</v>
      </c>
      <c r="DE294" s="103">
        <v>122101.08602</v>
      </c>
      <c r="DF294" s="103">
        <v>7.83</v>
      </c>
      <c r="DG294" s="103">
        <v>1962438.5249099999</v>
      </c>
      <c r="DH294" s="103">
        <v>19.3</v>
      </c>
      <c r="DI294" s="103">
        <f t="shared" si="19"/>
        <v>151.119</v>
      </c>
      <c r="DJ294" s="103">
        <v>17026.599999999999</v>
      </c>
      <c r="DK294" s="103">
        <v>139655</v>
      </c>
      <c r="DL294" s="104">
        <v>0.12191901471483298</v>
      </c>
    </row>
    <row r="295" spans="1:116" s="15" customFormat="1" ht="201.2" customHeight="1" x14ac:dyDescent="0.25">
      <c r="A295" s="100" t="s">
        <v>380</v>
      </c>
      <c r="B295" s="100" t="s">
        <v>2691</v>
      </c>
      <c r="C295" s="100" t="s">
        <v>279</v>
      </c>
      <c r="D295" s="101" t="str">
        <f>"Chemistry 28"</f>
        <v>Chemistry 28</v>
      </c>
      <c r="E295" s="102" t="s">
        <v>2692</v>
      </c>
      <c r="F295" s="100">
        <v>11</v>
      </c>
      <c r="G295" s="100">
        <v>3</v>
      </c>
      <c r="H295" s="100">
        <v>0.27</v>
      </c>
      <c r="I295" s="100">
        <v>14</v>
      </c>
      <c r="J295" s="100">
        <v>3</v>
      </c>
      <c r="K295" s="100">
        <v>2</v>
      </c>
      <c r="L295" s="100">
        <v>2</v>
      </c>
      <c r="M295" s="100">
        <v>2</v>
      </c>
      <c r="N295" s="100">
        <v>1</v>
      </c>
      <c r="O295" s="100">
        <v>2</v>
      </c>
      <c r="P295" s="100">
        <v>1.9</v>
      </c>
      <c r="Q295" s="100">
        <v>27.82</v>
      </c>
      <c r="R295" s="100">
        <v>0</v>
      </c>
      <c r="S295" s="100">
        <v>0</v>
      </c>
      <c r="T295" s="100">
        <v>0</v>
      </c>
      <c r="U295" s="100">
        <v>1</v>
      </c>
      <c r="V295" s="100">
        <v>0</v>
      </c>
      <c r="W295" s="100">
        <v>1</v>
      </c>
      <c r="X295" s="100">
        <v>0</v>
      </c>
      <c r="Y295" s="100">
        <v>1</v>
      </c>
      <c r="Z295" s="100">
        <v>0</v>
      </c>
      <c r="AA295" s="100">
        <v>0</v>
      </c>
      <c r="AB295" s="100">
        <v>0</v>
      </c>
      <c r="AC295" s="100">
        <v>1</v>
      </c>
      <c r="AD295" s="100">
        <v>0</v>
      </c>
      <c r="AE295" s="100">
        <v>0</v>
      </c>
      <c r="AF295" s="100">
        <v>0</v>
      </c>
      <c r="AG295" s="100">
        <v>1</v>
      </c>
      <c r="AH295" s="100">
        <v>1</v>
      </c>
      <c r="AI295" s="100">
        <v>0</v>
      </c>
      <c r="AJ295" s="100">
        <v>0</v>
      </c>
      <c r="AK295" s="100">
        <v>0</v>
      </c>
      <c r="AL295" s="100">
        <v>0</v>
      </c>
      <c r="AM295" s="100">
        <v>0</v>
      </c>
      <c r="AN295" s="100">
        <v>1</v>
      </c>
      <c r="AO295" s="100">
        <v>0</v>
      </c>
      <c r="AP295" s="100">
        <v>0</v>
      </c>
      <c r="AQ295" s="100">
        <v>0</v>
      </c>
      <c r="AR295" s="100">
        <v>0</v>
      </c>
      <c r="AS295" s="100">
        <v>0</v>
      </c>
      <c r="AT295" s="100">
        <v>0</v>
      </c>
      <c r="AU295" s="100">
        <v>0</v>
      </c>
      <c r="AV295" s="100">
        <v>0</v>
      </c>
      <c r="AW295" s="100">
        <v>0</v>
      </c>
      <c r="AX295" s="100">
        <v>0</v>
      </c>
      <c r="AY295" s="100">
        <v>0</v>
      </c>
      <c r="AZ295" s="100">
        <v>0</v>
      </c>
      <c r="BA295" s="100">
        <v>0</v>
      </c>
      <c r="BB295" s="100">
        <v>0</v>
      </c>
      <c r="BC295" s="100">
        <v>0</v>
      </c>
      <c r="BD295" s="100">
        <v>0</v>
      </c>
      <c r="BE295" s="100">
        <v>0</v>
      </c>
      <c r="BF295" s="100">
        <v>0</v>
      </c>
      <c r="BG295" s="100">
        <v>0</v>
      </c>
      <c r="BH295" s="100">
        <v>0</v>
      </c>
      <c r="BI295" s="100">
        <v>0</v>
      </c>
      <c r="BJ295" s="100">
        <v>0</v>
      </c>
      <c r="BK295" s="100">
        <v>0</v>
      </c>
      <c r="BL295" s="100">
        <v>0</v>
      </c>
      <c r="BM295" s="100">
        <v>0</v>
      </c>
      <c r="BN295" s="100">
        <v>0</v>
      </c>
      <c r="BO295" s="100">
        <v>0</v>
      </c>
      <c r="BP295" s="100">
        <v>0</v>
      </c>
      <c r="BQ295" s="100">
        <v>0</v>
      </c>
      <c r="BR295" s="100">
        <v>1</v>
      </c>
      <c r="BS295" s="100">
        <v>1</v>
      </c>
      <c r="BT295" s="100">
        <v>0</v>
      </c>
      <c r="BU295" s="100">
        <v>0</v>
      </c>
      <c r="BV295" s="100">
        <v>0</v>
      </c>
      <c r="BW295" s="100">
        <v>1</v>
      </c>
      <c r="BX295" s="100">
        <v>0</v>
      </c>
      <c r="BY295" s="100">
        <v>0</v>
      </c>
      <c r="BZ295" s="100">
        <v>1</v>
      </c>
      <c r="CA295" s="100">
        <v>1</v>
      </c>
      <c r="CB295" s="100" t="s">
        <v>2090</v>
      </c>
      <c r="CC295" s="100">
        <v>0</v>
      </c>
      <c r="CD295" s="100">
        <v>0</v>
      </c>
      <c r="CE295" s="100">
        <v>0</v>
      </c>
      <c r="CF295" s="100">
        <v>0</v>
      </c>
      <c r="CG295" s="103">
        <v>371254.33652000001</v>
      </c>
      <c r="CH295" s="103">
        <v>14.66</v>
      </c>
      <c r="CI295" s="103">
        <v>3024936.8243399998</v>
      </c>
      <c r="CJ295" s="103">
        <v>27.08</v>
      </c>
      <c r="CK295" s="103">
        <f t="shared" si="16"/>
        <v>396.99279999999999</v>
      </c>
      <c r="CL295" s="103">
        <v>103624</v>
      </c>
      <c r="CM295" s="103">
        <v>195086.9</v>
      </c>
      <c r="CN295" s="104">
        <v>0.53116841776664658</v>
      </c>
      <c r="CO295" s="103">
        <v>107713.14495</v>
      </c>
      <c r="CP295" s="103">
        <v>3.19</v>
      </c>
      <c r="CQ295" s="103">
        <v>1835788.26609</v>
      </c>
      <c r="CR295" s="103">
        <v>10.95</v>
      </c>
      <c r="CS295" s="103">
        <f t="shared" si="17"/>
        <v>34.930499999999995</v>
      </c>
      <c r="CT295" s="103">
        <v>137790.20000000001</v>
      </c>
      <c r="CU295" s="103">
        <v>253841.4</v>
      </c>
      <c r="CV295" s="104">
        <v>0.54282004432689079</v>
      </c>
      <c r="CW295" s="103">
        <v>349985.62612999999</v>
      </c>
      <c r="CX295" s="103">
        <v>15.9</v>
      </c>
      <c r="CY295" s="103">
        <v>3002865.4128899998</v>
      </c>
      <c r="CZ295" s="103">
        <v>35.938397885300539</v>
      </c>
      <c r="DA295" s="103">
        <f t="shared" si="18"/>
        <v>571.42052637627853</v>
      </c>
      <c r="DB295" s="103">
        <v>284449.2</v>
      </c>
      <c r="DC295" s="103">
        <v>421802.3</v>
      </c>
      <c r="DD295" s="104">
        <v>0.67436616632958146</v>
      </c>
      <c r="DE295" s="103">
        <v>0</v>
      </c>
      <c r="DF295" s="103">
        <v>0</v>
      </c>
      <c r="DG295" s="103">
        <v>161430.03228000001</v>
      </c>
      <c r="DH295" s="103">
        <v>0</v>
      </c>
      <c r="DI295" s="103">
        <f t="shared" si="19"/>
        <v>0</v>
      </c>
      <c r="DJ295" s="103">
        <v>59497.1</v>
      </c>
      <c r="DK295" s="103">
        <v>12101.1</v>
      </c>
      <c r="DL295" s="104">
        <v>4.9166687325945571</v>
      </c>
    </row>
    <row r="296" spans="1:116" s="15" customFormat="1" ht="175.7" customHeight="1" x14ac:dyDescent="0.25">
      <c r="A296" s="100" t="s">
        <v>381</v>
      </c>
      <c r="B296" s="100" t="s">
        <v>2693</v>
      </c>
      <c r="C296" s="100" t="s">
        <v>279</v>
      </c>
      <c r="D296" s="101" t="str">
        <f>"Chemistry 46"</f>
        <v>Chemistry 46</v>
      </c>
      <c r="E296" s="102" t="s">
        <v>2018</v>
      </c>
      <c r="F296" s="100">
        <v>11</v>
      </c>
      <c r="G296" s="100">
        <v>5</v>
      </c>
      <c r="H296" s="100">
        <v>0.45</v>
      </c>
      <c r="I296" s="100">
        <v>12</v>
      </c>
      <c r="J296" s="100">
        <v>1</v>
      </c>
      <c r="K296" s="100">
        <v>1</v>
      </c>
      <c r="L296" s="100">
        <v>1</v>
      </c>
      <c r="M296" s="100">
        <v>1</v>
      </c>
      <c r="N296" s="100">
        <v>1</v>
      </c>
      <c r="O296" s="100">
        <v>1</v>
      </c>
      <c r="P296" s="100">
        <v>2.4900000000000002</v>
      </c>
      <c r="Q296" s="100">
        <v>12.03</v>
      </c>
      <c r="R296" s="100">
        <v>1</v>
      </c>
      <c r="S296" s="100">
        <v>0</v>
      </c>
      <c r="T296" s="100">
        <v>0</v>
      </c>
      <c r="U296" s="100">
        <v>1</v>
      </c>
      <c r="V296" s="100">
        <v>0</v>
      </c>
      <c r="W296" s="100">
        <v>0</v>
      </c>
      <c r="X296" s="100">
        <v>1</v>
      </c>
      <c r="Y296" s="100">
        <v>0</v>
      </c>
      <c r="Z296" s="100">
        <v>1</v>
      </c>
      <c r="AA296" s="100">
        <v>0</v>
      </c>
      <c r="AB296" s="100">
        <v>0</v>
      </c>
      <c r="AC296" s="100">
        <v>1</v>
      </c>
      <c r="AD296" s="100">
        <v>0</v>
      </c>
      <c r="AE296" s="100">
        <v>0</v>
      </c>
      <c r="AF296" s="100">
        <v>0</v>
      </c>
      <c r="AG296" s="100">
        <v>1</v>
      </c>
      <c r="AH296" s="100">
        <v>1</v>
      </c>
      <c r="AI296" s="100">
        <v>0</v>
      </c>
      <c r="AJ296" s="100">
        <v>0</v>
      </c>
      <c r="AK296" s="100">
        <v>1</v>
      </c>
      <c r="AL296" s="100">
        <v>0</v>
      </c>
      <c r="AM296" s="100">
        <v>1</v>
      </c>
      <c r="AN296" s="100">
        <v>0</v>
      </c>
      <c r="AO296" s="100">
        <v>0</v>
      </c>
      <c r="AP296" s="100">
        <v>0</v>
      </c>
      <c r="AQ296" s="100">
        <v>0</v>
      </c>
      <c r="AR296" s="100">
        <v>0</v>
      </c>
      <c r="AS296" s="100">
        <v>0</v>
      </c>
      <c r="AT296" s="100">
        <v>0</v>
      </c>
      <c r="AU296" s="100">
        <v>0</v>
      </c>
      <c r="AV296" s="100">
        <v>0</v>
      </c>
      <c r="AW296" s="100">
        <v>0</v>
      </c>
      <c r="AX296" s="100">
        <v>0</v>
      </c>
      <c r="AY296" s="100">
        <v>0</v>
      </c>
      <c r="AZ296" s="100">
        <v>0</v>
      </c>
      <c r="BA296" s="100">
        <v>0</v>
      </c>
      <c r="BB296" s="100">
        <v>0</v>
      </c>
      <c r="BC296" s="100">
        <v>0</v>
      </c>
      <c r="BD296" s="100">
        <v>0</v>
      </c>
      <c r="BE296" s="100">
        <v>0</v>
      </c>
      <c r="BF296" s="100">
        <v>0</v>
      </c>
      <c r="BG296" s="100">
        <v>0</v>
      </c>
      <c r="BH296" s="100">
        <v>0</v>
      </c>
      <c r="BI296" s="100">
        <v>0</v>
      </c>
      <c r="BJ296" s="100">
        <v>0</v>
      </c>
      <c r="BK296" s="100">
        <v>0</v>
      </c>
      <c r="BL296" s="100">
        <v>0</v>
      </c>
      <c r="BM296" s="100">
        <v>0</v>
      </c>
      <c r="BN296" s="100">
        <v>0</v>
      </c>
      <c r="BO296" s="100">
        <v>0</v>
      </c>
      <c r="BP296" s="100">
        <v>0</v>
      </c>
      <c r="BQ296" s="100">
        <v>0</v>
      </c>
      <c r="BR296" s="100">
        <v>0</v>
      </c>
      <c r="BS296" s="100">
        <v>0</v>
      </c>
      <c r="BT296" s="100">
        <v>0</v>
      </c>
      <c r="BU296" s="100">
        <v>0</v>
      </c>
      <c r="BV296" s="100">
        <v>0</v>
      </c>
      <c r="BW296" s="100">
        <v>1</v>
      </c>
      <c r="BX296" s="100">
        <v>0</v>
      </c>
      <c r="BY296" s="100">
        <v>0</v>
      </c>
      <c r="BZ296" s="100">
        <v>0</v>
      </c>
      <c r="CA296" s="100">
        <v>0</v>
      </c>
      <c r="CB296" s="100" t="s">
        <v>2090</v>
      </c>
      <c r="CC296" s="100">
        <v>0</v>
      </c>
      <c r="CD296" s="100">
        <v>0</v>
      </c>
      <c r="CE296" s="100">
        <v>0</v>
      </c>
      <c r="CF296" s="100">
        <v>0</v>
      </c>
      <c r="CG296" s="103">
        <v>14368.16735</v>
      </c>
      <c r="CH296" s="103">
        <v>0.95</v>
      </c>
      <c r="CI296" s="103">
        <v>1112671.85002</v>
      </c>
      <c r="CJ296" s="103">
        <v>9.94</v>
      </c>
      <c r="CK296" s="103">
        <f t="shared" si="16"/>
        <v>9.4429999999999996</v>
      </c>
      <c r="CL296" s="103">
        <v>6996.8</v>
      </c>
      <c r="CM296" s="103">
        <v>126842.4</v>
      </c>
      <c r="CN296" s="104">
        <v>5.5161365600146325E-2</v>
      </c>
      <c r="CO296" s="103">
        <v>0</v>
      </c>
      <c r="CP296" s="103">
        <v>0</v>
      </c>
      <c r="CQ296" s="103">
        <v>43561.22105</v>
      </c>
      <c r="CR296" s="103">
        <v>0</v>
      </c>
      <c r="CS296" s="103">
        <f t="shared" si="17"/>
        <v>0</v>
      </c>
      <c r="CT296" s="103">
        <v>2183.1999999999998</v>
      </c>
      <c r="CU296" s="103">
        <v>139114</v>
      </c>
      <c r="CV296" s="104">
        <v>1.5693603806949695E-2</v>
      </c>
      <c r="CW296" s="103">
        <v>67902.695269999997</v>
      </c>
      <c r="CX296" s="103">
        <v>6.04</v>
      </c>
      <c r="CY296" s="103">
        <v>2706648.1408099998</v>
      </c>
      <c r="CZ296" s="103">
        <v>26.150947839397151</v>
      </c>
      <c r="DA296" s="103">
        <f t="shared" si="18"/>
        <v>157.95172494995879</v>
      </c>
      <c r="DB296" s="103">
        <v>234354.3</v>
      </c>
      <c r="DC296" s="103">
        <v>611702.6</v>
      </c>
      <c r="DD296" s="104">
        <v>0.38311803807928885</v>
      </c>
      <c r="DE296" s="103">
        <v>41265.782140000003</v>
      </c>
      <c r="DF296" s="103">
        <v>2.15</v>
      </c>
      <c r="DG296" s="103">
        <v>553404.12609999999</v>
      </c>
      <c r="DH296" s="103">
        <v>3.89</v>
      </c>
      <c r="DI296" s="103">
        <f t="shared" si="19"/>
        <v>8.3635000000000002</v>
      </c>
      <c r="DJ296" s="103">
        <v>152652.79999999999</v>
      </c>
      <c r="DK296" s="103">
        <v>587291.1</v>
      </c>
      <c r="DL296" s="104">
        <v>0.25992697658793057</v>
      </c>
    </row>
    <row r="297" spans="1:116" s="15" customFormat="1" ht="265.7" customHeight="1" x14ac:dyDescent="0.25">
      <c r="A297" s="100" t="s">
        <v>382</v>
      </c>
      <c r="B297" s="100" t="s">
        <v>2694</v>
      </c>
      <c r="C297" s="100" t="s">
        <v>279</v>
      </c>
      <c r="D297" s="101" t="str">
        <f>"Chemistry 93"</f>
        <v>Chemistry 93</v>
      </c>
      <c r="E297" s="102" t="s">
        <v>2695</v>
      </c>
      <c r="F297" s="100">
        <v>17</v>
      </c>
      <c r="G297" s="100">
        <v>3</v>
      </c>
      <c r="H297" s="100">
        <v>0.18</v>
      </c>
      <c r="I297" s="100">
        <v>19</v>
      </c>
      <c r="J297" s="100">
        <v>2</v>
      </c>
      <c r="K297" s="100">
        <v>2</v>
      </c>
      <c r="L297" s="100">
        <v>2</v>
      </c>
      <c r="M297" s="100">
        <v>3</v>
      </c>
      <c r="N297" s="100">
        <v>1</v>
      </c>
      <c r="O297" s="100">
        <v>2</v>
      </c>
      <c r="P297" s="100">
        <v>3.14</v>
      </c>
      <c r="Q297" s="100">
        <v>27.82</v>
      </c>
      <c r="R297" s="100">
        <v>1</v>
      </c>
      <c r="S297" s="100">
        <v>0</v>
      </c>
      <c r="T297" s="100">
        <v>1</v>
      </c>
      <c r="U297" s="100">
        <v>0</v>
      </c>
      <c r="V297" s="100">
        <v>0</v>
      </c>
      <c r="W297" s="100">
        <v>1</v>
      </c>
      <c r="X297" s="100">
        <v>0</v>
      </c>
      <c r="Y297" s="100">
        <v>1</v>
      </c>
      <c r="Z297" s="100">
        <v>0</v>
      </c>
      <c r="AA297" s="100">
        <v>0</v>
      </c>
      <c r="AB297" s="100">
        <v>0</v>
      </c>
      <c r="AC297" s="100">
        <v>1</v>
      </c>
      <c r="AD297" s="100">
        <v>0</v>
      </c>
      <c r="AE297" s="100">
        <v>0</v>
      </c>
      <c r="AF297" s="100">
        <v>0</v>
      </c>
      <c r="AG297" s="100">
        <v>1</v>
      </c>
      <c r="AH297" s="100">
        <v>1</v>
      </c>
      <c r="AI297" s="100">
        <v>0</v>
      </c>
      <c r="AJ297" s="100">
        <v>0</v>
      </c>
      <c r="AK297" s="100">
        <v>1</v>
      </c>
      <c r="AL297" s="100">
        <v>0</v>
      </c>
      <c r="AM297" s="100">
        <v>1</v>
      </c>
      <c r="AN297" s="100">
        <v>1</v>
      </c>
      <c r="AO297" s="100">
        <v>0</v>
      </c>
      <c r="AP297" s="100">
        <v>0</v>
      </c>
      <c r="AQ297" s="100">
        <v>0</v>
      </c>
      <c r="AR297" s="100">
        <v>0</v>
      </c>
      <c r="AS297" s="100">
        <v>0</v>
      </c>
      <c r="AT297" s="100">
        <v>0</v>
      </c>
      <c r="AU297" s="100">
        <v>0</v>
      </c>
      <c r="AV297" s="100">
        <v>0</v>
      </c>
      <c r="AW297" s="100">
        <v>0</v>
      </c>
      <c r="AX297" s="100">
        <v>0</v>
      </c>
      <c r="AY297" s="100">
        <v>0</v>
      </c>
      <c r="AZ297" s="100">
        <v>0</v>
      </c>
      <c r="BA297" s="100">
        <v>0</v>
      </c>
      <c r="BB297" s="100">
        <v>0</v>
      </c>
      <c r="BC297" s="100">
        <v>0</v>
      </c>
      <c r="BD297" s="100">
        <v>0</v>
      </c>
      <c r="BE297" s="100">
        <v>0</v>
      </c>
      <c r="BF297" s="100">
        <v>0</v>
      </c>
      <c r="BG297" s="100">
        <v>0</v>
      </c>
      <c r="BH297" s="100">
        <v>0</v>
      </c>
      <c r="BI297" s="100">
        <v>0</v>
      </c>
      <c r="BJ297" s="100">
        <v>0</v>
      </c>
      <c r="BK297" s="100">
        <v>0</v>
      </c>
      <c r="BL297" s="100">
        <v>0</v>
      </c>
      <c r="BM297" s="100">
        <v>0</v>
      </c>
      <c r="BN297" s="100">
        <v>0</v>
      </c>
      <c r="BO297" s="100">
        <v>0</v>
      </c>
      <c r="BP297" s="100">
        <v>0</v>
      </c>
      <c r="BQ297" s="100">
        <v>0</v>
      </c>
      <c r="BR297" s="100">
        <v>1</v>
      </c>
      <c r="BS297" s="100">
        <v>1</v>
      </c>
      <c r="BT297" s="100">
        <v>0</v>
      </c>
      <c r="BU297" s="100">
        <v>0</v>
      </c>
      <c r="BV297" s="100">
        <v>0</v>
      </c>
      <c r="BW297" s="100">
        <v>1</v>
      </c>
      <c r="BX297" s="100">
        <v>0</v>
      </c>
      <c r="BY297" s="100">
        <v>0</v>
      </c>
      <c r="BZ297" s="100">
        <v>1</v>
      </c>
      <c r="CA297" s="100">
        <v>1</v>
      </c>
      <c r="CB297" s="100" t="s">
        <v>2090</v>
      </c>
      <c r="CC297" s="100">
        <v>0</v>
      </c>
      <c r="CD297" s="100">
        <v>0</v>
      </c>
      <c r="CE297" s="100">
        <v>0</v>
      </c>
      <c r="CF297" s="100">
        <v>0</v>
      </c>
      <c r="CG297" s="103">
        <v>66359.476779999997</v>
      </c>
      <c r="CH297" s="103">
        <v>2.2200000000000002</v>
      </c>
      <c r="CI297" s="103">
        <v>1389569.4475</v>
      </c>
      <c r="CJ297" s="103">
        <v>10.99</v>
      </c>
      <c r="CK297" s="103">
        <f t="shared" si="16"/>
        <v>24.397800000000004</v>
      </c>
      <c r="CL297" s="103">
        <v>74951.100000000006</v>
      </c>
      <c r="CM297" s="103">
        <v>632947.4</v>
      </c>
      <c r="CN297" s="104">
        <v>0.11841600107686674</v>
      </c>
      <c r="CO297" s="103">
        <v>30617.011310000002</v>
      </c>
      <c r="CP297" s="103">
        <v>0.88</v>
      </c>
      <c r="CQ297" s="103">
        <v>370594.27386999998</v>
      </c>
      <c r="CR297" s="103">
        <v>3.08</v>
      </c>
      <c r="CS297" s="103">
        <f t="shared" si="17"/>
        <v>2.7103999999999999</v>
      </c>
      <c r="CT297" s="103">
        <v>80586.8</v>
      </c>
      <c r="CU297" s="103">
        <v>696289.9</v>
      </c>
      <c r="CV297" s="104">
        <v>0.11573742488581265</v>
      </c>
      <c r="CW297" s="103">
        <v>177892.89994999999</v>
      </c>
      <c r="CX297" s="103">
        <v>6.76</v>
      </c>
      <c r="CY297" s="103">
        <v>2240253.3001700002</v>
      </c>
      <c r="CZ297" s="103">
        <v>19.993302076356333</v>
      </c>
      <c r="DA297" s="103">
        <f t="shared" si="18"/>
        <v>135.15472203616881</v>
      </c>
      <c r="DB297" s="103">
        <v>204286</v>
      </c>
      <c r="DC297" s="103">
        <v>871949.2</v>
      </c>
      <c r="DD297" s="104">
        <v>0.23428658458543228</v>
      </c>
      <c r="DE297" s="103">
        <v>29318.930479999999</v>
      </c>
      <c r="DF297" s="103">
        <v>0.56000000000000005</v>
      </c>
      <c r="DG297" s="103">
        <v>283478.66798000003</v>
      </c>
      <c r="DH297" s="103">
        <v>2.25</v>
      </c>
      <c r="DI297" s="103">
        <f t="shared" si="19"/>
        <v>1.2600000000000002</v>
      </c>
      <c r="DJ297" s="103">
        <v>15487.5</v>
      </c>
      <c r="DK297" s="103">
        <v>238421.2</v>
      </c>
      <c r="DL297" s="104">
        <v>6.4958569120531232E-2</v>
      </c>
    </row>
    <row r="298" spans="1:116" s="15" customFormat="1" ht="265.7" customHeight="1" x14ac:dyDescent="0.25">
      <c r="A298" s="100" t="s">
        <v>383</v>
      </c>
      <c r="B298" s="100" t="s">
        <v>2696</v>
      </c>
      <c r="C298" s="100" t="s">
        <v>279</v>
      </c>
      <c r="D298" s="101" t="str">
        <f>"Chemistry 136"</f>
        <v>Chemistry 136</v>
      </c>
      <c r="E298" s="102" t="s">
        <v>2697</v>
      </c>
      <c r="F298" s="100">
        <v>12</v>
      </c>
      <c r="G298" s="100">
        <v>5</v>
      </c>
      <c r="H298" s="100">
        <v>0.42</v>
      </c>
      <c r="I298" s="100">
        <v>16</v>
      </c>
      <c r="J298" s="100">
        <v>4</v>
      </c>
      <c r="K298" s="100">
        <v>4</v>
      </c>
      <c r="L298" s="100">
        <v>3</v>
      </c>
      <c r="M298" s="100">
        <v>2</v>
      </c>
      <c r="N298" s="100">
        <v>2</v>
      </c>
      <c r="O298" s="100">
        <v>2</v>
      </c>
      <c r="P298" s="100">
        <v>1.7</v>
      </c>
      <c r="Q298" s="100">
        <v>53.85</v>
      </c>
      <c r="R298" s="100">
        <v>2</v>
      </c>
      <c r="S298" s="100">
        <v>0</v>
      </c>
      <c r="T298" s="100">
        <v>1</v>
      </c>
      <c r="U298" s="100">
        <v>0</v>
      </c>
      <c r="V298" s="100">
        <v>0</v>
      </c>
      <c r="W298" s="100">
        <v>1</v>
      </c>
      <c r="X298" s="100">
        <v>0</v>
      </c>
      <c r="Y298" s="100">
        <v>1</v>
      </c>
      <c r="Z298" s="100">
        <v>0</v>
      </c>
      <c r="AA298" s="100">
        <v>0</v>
      </c>
      <c r="AB298" s="100">
        <v>0</v>
      </c>
      <c r="AC298" s="100">
        <v>1</v>
      </c>
      <c r="AD298" s="100">
        <v>0</v>
      </c>
      <c r="AE298" s="100">
        <v>0</v>
      </c>
      <c r="AF298" s="100">
        <v>1</v>
      </c>
      <c r="AG298" s="100">
        <v>0</v>
      </c>
      <c r="AH298" s="100">
        <v>0</v>
      </c>
      <c r="AI298" s="100">
        <v>0</v>
      </c>
      <c r="AJ298" s="100">
        <v>1</v>
      </c>
      <c r="AK298" s="100">
        <v>0</v>
      </c>
      <c r="AL298" s="100">
        <v>0</v>
      </c>
      <c r="AM298" s="100">
        <v>0</v>
      </c>
      <c r="AN298" s="100">
        <v>1</v>
      </c>
      <c r="AO298" s="100">
        <v>0</v>
      </c>
      <c r="AP298" s="100">
        <v>0</v>
      </c>
      <c r="AQ298" s="100">
        <v>0</v>
      </c>
      <c r="AR298" s="100">
        <v>0</v>
      </c>
      <c r="AS298" s="100">
        <v>0</v>
      </c>
      <c r="AT298" s="100">
        <v>0</v>
      </c>
      <c r="AU298" s="100">
        <v>0</v>
      </c>
      <c r="AV298" s="100">
        <v>0</v>
      </c>
      <c r="AW298" s="100">
        <v>0</v>
      </c>
      <c r="AX298" s="100">
        <v>0</v>
      </c>
      <c r="AY298" s="100">
        <v>0</v>
      </c>
      <c r="AZ298" s="100">
        <v>0</v>
      </c>
      <c r="BA298" s="100">
        <v>0</v>
      </c>
      <c r="BB298" s="100">
        <v>0</v>
      </c>
      <c r="BC298" s="100">
        <v>0</v>
      </c>
      <c r="BD298" s="100">
        <v>0</v>
      </c>
      <c r="BE298" s="100">
        <v>0</v>
      </c>
      <c r="BF298" s="100">
        <v>0</v>
      </c>
      <c r="BG298" s="100">
        <v>0</v>
      </c>
      <c r="BH298" s="100">
        <v>0</v>
      </c>
      <c r="BI298" s="100">
        <v>0</v>
      </c>
      <c r="BJ298" s="100">
        <v>0</v>
      </c>
      <c r="BK298" s="100">
        <v>0</v>
      </c>
      <c r="BL298" s="100">
        <v>0</v>
      </c>
      <c r="BM298" s="100">
        <v>0</v>
      </c>
      <c r="BN298" s="100">
        <v>0</v>
      </c>
      <c r="BO298" s="100">
        <v>0</v>
      </c>
      <c r="BP298" s="100">
        <v>0</v>
      </c>
      <c r="BQ298" s="100">
        <v>0</v>
      </c>
      <c r="BR298" s="100">
        <v>1</v>
      </c>
      <c r="BS298" s="100">
        <v>0</v>
      </c>
      <c r="BT298" s="100">
        <v>1</v>
      </c>
      <c r="BU298" s="100">
        <v>0</v>
      </c>
      <c r="BV298" s="100">
        <v>1</v>
      </c>
      <c r="BW298" s="100">
        <v>1</v>
      </c>
      <c r="BX298" s="100">
        <v>0</v>
      </c>
      <c r="BY298" s="100">
        <v>0</v>
      </c>
      <c r="BZ298" s="100">
        <v>0</v>
      </c>
      <c r="CA298" s="100">
        <v>1</v>
      </c>
      <c r="CB298" s="100" t="s">
        <v>2090</v>
      </c>
      <c r="CC298" s="100">
        <v>0</v>
      </c>
      <c r="CD298" s="100">
        <v>0</v>
      </c>
      <c r="CE298" s="100">
        <v>0</v>
      </c>
      <c r="CF298" s="100">
        <v>0</v>
      </c>
      <c r="CG298" s="103">
        <v>1249514.41805</v>
      </c>
      <c r="CH298" s="103">
        <v>43.94</v>
      </c>
      <c r="CI298" s="103">
        <v>4029566.05467</v>
      </c>
      <c r="CJ298" s="103">
        <v>31.95</v>
      </c>
      <c r="CK298" s="103">
        <f t="shared" si="16"/>
        <v>1403.8829999999998</v>
      </c>
      <c r="CL298" s="103">
        <v>366630.9</v>
      </c>
      <c r="CM298" s="103">
        <v>197490.3</v>
      </c>
      <c r="CN298" s="104">
        <v>1.8564501648941747</v>
      </c>
      <c r="CO298" s="103">
        <v>57267.633159999998</v>
      </c>
      <c r="CP298" s="103">
        <v>2.06</v>
      </c>
      <c r="CQ298" s="103">
        <v>1127456.3152600001</v>
      </c>
      <c r="CR298" s="103">
        <v>9.25</v>
      </c>
      <c r="CS298" s="103">
        <f t="shared" si="17"/>
        <v>19.055</v>
      </c>
      <c r="CT298" s="103">
        <v>338634</v>
      </c>
      <c r="CU298" s="103">
        <v>679677.9</v>
      </c>
      <c r="CV298" s="104">
        <v>0.49822717496037461</v>
      </c>
      <c r="CW298" s="103">
        <v>29991.448090000002</v>
      </c>
      <c r="CX298" s="103">
        <v>1.54</v>
      </c>
      <c r="CY298" s="103">
        <v>832927.92815000005</v>
      </c>
      <c r="CZ298" s="103">
        <v>13.733176532078923</v>
      </c>
      <c r="DA298" s="103">
        <f t="shared" si="18"/>
        <v>21.149091859401544</v>
      </c>
      <c r="DB298" s="103">
        <v>208425.3</v>
      </c>
      <c r="DC298" s="103">
        <v>598763.1</v>
      </c>
      <c r="DD298" s="104">
        <v>0.34809309391310184</v>
      </c>
      <c r="DE298" s="103">
        <v>152811.19342</v>
      </c>
      <c r="DF298" s="103">
        <v>5.84</v>
      </c>
      <c r="DG298" s="103">
        <v>1914821.50135</v>
      </c>
      <c r="DH298" s="103">
        <v>15.31</v>
      </c>
      <c r="DI298" s="103">
        <f t="shared" si="19"/>
        <v>89.410399999999996</v>
      </c>
      <c r="DJ298" s="103">
        <v>187178.7</v>
      </c>
      <c r="DK298" s="103">
        <v>263352.90000000002</v>
      </c>
      <c r="DL298" s="104">
        <v>0.71075237827265236</v>
      </c>
    </row>
    <row r="299" spans="1:116" s="15" customFormat="1" ht="175.7" customHeight="1" x14ac:dyDescent="0.25">
      <c r="A299" s="100" t="s">
        <v>384</v>
      </c>
      <c r="B299" s="100" t="s">
        <v>2698</v>
      </c>
      <c r="C299" s="100" t="s">
        <v>279</v>
      </c>
      <c r="D299" s="101" t="str">
        <f>"Chemistry 103"</f>
        <v>Chemistry 103</v>
      </c>
      <c r="E299" s="102" t="s">
        <v>2699</v>
      </c>
      <c r="F299" s="100">
        <v>11</v>
      </c>
      <c r="G299" s="100">
        <v>5</v>
      </c>
      <c r="H299" s="100">
        <v>0.45</v>
      </c>
      <c r="I299" s="100">
        <v>12</v>
      </c>
      <c r="J299" s="100">
        <v>1</v>
      </c>
      <c r="K299" s="100">
        <v>1</v>
      </c>
      <c r="L299" s="100">
        <v>1</v>
      </c>
      <c r="M299" s="100">
        <v>1</v>
      </c>
      <c r="N299" s="100">
        <v>1</v>
      </c>
      <c r="O299" s="100">
        <v>1</v>
      </c>
      <c r="P299" s="100">
        <v>2.4900000000000002</v>
      </c>
      <c r="Q299" s="100">
        <v>12.03</v>
      </c>
      <c r="R299" s="100">
        <v>1</v>
      </c>
      <c r="S299" s="100">
        <v>0</v>
      </c>
      <c r="T299" s="100">
        <v>0</v>
      </c>
      <c r="U299" s="100">
        <v>1</v>
      </c>
      <c r="V299" s="100">
        <v>0</v>
      </c>
      <c r="W299" s="100">
        <v>0</v>
      </c>
      <c r="X299" s="100">
        <v>1</v>
      </c>
      <c r="Y299" s="100">
        <v>0</v>
      </c>
      <c r="Z299" s="100">
        <v>1</v>
      </c>
      <c r="AA299" s="100">
        <v>0</v>
      </c>
      <c r="AB299" s="100">
        <v>0</v>
      </c>
      <c r="AC299" s="100">
        <v>1</v>
      </c>
      <c r="AD299" s="100">
        <v>0</v>
      </c>
      <c r="AE299" s="100">
        <v>0</v>
      </c>
      <c r="AF299" s="100">
        <v>0</v>
      </c>
      <c r="AG299" s="100">
        <v>1</v>
      </c>
      <c r="AH299" s="100">
        <v>1</v>
      </c>
      <c r="AI299" s="100">
        <v>0</v>
      </c>
      <c r="AJ299" s="100">
        <v>0</v>
      </c>
      <c r="AK299" s="100">
        <v>0</v>
      </c>
      <c r="AL299" s="100">
        <v>0</v>
      </c>
      <c r="AM299" s="100">
        <v>0</v>
      </c>
      <c r="AN299" s="100">
        <v>0</v>
      </c>
      <c r="AO299" s="100">
        <v>0</v>
      </c>
      <c r="AP299" s="100">
        <v>0</v>
      </c>
      <c r="AQ299" s="100">
        <v>0</v>
      </c>
      <c r="AR299" s="100">
        <v>0</v>
      </c>
      <c r="AS299" s="100">
        <v>0</v>
      </c>
      <c r="AT299" s="100">
        <v>0</v>
      </c>
      <c r="AU299" s="100">
        <v>0</v>
      </c>
      <c r="AV299" s="100">
        <v>0</v>
      </c>
      <c r="AW299" s="100">
        <v>0</v>
      </c>
      <c r="AX299" s="100">
        <v>0</v>
      </c>
      <c r="AY299" s="100">
        <v>0</v>
      </c>
      <c r="AZ299" s="100">
        <v>0</v>
      </c>
      <c r="BA299" s="100">
        <v>0</v>
      </c>
      <c r="BB299" s="100">
        <v>0</v>
      </c>
      <c r="BC299" s="100">
        <v>0</v>
      </c>
      <c r="BD299" s="100">
        <v>0</v>
      </c>
      <c r="BE299" s="100">
        <v>0</v>
      </c>
      <c r="BF299" s="100">
        <v>0</v>
      </c>
      <c r="BG299" s="100">
        <v>0</v>
      </c>
      <c r="BH299" s="100">
        <v>0</v>
      </c>
      <c r="BI299" s="100">
        <v>0</v>
      </c>
      <c r="BJ299" s="100">
        <v>0</v>
      </c>
      <c r="BK299" s="100">
        <v>0</v>
      </c>
      <c r="BL299" s="100">
        <v>0</v>
      </c>
      <c r="BM299" s="100">
        <v>0</v>
      </c>
      <c r="BN299" s="100">
        <v>0</v>
      </c>
      <c r="BO299" s="100">
        <v>0</v>
      </c>
      <c r="BP299" s="100">
        <v>0</v>
      </c>
      <c r="BQ299" s="100">
        <v>0</v>
      </c>
      <c r="BR299" s="100">
        <v>0</v>
      </c>
      <c r="BS299" s="100">
        <v>0</v>
      </c>
      <c r="BT299" s="100">
        <v>0</v>
      </c>
      <c r="BU299" s="100">
        <v>0</v>
      </c>
      <c r="BV299" s="100">
        <v>0</v>
      </c>
      <c r="BW299" s="100">
        <v>1</v>
      </c>
      <c r="BX299" s="100">
        <v>0</v>
      </c>
      <c r="BY299" s="100">
        <v>0</v>
      </c>
      <c r="BZ299" s="100">
        <v>1</v>
      </c>
      <c r="CA299" s="100">
        <v>0</v>
      </c>
      <c r="CB299" s="100" t="s">
        <v>2090</v>
      </c>
      <c r="CC299" s="100">
        <v>0</v>
      </c>
      <c r="CD299" s="100">
        <v>0</v>
      </c>
      <c r="CE299" s="100">
        <v>0</v>
      </c>
      <c r="CF299" s="100">
        <v>0</v>
      </c>
      <c r="CG299" s="103">
        <v>276774.86443999998</v>
      </c>
      <c r="CH299" s="103">
        <v>17.63</v>
      </c>
      <c r="CI299" s="103">
        <v>5201798.4721900001</v>
      </c>
      <c r="CJ299" s="103">
        <v>41.74</v>
      </c>
      <c r="CK299" s="103">
        <f t="shared" si="16"/>
        <v>735.87620000000004</v>
      </c>
      <c r="CL299" s="103">
        <v>251358.2</v>
      </c>
      <c r="CM299" s="103">
        <v>266658.90000000002</v>
      </c>
      <c r="CN299" s="104">
        <v>0.94262070382799901</v>
      </c>
      <c r="CO299" s="103">
        <v>242106.26589000001</v>
      </c>
      <c r="CP299" s="103">
        <v>14.86</v>
      </c>
      <c r="CQ299" s="103">
        <v>3738938.0179699999</v>
      </c>
      <c r="CR299" s="103">
        <v>24.35</v>
      </c>
      <c r="CS299" s="103">
        <f t="shared" si="17"/>
        <v>361.84100000000001</v>
      </c>
      <c r="CT299" s="103">
        <v>439667.4</v>
      </c>
      <c r="CU299" s="103">
        <v>315069.40000000002</v>
      </c>
      <c r="CV299" s="104">
        <v>1.3954620791482766</v>
      </c>
      <c r="CW299" s="103">
        <v>852744.82142000005</v>
      </c>
      <c r="CX299" s="103">
        <v>58.3</v>
      </c>
      <c r="CY299" s="103">
        <v>5603913.9126399998</v>
      </c>
      <c r="CZ299" s="103">
        <v>56.114872242847788</v>
      </c>
      <c r="DA299" s="103">
        <f t="shared" si="18"/>
        <v>3271.4970517580259</v>
      </c>
      <c r="DB299" s="103">
        <v>769421.3</v>
      </c>
      <c r="DC299" s="103">
        <v>388023</v>
      </c>
      <c r="DD299" s="104">
        <v>1.9829270429845656</v>
      </c>
      <c r="DE299" s="103">
        <v>313107.84524</v>
      </c>
      <c r="DF299" s="103">
        <v>18.440000000000001</v>
      </c>
      <c r="DG299" s="103">
        <v>4269492.8984200004</v>
      </c>
      <c r="DH299" s="103">
        <v>26.54</v>
      </c>
      <c r="DI299" s="103">
        <f t="shared" si="19"/>
        <v>489.39760000000001</v>
      </c>
      <c r="DJ299" s="103">
        <v>282924.40000000002</v>
      </c>
      <c r="DK299" s="103">
        <v>239706.7</v>
      </c>
      <c r="DL299" s="104">
        <v>1.1802940843956384</v>
      </c>
    </row>
    <row r="300" spans="1:116" s="15" customFormat="1" ht="250.7" customHeight="1" x14ac:dyDescent="0.25">
      <c r="A300" s="100" t="s">
        <v>385</v>
      </c>
      <c r="B300" s="100" t="s">
        <v>2700</v>
      </c>
      <c r="C300" s="100" t="s">
        <v>279</v>
      </c>
      <c r="D300" s="101" t="str">
        <f>"Chemistry 189"</f>
        <v>Chemistry 189</v>
      </c>
      <c r="E300" s="102" t="s">
        <v>2701</v>
      </c>
      <c r="F300" s="100">
        <v>11</v>
      </c>
      <c r="G300" s="100">
        <v>4</v>
      </c>
      <c r="H300" s="100">
        <v>0.36</v>
      </c>
      <c r="I300" s="100">
        <v>14</v>
      </c>
      <c r="J300" s="100">
        <v>3</v>
      </c>
      <c r="K300" s="100">
        <v>3</v>
      </c>
      <c r="L300" s="100">
        <v>2</v>
      </c>
      <c r="M300" s="100">
        <v>1</v>
      </c>
      <c r="N300" s="100">
        <v>2</v>
      </c>
      <c r="O300" s="100">
        <v>1</v>
      </c>
      <c r="P300" s="100">
        <v>0.76</v>
      </c>
      <c r="Q300" s="100">
        <v>32.340000000000003</v>
      </c>
      <c r="R300" s="100">
        <v>1</v>
      </c>
      <c r="S300" s="100">
        <v>0</v>
      </c>
      <c r="T300" s="100">
        <v>0</v>
      </c>
      <c r="U300" s="100">
        <v>1</v>
      </c>
      <c r="V300" s="100">
        <v>0</v>
      </c>
      <c r="W300" s="100">
        <v>1</v>
      </c>
      <c r="X300" s="100">
        <v>0</v>
      </c>
      <c r="Y300" s="100">
        <v>0</v>
      </c>
      <c r="Z300" s="100">
        <v>1</v>
      </c>
      <c r="AA300" s="100">
        <v>0</v>
      </c>
      <c r="AB300" s="100">
        <v>0</v>
      </c>
      <c r="AC300" s="100">
        <v>1</v>
      </c>
      <c r="AD300" s="100">
        <v>0</v>
      </c>
      <c r="AE300" s="100">
        <v>0</v>
      </c>
      <c r="AF300" s="100">
        <v>1</v>
      </c>
      <c r="AG300" s="100">
        <v>0</v>
      </c>
      <c r="AH300" s="100">
        <v>0</v>
      </c>
      <c r="AI300" s="100">
        <v>1</v>
      </c>
      <c r="AJ300" s="100">
        <v>0</v>
      </c>
      <c r="AK300" s="100">
        <v>0</v>
      </c>
      <c r="AL300" s="100">
        <v>0</v>
      </c>
      <c r="AM300" s="100">
        <v>0</v>
      </c>
      <c r="AN300" s="100">
        <v>0</v>
      </c>
      <c r="AO300" s="100">
        <v>0</v>
      </c>
      <c r="AP300" s="100">
        <v>0</v>
      </c>
      <c r="AQ300" s="100">
        <v>0</v>
      </c>
      <c r="AR300" s="100">
        <v>0</v>
      </c>
      <c r="AS300" s="100">
        <v>0</v>
      </c>
      <c r="AT300" s="100">
        <v>1</v>
      </c>
      <c r="AU300" s="100">
        <v>0</v>
      </c>
      <c r="AV300" s="100">
        <v>0</v>
      </c>
      <c r="AW300" s="100">
        <v>0</v>
      </c>
      <c r="AX300" s="100">
        <v>0</v>
      </c>
      <c r="AY300" s="100">
        <v>0</v>
      </c>
      <c r="AZ300" s="100">
        <v>0</v>
      </c>
      <c r="BA300" s="100">
        <v>0</v>
      </c>
      <c r="BB300" s="100">
        <v>0</v>
      </c>
      <c r="BC300" s="100">
        <v>0</v>
      </c>
      <c r="BD300" s="100">
        <v>0</v>
      </c>
      <c r="BE300" s="100">
        <v>0</v>
      </c>
      <c r="BF300" s="100">
        <v>0</v>
      </c>
      <c r="BG300" s="100">
        <v>0</v>
      </c>
      <c r="BH300" s="100">
        <v>0</v>
      </c>
      <c r="BI300" s="100">
        <v>0</v>
      </c>
      <c r="BJ300" s="100">
        <v>1</v>
      </c>
      <c r="BK300" s="100">
        <v>0</v>
      </c>
      <c r="BL300" s="100">
        <v>0</v>
      </c>
      <c r="BM300" s="100">
        <v>0</v>
      </c>
      <c r="BN300" s="100">
        <v>0</v>
      </c>
      <c r="BO300" s="100">
        <v>0</v>
      </c>
      <c r="BP300" s="100">
        <v>0</v>
      </c>
      <c r="BQ300" s="100">
        <v>0</v>
      </c>
      <c r="BR300" s="100">
        <v>0</v>
      </c>
      <c r="BS300" s="100">
        <v>0</v>
      </c>
      <c r="BT300" s="100">
        <v>0</v>
      </c>
      <c r="BU300" s="100">
        <v>0</v>
      </c>
      <c r="BV300" s="100">
        <v>0</v>
      </c>
      <c r="BW300" s="100">
        <v>0</v>
      </c>
      <c r="BX300" s="100">
        <v>1</v>
      </c>
      <c r="BY300" s="100">
        <v>0</v>
      </c>
      <c r="BZ300" s="100">
        <v>0</v>
      </c>
      <c r="CA300" s="100">
        <v>0</v>
      </c>
      <c r="CB300" s="100" t="s">
        <v>2090</v>
      </c>
      <c r="CC300" s="100">
        <v>0</v>
      </c>
      <c r="CD300" s="100">
        <v>1</v>
      </c>
      <c r="CE300" s="100">
        <v>0</v>
      </c>
      <c r="CF300" s="100">
        <v>0</v>
      </c>
      <c r="CG300" s="103">
        <v>335477.36786</v>
      </c>
      <c r="CH300" s="103">
        <v>20.02</v>
      </c>
      <c r="CI300" s="103">
        <v>2614306.6463100002</v>
      </c>
      <c r="CJ300" s="103">
        <v>36.78</v>
      </c>
      <c r="CK300" s="103">
        <f t="shared" si="16"/>
        <v>736.3356</v>
      </c>
      <c r="CL300" s="103">
        <v>607475.19999999995</v>
      </c>
      <c r="CM300" s="103">
        <v>905321.1</v>
      </c>
      <c r="CN300" s="104">
        <v>0.67100523781009846</v>
      </c>
      <c r="CO300" s="103">
        <v>491996.36095</v>
      </c>
      <c r="CP300" s="103">
        <v>24.08</v>
      </c>
      <c r="CQ300" s="103">
        <v>2751639.1180500002</v>
      </c>
      <c r="CR300" s="103">
        <v>32.47</v>
      </c>
      <c r="CS300" s="103">
        <f t="shared" si="17"/>
        <v>781.87759999999992</v>
      </c>
      <c r="CT300" s="103">
        <v>658316.4</v>
      </c>
      <c r="CU300" s="103">
        <v>739476.2</v>
      </c>
      <c r="CV300" s="104">
        <v>0.89024690720269306</v>
      </c>
      <c r="CW300" s="103">
        <v>1634712.29868</v>
      </c>
      <c r="CX300" s="103">
        <v>83.91</v>
      </c>
      <c r="CY300" s="103">
        <v>4351634.0384299997</v>
      </c>
      <c r="CZ300" s="103">
        <v>73.756144347200589</v>
      </c>
      <c r="DA300" s="103">
        <f t="shared" si="18"/>
        <v>6188.8780721736011</v>
      </c>
      <c r="DB300" s="103">
        <v>1028830</v>
      </c>
      <c r="DC300" s="103">
        <v>689189.9</v>
      </c>
      <c r="DD300" s="104">
        <v>1.4928106172188536</v>
      </c>
      <c r="DE300" s="103">
        <v>1015419.3636</v>
      </c>
      <c r="DF300" s="103">
        <v>45.09</v>
      </c>
      <c r="DG300" s="103">
        <v>3785856.3698499999</v>
      </c>
      <c r="DH300" s="103">
        <v>32.24</v>
      </c>
      <c r="DI300" s="103">
        <f t="shared" si="19"/>
        <v>1453.7016000000001</v>
      </c>
      <c r="DJ300" s="103">
        <v>694199</v>
      </c>
      <c r="DK300" s="103">
        <v>684212.8</v>
      </c>
      <c r="DL300" s="104">
        <v>1.014595166883753</v>
      </c>
    </row>
    <row r="301" spans="1:116" s="15" customFormat="1" ht="175.7" customHeight="1" x14ac:dyDescent="0.25">
      <c r="A301" s="100" t="s">
        <v>386</v>
      </c>
      <c r="B301" s="100" t="s">
        <v>2702</v>
      </c>
      <c r="C301" s="100" t="s">
        <v>279</v>
      </c>
      <c r="D301" s="101" t="str">
        <f>"Chemistry 119"</f>
        <v>Chemistry 119</v>
      </c>
      <c r="E301" s="102" t="s">
        <v>2703</v>
      </c>
      <c r="F301" s="100">
        <v>13</v>
      </c>
      <c r="G301" s="100">
        <v>3</v>
      </c>
      <c r="H301" s="100">
        <v>0.23</v>
      </c>
      <c r="I301" s="100">
        <v>15</v>
      </c>
      <c r="J301" s="100">
        <v>2</v>
      </c>
      <c r="K301" s="100">
        <v>2</v>
      </c>
      <c r="L301" s="100">
        <v>1</v>
      </c>
      <c r="M301" s="100">
        <v>2</v>
      </c>
      <c r="N301" s="100">
        <v>1</v>
      </c>
      <c r="O301" s="100">
        <v>1</v>
      </c>
      <c r="P301" s="100">
        <v>2.8</v>
      </c>
      <c r="Q301" s="100">
        <v>12.03</v>
      </c>
      <c r="R301" s="100">
        <v>1</v>
      </c>
      <c r="S301" s="100">
        <v>0</v>
      </c>
      <c r="T301" s="100">
        <v>1</v>
      </c>
      <c r="U301" s="100">
        <v>0</v>
      </c>
      <c r="V301" s="100">
        <v>0</v>
      </c>
      <c r="W301" s="100">
        <v>0</v>
      </c>
      <c r="X301" s="100">
        <v>1</v>
      </c>
      <c r="Y301" s="100">
        <v>0</v>
      </c>
      <c r="Z301" s="100">
        <v>1</v>
      </c>
      <c r="AA301" s="100">
        <v>0</v>
      </c>
      <c r="AB301" s="100">
        <v>0</v>
      </c>
      <c r="AC301" s="100">
        <v>1</v>
      </c>
      <c r="AD301" s="100">
        <v>0</v>
      </c>
      <c r="AE301" s="100">
        <v>0</v>
      </c>
      <c r="AF301" s="100">
        <v>0</v>
      </c>
      <c r="AG301" s="100">
        <v>1</v>
      </c>
      <c r="AH301" s="100">
        <v>1</v>
      </c>
      <c r="AI301" s="100">
        <v>0</v>
      </c>
      <c r="AJ301" s="100">
        <v>0</v>
      </c>
      <c r="AK301" s="100">
        <v>1</v>
      </c>
      <c r="AL301" s="100">
        <v>1</v>
      </c>
      <c r="AM301" s="100">
        <v>0</v>
      </c>
      <c r="AN301" s="100">
        <v>1</v>
      </c>
      <c r="AO301" s="100">
        <v>0</v>
      </c>
      <c r="AP301" s="100">
        <v>0</v>
      </c>
      <c r="AQ301" s="100">
        <v>0</v>
      </c>
      <c r="AR301" s="100">
        <v>0</v>
      </c>
      <c r="AS301" s="100">
        <v>0</v>
      </c>
      <c r="AT301" s="100">
        <v>0</v>
      </c>
      <c r="AU301" s="100">
        <v>0</v>
      </c>
      <c r="AV301" s="100">
        <v>0</v>
      </c>
      <c r="AW301" s="100">
        <v>0</v>
      </c>
      <c r="AX301" s="100">
        <v>0</v>
      </c>
      <c r="AY301" s="100">
        <v>0</v>
      </c>
      <c r="AZ301" s="100">
        <v>0</v>
      </c>
      <c r="BA301" s="100">
        <v>0</v>
      </c>
      <c r="BB301" s="100">
        <v>0</v>
      </c>
      <c r="BC301" s="100">
        <v>0</v>
      </c>
      <c r="BD301" s="100">
        <v>0</v>
      </c>
      <c r="BE301" s="100">
        <v>0</v>
      </c>
      <c r="BF301" s="100">
        <v>0</v>
      </c>
      <c r="BG301" s="100">
        <v>0</v>
      </c>
      <c r="BH301" s="100">
        <v>0</v>
      </c>
      <c r="BI301" s="100">
        <v>0</v>
      </c>
      <c r="BJ301" s="100">
        <v>0</v>
      </c>
      <c r="BK301" s="100">
        <v>0</v>
      </c>
      <c r="BL301" s="100">
        <v>0</v>
      </c>
      <c r="BM301" s="100">
        <v>0</v>
      </c>
      <c r="BN301" s="100">
        <v>0</v>
      </c>
      <c r="BO301" s="100">
        <v>0</v>
      </c>
      <c r="BP301" s="100">
        <v>0</v>
      </c>
      <c r="BQ301" s="100">
        <v>0</v>
      </c>
      <c r="BR301" s="100">
        <v>0</v>
      </c>
      <c r="BS301" s="100">
        <v>0</v>
      </c>
      <c r="BT301" s="100">
        <v>0</v>
      </c>
      <c r="BU301" s="100">
        <v>0</v>
      </c>
      <c r="BV301" s="100">
        <v>1</v>
      </c>
      <c r="BW301" s="100">
        <v>1</v>
      </c>
      <c r="BX301" s="100">
        <v>0</v>
      </c>
      <c r="BY301" s="100">
        <v>0</v>
      </c>
      <c r="BZ301" s="100">
        <v>1</v>
      </c>
      <c r="CA301" s="100">
        <v>1</v>
      </c>
      <c r="CB301" s="100" t="s">
        <v>2090</v>
      </c>
      <c r="CC301" s="100">
        <v>0</v>
      </c>
      <c r="CD301" s="100">
        <v>0</v>
      </c>
      <c r="CE301" s="100">
        <v>0</v>
      </c>
      <c r="CF301" s="100">
        <v>0</v>
      </c>
      <c r="CG301" s="103">
        <v>62373.28587</v>
      </c>
      <c r="CH301" s="103">
        <v>2.76</v>
      </c>
      <c r="CI301" s="103">
        <v>1963465.55311</v>
      </c>
      <c r="CJ301" s="103">
        <v>15.28</v>
      </c>
      <c r="CK301" s="103">
        <f t="shared" si="16"/>
        <v>42.172799999999995</v>
      </c>
      <c r="CL301" s="103">
        <v>171614.1</v>
      </c>
      <c r="CM301" s="103">
        <v>845690.1</v>
      </c>
      <c r="CN301" s="104">
        <v>0.20292788102875983</v>
      </c>
      <c r="CO301" s="103">
        <v>0</v>
      </c>
      <c r="CP301" s="103">
        <v>0</v>
      </c>
      <c r="CQ301" s="103">
        <v>454992.15889999998</v>
      </c>
      <c r="CR301" s="103">
        <v>2.85</v>
      </c>
      <c r="CS301" s="103">
        <f t="shared" si="17"/>
        <v>0</v>
      </c>
      <c r="CT301" s="103">
        <v>36931.4</v>
      </c>
      <c r="CU301" s="103">
        <v>318823.2</v>
      </c>
      <c r="CV301" s="104">
        <v>0.11583661414853122</v>
      </c>
      <c r="CW301" s="103">
        <v>108851.05347</v>
      </c>
      <c r="CX301" s="103">
        <v>6.38</v>
      </c>
      <c r="CY301" s="103">
        <v>2649758.56067</v>
      </c>
      <c r="CZ301" s="103">
        <v>24.667486308259754</v>
      </c>
      <c r="DA301" s="103">
        <f t="shared" si="18"/>
        <v>157.37856264669722</v>
      </c>
      <c r="DB301" s="103">
        <v>49512.7</v>
      </c>
      <c r="DC301" s="103">
        <v>79882</v>
      </c>
      <c r="DD301" s="104">
        <v>0.61982298890864018</v>
      </c>
      <c r="DE301" s="103">
        <v>0</v>
      </c>
      <c r="DF301" s="103">
        <v>0</v>
      </c>
      <c r="DG301" s="103">
        <v>199538.65776</v>
      </c>
      <c r="DH301" s="103">
        <v>1.51</v>
      </c>
      <c r="DI301" s="103">
        <f t="shared" si="19"/>
        <v>0</v>
      </c>
      <c r="DJ301" s="103">
        <v>18312.099999999999</v>
      </c>
      <c r="DK301" s="103">
        <v>692436.5</v>
      </c>
      <c r="DL301" s="104">
        <v>2.64458907062236E-2</v>
      </c>
    </row>
    <row r="302" spans="1:116" s="15" customFormat="1" ht="120.2" customHeight="1" x14ac:dyDescent="0.25">
      <c r="A302" s="100" t="s">
        <v>387</v>
      </c>
      <c r="B302" s="100" t="s">
        <v>2704</v>
      </c>
      <c r="C302" s="100" t="s">
        <v>279</v>
      </c>
      <c r="D302" s="101" t="str">
        <f>"Chemistry 153"</f>
        <v>Chemistry 153</v>
      </c>
      <c r="E302" s="102" t="s">
        <v>2705</v>
      </c>
      <c r="F302" s="100">
        <v>5</v>
      </c>
      <c r="G302" s="100">
        <v>4</v>
      </c>
      <c r="H302" s="100">
        <v>0.8</v>
      </c>
      <c r="I302" s="100">
        <v>7</v>
      </c>
      <c r="J302" s="100">
        <v>2</v>
      </c>
      <c r="K302" s="100">
        <v>2</v>
      </c>
      <c r="L302" s="100">
        <v>1</v>
      </c>
      <c r="M302" s="100">
        <v>0</v>
      </c>
      <c r="N302" s="100">
        <v>2</v>
      </c>
      <c r="O302" s="100">
        <v>1</v>
      </c>
      <c r="P302" s="100">
        <v>-0.47</v>
      </c>
      <c r="Q302" s="100">
        <v>29.1</v>
      </c>
      <c r="R302" s="100">
        <v>0</v>
      </c>
      <c r="S302" s="100">
        <v>0</v>
      </c>
      <c r="T302" s="100">
        <v>0</v>
      </c>
      <c r="U302" s="100">
        <v>1</v>
      </c>
      <c r="V302" s="100">
        <v>0</v>
      </c>
      <c r="W302" s="100">
        <v>0</v>
      </c>
      <c r="X302" s="100">
        <v>1</v>
      </c>
      <c r="Y302" s="100">
        <v>0</v>
      </c>
      <c r="Z302" s="100">
        <v>1</v>
      </c>
      <c r="AA302" s="100">
        <v>0</v>
      </c>
      <c r="AB302" s="100">
        <v>0</v>
      </c>
      <c r="AC302" s="100">
        <v>1</v>
      </c>
      <c r="AD302" s="100">
        <v>0</v>
      </c>
      <c r="AE302" s="100">
        <v>1</v>
      </c>
      <c r="AF302" s="100">
        <v>0</v>
      </c>
      <c r="AG302" s="100">
        <v>0</v>
      </c>
      <c r="AH302" s="100">
        <v>0</v>
      </c>
      <c r="AI302" s="100">
        <v>1</v>
      </c>
      <c r="AJ302" s="100">
        <v>0</v>
      </c>
      <c r="AK302" s="100">
        <v>0</v>
      </c>
      <c r="AL302" s="100">
        <v>0</v>
      </c>
      <c r="AM302" s="100">
        <v>0</v>
      </c>
      <c r="AN302" s="100">
        <v>0</v>
      </c>
      <c r="AO302" s="100">
        <v>0</v>
      </c>
      <c r="AP302" s="100">
        <v>0</v>
      </c>
      <c r="AQ302" s="100">
        <v>0</v>
      </c>
      <c r="AR302" s="100">
        <v>0</v>
      </c>
      <c r="AS302" s="100">
        <v>0</v>
      </c>
      <c r="AT302" s="100">
        <v>0</v>
      </c>
      <c r="AU302" s="100">
        <v>0</v>
      </c>
      <c r="AV302" s="100">
        <v>0</v>
      </c>
      <c r="AW302" s="100">
        <v>0</v>
      </c>
      <c r="AX302" s="100">
        <v>0</v>
      </c>
      <c r="AY302" s="100">
        <v>0</v>
      </c>
      <c r="AZ302" s="100">
        <v>0</v>
      </c>
      <c r="BA302" s="100">
        <v>1</v>
      </c>
      <c r="BB302" s="100">
        <v>0</v>
      </c>
      <c r="BC302" s="100">
        <v>0</v>
      </c>
      <c r="BD302" s="100">
        <v>0</v>
      </c>
      <c r="BE302" s="100">
        <v>0</v>
      </c>
      <c r="BF302" s="100">
        <v>0</v>
      </c>
      <c r="BG302" s="100">
        <v>0</v>
      </c>
      <c r="BH302" s="100">
        <v>0</v>
      </c>
      <c r="BI302" s="100">
        <v>0</v>
      </c>
      <c r="BJ302" s="100">
        <v>1</v>
      </c>
      <c r="BK302" s="100">
        <v>0</v>
      </c>
      <c r="BL302" s="100">
        <v>0</v>
      </c>
      <c r="BM302" s="100">
        <v>0</v>
      </c>
      <c r="BN302" s="100">
        <v>0</v>
      </c>
      <c r="BO302" s="100">
        <v>0</v>
      </c>
      <c r="BP302" s="100">
        <v>0</v>
      </c>
      <c r="BQ302" s="100">
        <v>0</v>
      </c>
      <c r="BR302" s="100">
        <v>0</v>
      </c>
      <c r="BS302" s="100">
        <v>0</v>
      </c>
      <c r="BT302" s="100">
        <v>0</v>
      </c>
      <c r="BU302" s="100">
        <v>0</v>
      </c>
      <c r="BV302" s="100">
        <v>0</v>
      </c>
      <c r="BW302" s="100">
        <v>1</v>
      </c>
      <c r="BX302" s="100">
        <v>0</v>
      </c>
      <c r="BY302" s="100">
        <v>0</v>
      </c>
      <c r="BZ302" s="100">
        <v>0</v>
      </c>
      <c r="CA302" s="100">
        <v>1</v>
      </c>
      <c r="CB302" s="100" t="s">
        <v>2090</v>
      </c>
      <c r="CC302" s="100">
        <v>0</v>
      </c>
      <c r="CD302" s="100">
        <v>0</v>
      </c>
      <c r="CE302" s="100">
        <v>0</v>
      </c>
      <c r="CF302" s="100">
        <v>0</v>
      </c>
      <c r="CG302" s="103">
        <v>33428.1607</v>
      </c>
      <c r="CH302" s="103">
        <v>2.2000000000000002</v>
      </c>
      <c r="CI302" s="103">
        <v>725034.41026000003</v>
      </c>
      <c r="CJ302" s="103">
        <v>12.1</v>
      </c>
      <c r="CK302" s="103">
        <f t="shared" si="16"/>
        <v>26.62</v>
      </c>
      <c r="CL302" s="103">
        <v>20998.5</v>
      </c>
      <c r="CM302" s="103">
        <v>470498.8</v>
      </c>
      <c r="CN302" s="104">
        <v>4.4630294487467345E-2</v>
      </c>
      <c r="CO302" s="103">
        <v>195801.92541</v>
      </c>
      <c r="CP302" s="103">
        <v>9.5</v>
      </c>
      <c r="CQ302" s="103">
        <v>1896611.5890800001</v>
      </c>
      <c r="CR302" s="103">
        <v>17.78</v>
      </c>
      <c r="CS302" s="103">
        <f t="shared" si="17"/>
        <v>168.91000000000003</v>
      </c>
      <c r="CT302" s="103">
        <v>13369.5</v>
      </c>
      <c r="CU302" s="103">
        <v>103389.9</v>
      </c>
      <c r="CV302" s="104">
        <v>0.12931147046278216</v>
      </c>
      <c r="CW302" s="103">
        <v>0</v>
      </c>
      <c r="CX302" s="103">
        <v>0</v>
      </c>
      <c r="CY302" s="103">
        <v>0</v>
      </c>
      <c r="CZ302" s="103">
        <v>0</v>
      </c>
      <c r="DA302" s="103">
        <f t="shared" si="18"/>
        <v>0</v>
      </c>
      <c r="DB302" s="103">
        <v>6104.7</v>
      </c>
      <c r="DC302" s="103">
        <v>590706.30000000005</v>
      </c>
      <c r="DD302" s="104">
        <v>1.0334577437213721E-2</v>
      </c>
      <c r="DE302" s="103">
        <v>202170.16406000001</v>
      </c>
      <c r="DF302" s="103">
        <v>10.82</v>
      </c>
      <c r="DG302" s="103">
        <v>2008155.4894399999</v>
      </c>
      <c r="DH302" s="103">
        <v>19.91</v>
      </c>
      <c r="DI302" s="103">
        <f t="shared" si="19"/>
        <v>215.42619999999999</v>
      </c>
      <c r="DJ302" s="103">
        <v>30479.5</v>
      </c>
      <c r="DK302" s="103">
        <v>200973</v>
      </c>
      <c r="DL302" s="104">
        <v>0.15165967567782737</v>
      </c>
    </row>
    <row r="303" spans="1:116" s="15" customFormat="1" ht="180.2" customHeight="1" x14ac:dyDescent="0.25">
      <c r="A303" s="100" t="s">
        <v>388</v>
      </c>
      <c r="B303" s="100" t="s">
        <v>2706</v>
      </c>
      <c r="C303" s="100" t="s">
        <v>279</v>
      </c>
      <c r="D303" s="101" t="str">
        <f>"Chemistry 122"</f>
        <v>Chemistry 122</v>
      </c>
      <c r="E303" s="102" t="s">
        <v>1997</v>
      </c>
      <c r="F303" s="100">
        <v>7</v>
      </c>
      <c r="G303" s="100">
        <v>6</v>
      </c>
      <c r="H303" s="100">
        <v>0.86</v>
      </c>
      <c r="I303" s="100">
        <v>11</v>
      </c>
      <c r="J303" s="100">
        <v>4</v>
      </c>
      <c r="K303" s="100">
        <v>4</v>
      </c>
      <c r="L303" s="100">
        <v>3</v>
      </c>
      <c r="M303" s="100">
        <v>0</v>
      </c>
      <c r="N303" s="100">
        <v>2</v>
      </c>
      <c r="O303" s="100">
        <v>1</v>
      </c>
      <c r="P303" s="100">
        <v>0.26</v>
      </c>
      <c r="Q303" s="100">
        <v>35.58</v>
      </c>
      <c r="R303" s="100">
        <v>0</v>
      </c>
      <c r="S303" s="100">
        <v>0</v>
      </c>
      <c r="T303" s="100">
        <v>0</v>
      </c>
      <c r="U303" s="100">
        <v>1</v>
      </c>
      <c r="V303" s="100">
        <v>0</v>
      </c>
      <c r="W303" s="100">
        <v>1</v>
      </c>
      <c r="X303" s="100">
        <v>0</v>
      </c>
      <c r="Y303" s="100">
        <v>0</v>
      </c>
      <c r="Z303" s="100">
        <v>1</v>
      </c>
      <c r="AA303" s="100">
        <v>0</v>
      </c>
      <c r="AB303" s="100">
        <v>0</v>
      </c>
      <c r="AC303" s="100">
        <v>1</v>
      </c>
      <c r="AD303" s="100">
        <v>0</v>
      </c>
      <c r="AE303" s="100">
        <v>1</v>
      </c>
      <c r="AF303" s="100">
        <v>0</v>
      </c>
      <c r="AG303" s="100">
        <v>0</v>
      </c>
      <c r="AH303" s="100">
        <v>0</v>
      </c>
      <c r="AI303" s="100">
        <v>1</v>
      </c>
      <c r="AJ303" s="100">
        <v>0</v>
      </c>
      <c r="AK303" s="100">
        <v>0</v>
      </c>
      <c r="AL303" s="100">
        <v>0</v>
      </c>
      <c r="AM303" s="100">
        <v>0</v>
      </c>
      <c r="AN303" s="100">
        <v>0</v>
      </c>
      <c r="AO303" s="100">
        <v>0</v>
      </c>
      <c r="AP303" s="100">
        <v>0</v>
      </c>
      <c r="AQ303" s="100">
        <v>0</v>
      </c>
      <c r="AR303" s="100">
        <v>0</v>
      </c>
      <c r="AS303" s="100">
        <v>0</v>
      </c>
      <c r="AT303" s="100">
        <v>0</v>
      </c>
      <c r="AU303" s="100">
        <v>0</v>
      </c>
      <c r="AV303" s="100">
        <v>0</v>
      </c>
      <c r="AW303" s="100">
        <v>0</v>
      </c>
      <c r="AX303" s="100">
        <v>0</v>
      </c>
      <c r="AY303" s="100">
        <v>0</v>
      </c>
      <c r="AZ303" s="100">
        <v>0</v>
      </c>
      <c r="BA303" s="100">
        <v>0</v>
      </c>
      <c r="BB303" s="100">
        <v>0</v>
      </c>
      <c r="BC303" s="100">
        <v>0</v>
      </c>
      <c r="BD303" s="100">
        <v>0</v>
      </c>
      <c r="BE303" s="100">
        <v>0</v>
      </c>
      <c r="BF303" s="100">
        <v>0</v>
      </c>
      <c r="BG303" s="100">
        <v>0</v>
      </c>
      <c r="BH303" s="100">
        <v>0</v>
      </c>
      <c r="BI303" s="100">
        <v>1</v>
      </c>
      <c r="BJ303" s="100">
        <v>1</v>
      </c>
      <c r="BK303" s="100">
        <v>0</v>
      </c>
      <c r="BL303" s="100">
        <v>0</v>
      </c>
      <c r="BM303" s="100">
        <v>0</v>
      </c>
      <c r="BN303" s="100">
        <v>0</v>
      </c>
      <c r="BO303" s="100">
        <v>0</v>
      </c>
      <c r="BP303" s="100">
        <v>0</v>
      </c>
      <c r="BQ303" s="100">
        <v>0</v>
      </c>
      <c r="BR303" s="100">
        <v>0</v>
      </c>
      <c r="BS303" s="100">
        <v>0</v>
      </c>
      <c r="BT303" s="100">
        <v>0</v>
      </c>
      <c r="BU303" s="100">
        <v>0</v>
      </c>
      <c r="BV303" s="100">
        <v>0</v>
      </c>
      <c r="BW303" s="100">
        <v>0</v>
      </c>
      <c r="BX303" s="100">
        <v>1</v>
      </c>
      <c r="BY303" s="100">
        <v>0</v>
      </c>
      <c r="BZ303" s="100">
        <v>0</v>
      </c>
      <c r="CA303" s="100">
        <v>0</v>
      </c>
      <c r="CB303" s="100" t="s">
        <v>2090</v>
      </c>
      <c r="CC303" s="100">
        <v>0</v>
      </c>
      <c r="CD303" s="100">
        <v>1</v>
      </c>
      <c r="CE303" s="100">
        <v>0</v>
      </c>
      <c r="CF303" s="100">
        <v>0</v>
      </c>
      <c r="CG303" s="103">
        <v>325480.12338</v>
      </c>
      <c r="CH303" s="103">
        <v>19.93</v>
      </c>
      <c r="CI303" s="103">
        <v>2672538.5863199998</v>
      </c>
      <c r="CJ303" s="103">
        <v>35.1</v>
      </c>
      <c r="CK303" s="103">
        <f t="shared" si="16"/>
        <v>699.54300000000001</v>
      </c>
      <c r="CL303" s="103">
        <v>189932.9</v>
      </c>
      <c r="CM303" s="103">
        <v>294874.59999999998</v>
      </c>
      <c r="CN303" s="104">
        <v>0.64411414207937889</v>
      </c>
      <c r="CO303" s="103">
        <v>332781.46782000002</v>
      </c>
      <c r="CP303" s="103">
        <v>19.88</v>
      </c>
      <c r="CQ303" s="103">
        <v>2548099.142</v>
      </c>
      <c r="CR303" s="103">
        <v>30.77</v>
      </c>
      <c r="CS303" s="103">
        <f t="shared" si="17"/>
        <v>611.70759999999996</v>
      </c>
      <c r="CT303" s="103">
        <v>227449.9</v>
      </c>
      <c r="CU303" s="103">
        <v>273381.7</v>
      </c>
      <c r="CV303" s="104">
        <v>0.83198655945149214</v>
      </c>
      <c r="CW303" s="103">
        <v>1344039.7390699999</v>
      </c>
      <c r="CX303" s="103">
        <v>73.52</v>
      </c>
      <c r="CY303" s="103">
        <v>4397949.2866099998</v>
      </c>
      <c r="CZ303" s="103">
        <v>75.060153994225217</v>
      </c>
      <c r="DA303" s="103">
        <f t="shared" si="18"/>
        <v>5518.4225216554378</v>
      </c>
      <c r="DB303" s="103">
        <v>472262.40000000002</v>
      </c>
      <c r="DC303" s="103">
        <v>287857.59999999998</v>
      </c>
      <c r="DD303" s="104">
        <v>1.6406111910889276</v>
      </c>
      <c r="DE303" s="103">
        <v>499943.79677000002</v>
      </c>
      <c r="DF303" s="103">
        <v>27.58</v>
      </c>
      <c r="DG303" s="103">
        <v>2969283.4427999998</v>
      </c>
      <c r="DH303" s="103">
        <v>29.7</v>
      </c>
      <c r="DI303" s="103">
        <f t="shared" si="19"/>
        <v>819.12599999999998</v>
      </c>
      <c r="DJ303" s="103">
        <v>528886</v>
      </c>
      <c r="DK303" s="103">
        <v>561169.30000000005</v>
      </c>
      <c r="DL303" s="104">
        <v>0.94247137183021235</v>
      </c>
    </row>
    <row r="304" spans="1:116" s="15" customFormat="1" ht="265.7" customHeight="1" x14ac:dyDescent="0.25">
      <c r="A304" s="100" t="s">
        <v>389</v>
      </c>
      <c r="B304" s="100" t="s">
        <v>2707</v>
      </c>
      <c r="C304" s="100" t="s">
        <v>279</v>
      </c>
      <c r="D304" s="101" t="str">
        <f>"Chemistry 99"</f>
        <v>Chemistry 99</v>
      </c>
      <c r="E304" s="102" t="s">
        <v>2708</v>
      </c>
      <c r="F304" s="100">
        <v>11</v>
      </c>
      <c r="G304" s="100">
        <v>11</v>
      </c>
      <c r="H304" s="100">
        <v>1</v>
      </c>
      <c r="I304" s="100">
        <v>13</v>
      </c>
      <c r="J304" s="100">
        <v>2</v>
      </c>
      <c r="K304" s="100">
        <v>2</v>
      </c>
      <c r="L304" s="100">
        <v>2</v>
      </c>
      <c r="M304" s="100">
        <v>0</v>
      </c>
      <c r="N304" s="100">
        <v>2</v>
      </c>
      <c r="O304" s="100">
        <v>1</v>
      </c>
      <c r="P304" s="100">
        <v>2.94</v>
      </c>
      <c r="Q304" s="100">
        <v>15.27</v>
      </c>
      <c r="R304" s="100">
        <v>6</v>
      </c>
      <c r="S304" s="100">
        <v>0</v>
      </c>
      <c r="T304" s="100">
        <v>0</v>
      </c>
      <c r="U304" s="100">
        <v>1</v>
      </c>
      <c r="V304" s="100">
        <v>0</v>
      </c>
      <c r="W304" s="100">
        <v>1</v>
      </c>
      <c r="X304" s="100">
        <v>0</v>
      </c>
      <c r="Y304" s="100">
        <v>0</v>
      </c>
      <c r="Z304" s="100">
        <v>1</v>
      </c>
      <c r="AA304" s="100">
        <v>0</v>
      </c>
      <c r="AB304" s="100">
        <v>0</v>
      </c>
      <c r="AC304" s="100">
        <v>1</v>
      </c>
      <c r="AD304" s="100">
        <v>0</v>
      </c>
      <c r="AE304" s="100">
        <v>0</v>
      </c>
      <c r="AF304" s="100">
        <v>0</v>
      </c>
      <c r="AG304" s="100">
        <v>1</v>
      </c>
      <c r="AH304" s="100">
        <v>1</v>
      </c>
      <c r="AI304" s="100">
        <v>0</v>
      </c>
      <c r="AJ304" s="100">
        <v>0</v>
      </c>
      <c r="AK304" s="100">
        <v>0</v>
      </c>
      <c r="AL304" s="100">
        <v>0</v>
      </c>
      <c r="AM304" s="100">
        <v>0</v>
      </c>
      <c r="AN304" s="100">
        <v>0</v>
      </c>
      <c r="AO304" s="100">
        <v>0</v>
      </c>
      <c r="AP304" s="100">
        <v>0</v>
      </c>
      <c r="AQ304" s="100">
        <v>0</v>
      </c>
      <c r="AR304" s="100">
        <v>0</v>
      </c>
      <c r="AS304" s="100">
        <v>0</v>
      </c>
      <c r="AT304" s="100">
        <v>0</v>
      </c>
      <c r="AU304" s="100">
        <v>0</v>
      </c>
      <c r="AV304" s="100">
        <v>0</v>
      </c>
      <c r="AW304" s="100">
        <v>0</v>
      </c>
      <c r="AX304" s="100">
        <v>0</v>
      </c>
      <c r="AY304" s="100">
        <v>0</v>
      </c>
      <c r="AZ304" s="100">
        <v>0</v>
      </c>
      <c r="BA304" s="100">
        <v>0</v>
      </c>
      <c r="BB304" s="100">
        <v>0</v>
      </c>
      <c r="BC304" s="100">
        <v>0</v>
      </c>
      <c r="BD304" s="100">
        <v>0</v>
      </c>
      <c r="BE304" s="100">
        <v>0</v>
      </c>
      <c r="BF304" s="100">
        <v>0</v>
      </c>
      <c r="BG304" s="100">
        <v>0</v>
      </c>
      <c r="BH304" s="100">
        <v>1</v>
      </c>
      <c r="BI304" s="100">
        <v>0</v>
      </c>
      <c r="BJ304" s="100">
        <v>1</v>
      </c>
      <c r="BK304" s="100">
        <v>0</v>
      </c>
      <c r="BL304" s="100">
        <v>0</v>
      </c>
      <c r="BM304" s="100">
        <v>0</v>
      </c>
      <c r="BN304" s="100">
        <v>0</v>
      </c>
      <c r="BO304" s="100">
        <v>0</v>
      </c>
      <c r="BP304" s="100">
        <v>0</v>
      </c>
      <c r="BQ304" s="100">
        <v>0</v>
      </c>
      <c r="BR304" s="100">
        <v>0</v>
      </c>
      <c r="BS304" s="100">
        <v>0</v>
      </c>
      <c r="BT304" s="100">
        <v>0</v>
      </c>
      <c r="BU304" s="100">
        <v>0</v>
      </c>
      <c r="BV304" s="100">
        <v>0</v>
      </c>
      <c r="BW304" s="100">
        <v>0</v>
      </c>
      <c r="BX304" s="100">
        <v>1</v>
      </c>
      <c r="BY304" s="100">
        <v>0</v>
      </c>
      <c r="BZ304" s="100">
        <v>0</v>
      </c>
      <c r="CA304" s="100">
        <v>0</v>
      </c>
      <c r="CB304" s="100" t="s">
        <v>2090</v>
      </c>
      <c r="CC304" s="100">
        <v>1</v>
      </c>
      <c r="CD304" s="100">
        <v>0</v>
      </c>
      <c r="CE304" s="100">
        <v>0</v>
      </c>
      <c r="CF304" s="100">
        <v>0</v>
      </c>
      <c r="CG304" s="103">
        <v>409417.82754999999</v>
      </c>
      <c r="CH304" s="103">
        <v>28.12</v>
      </c>
      <c r="CI304" s="103">
        <v>4248172.9206299996</v>
      </c>
      <c r="CJ304" s="103">
        <v>27.88</v>
      </c>
      <c r="CK304" s="103">
        <f t="shared" si="16"/>
        <v>783.98559999999998</v>
      </c>
      <c r="CL304" s="103">
        <v>588050.69999999995</v>
      </c>
      <c r="CM304" s="103">
        <v>677209.3</v>
      </c>
      <c r="CN304" s="104">
        <v>0.86834409982261007</v>
      </c>
      <c r="CO304" s="103">
        <v>120632.52557</v>
      </c>
      <c r="CP304" s="103">
        <v>7.27</v>
      </c>
      <c r="CQ304" s="103">
        <v>2183024.7547599999</v>
      </c>
      <c r="CR304" s="103">
        <v>12.95</v>
      </c>
      <c r="CS304" s="103">
        <f t="shared" si="17"/>
        <v>94.146499999999989</v>
      </c>
      <c r="CT304" s="103">
        <v>87676.1</v>
      </c>
      <c r="CU304" s="103">
        <v>369374.4</v>
      </c>
      <c r="CV304" s="104">
        <v>0.23736376966026881</v>
      </c>
      <c r="CW304" s="103">
        <v>650404.10207000002</v>
      </c>
      <c r="CX304" s="103">
        <v>48.46</v>
      </c>
      <c r="CY304" s="103">
        <v>5141237.2068999996</v>
      </c>
      <c r="CZ304" s="103">
        <v>46.070947462954642</v>
      </c>
      <c r="DA304" s="103">
        <f t="shared" si="18"/>
        <v>2232.5981140547819</v>
      </c>
      <c r="DB304" s="103">
        <v>374609.7</v>
      </c>
      <c r="DC304" s="103">
        <v>224324.4</v>
      </c>
      <c r="DD304" s="104">
        <v>1.6699462920663113</v>
      </c>
      <c r="DE304" s="103">
        <v>124979.52287</v>
      </c>
      <c r="DF304" s="103">
        <v>7.78</v>
      </c>
      <c r="DG304" s="103">
        <v>2338811.58922</v>
      </c>
      <c r="DH304" s="103">
        <v>16.100000000000001</v>
      </c>
      <c r="DI304" s="103">
        <f t="shared" si="19"/>
        <v>125.25800000000001</v>
      </c>
      <c r="DJ304" s="103">
        <v>125648.8</v>
      </c>
      <c r="DK304" s="103">
        <v>245726.3</v>
      </c>
      <c r="DL304" s="104">
        <v>0.51133639337750991</v>
      </c>
    </row>
    <row r="305" spans="1:116" s="15" customFormat="1" ht="265.7" customHeight="1" x14ac:dyDescent="0.25">
      <c r="A305" s="100" t="s">
        <v>390</v>
      </c>
      <c r="B305" s="100" t="s">
        <v>2709</v>
      </c>
      <c r="C305" s="100" t="s">
        <v>279</v>
      </c>
      <c r="D305" s="101" t="str">
        <f>"Chemistry 95"</f>
        <v>Chemistry 95</v>
      </c>
      <c r="E305" s="102" t="s">
        <v>2710</v>
      </c>
      <c r="F305" s="100">
        <v>13</v>
      </c>
      <c r="G305" s="100">
        <v>7</v>
      </c>
      <c r="H305" s="100">
        <v>0.54</v>
      </c>
      <c r="I305" s="100">
        <v>15</v>
      </c>
      <c r="J305" s="100">
        <v>2</v>
      </c>
      <c r="K305" s="100">
        <v>2</v>
      </c>
      <c r="L305" s="100">
        <v>2</v>
      </c>
      <c r="M305" s="100">
        <v>1</v>
      </c>
      <c r="N305" s="100">
        <v>2</v>
      </c>
      <c r="O305" s="100">
        <v>1</v>
      </c>
      <c r="P305" s="100">
        <v>2.2400000000000002</v>
      </c>
      <c r="Q305" s="100">
        <v>15.27</v>
      </c>
      <c r="R305" s="100">
        <v>4</v>
      </c>
      <c r="S305" s="100">
        <v>0</v>
      </c>
      <c r="T305" s="100">
        <v>1</v>
      </c>
      <c r="U305" s="100">
        <v>0</v>
      </c>
      <c r="V305" s="100">
        <v>0</v>
      </c>
      <c r="W305" s="100">
        <v>1</v>
      </c>
      <c r="X305" s="100">
        <v>0</v>
      </c>
      <c r="Y305" s="100">
        <v>0</v>
      </c>
      <c r="Z305" s="100">
        <v>1</v>
      </c>
      <c r="AA305" s="100">
        <v>0</v>
      </c>
      <c r="AB305" s="100">
        <v>0</v>
      </c>
      <c r="AC305" s="100">
        <v>1</v>
      </c>
      <c r="AD305" s="100">
        <v>0</v>
      </c>
      <c r="AE305" s="100">
        <v>0</v>
      </c>
      <c r="AF305" s="100">
        <v>0</v>
      </c>
      <c r="AG305" s="100">
        <v>1</v>
      </c>
      <c r="AH305" s="100">
        <v>1</v>
      </c>
      <c r="AI305" s="100">
        <v>0</v>
      </c>
      <c r="AJ305" s="100">
        <v>0</v>
      </c>
      <c r="AK305" s="100">
        <v>0</v>
      </c>
      <c r="AL305" s="100">
        <v>0</v>
      </c>
      <c r="AM305" s="100">
        <v>0</v>
      </c>
      <c r="AN305" s="100">
        <v>0</v>
      </c>
      <c r="AO305" s="100">
        <v>0</v>
      </c>
      <c r="AP305" s="100">
        <v>0</v>
      </c>
      <c r="AQ305" s="100">
        <v>0</v>
      </c>
      <c r="AR305" s="100">
        <v>0</v>
      </c>
      <c r="AS305" s="100">
        <v>0</v>
      </c>
      <c r="AT305" s="100">
        <v>0</v>
      </c>
      <c r="AU305" s="100">
        <v>0</v>
      </c>
      <c r="AV305" s="100">
        <v>0</v>
      </c>
      <c r="AW305" s="100">
        <v>0</v>
      </c>
      <c r="AX305" s="100">
        <v>0</v>
      </c>
      <c r="AY305" s="100">
        <v>0</v>
      </c>
      <c r="AZ305" s="100">
        <v>0</v>
      </c>
      <c r="BA305" s="100">
        <v>0</v>
      </c>
      <c r="BB305" s="100">
        <v>0</v>
      </c>
      <c r="BC305" s="100">
        <v>0</v>
      </c>
      <c r="BD305" s="100">
        <v>0</v>
      </c>
      <c r="BE305" s="100">
        <v>0</v>
      </c>
      <c r="BF305" s="100">
        <v>0</v>
      </c>
      <c r="BG305" s="100">
        <v>0</v>
      </c>
      <c r="BH305" s="100">
        <v>1</v>
      </c>
      <c r="BI305" s="100">
        <v>0</v>
      </c>
      <c r="BJ305" s="100">
        <v>1</v>
      </c>
      <c r="BK305" s="100">
        <v>0</v>
      </c>
      <c r="BL305" s="100">
        <v>0</v>
      </c>
      <c r="BM305" s="100">
        <v>0</v>
      </c>
      <c r="BN305" s="100">
        <v>0</v>
      </c>
      <c r="BO305" s="100">
        <v>0</v>
      </c>
      <c r="BP305" s="100">
        <v>0</v>
      </c>
      <c r="BQ305" s="100">
        <v>0</v>
      </c>
      <c r="BR305" s="100">
        <v>0</v>
      </c>
      <c r="BS305" s="100">
        <v>0</v>
      </c>
      <c r="BT305" s="100">
        <v>0</v>
      </c>
      <c r="BU305" s="100">
        <v>0</v>
      </c>
      <c r="BV305" s="100">
        <v>0</v>
      </c>
      <c r="BW305" s="100">
        <v>0</v>
      </c>
      <c r="BX305" s="100">
        <v>1</v>
      </c>
      <c r="BY305" s="100">
        <v>0</v>
      </c>
      <c r="BZ305" s="100">
        <v>0</v>
      </c>
      <c r="CA305" s="100">
        <v>0</v>
      </c>
      <c r="CB305" s="100" t="s">
        <v>2090</v>
      </c>
      <c r="CC305" s="100">
        <v>1</v>
      </c>
      <c r="CD305" s="100">
        <v>0</v>
      </c>
      <c r="CE305" s="100">
        <v>0</v>
      </c>
      <c r="CF305" s="100">
        <v>0</v>
      </c>
      <c r="CG305" s="103">
        <v>516248.63698000001</v>
      </c>
      <c r="CH305" s="103">
        <v>31.96</v>
      </c>
      <c r="CI305" s="103">
        <v>3977377.6111699999</v>
      </c>
      <c r="CJ305" s="103">
        <v>35.43</v>
      </c>
      <c r="CK305" s="103">
        <f t="shared" si="16"/>
        <v>1132.3428000000001</v>
      </c>
      <c r="CL305" s="103">
        <v>372099.3</v>
      </c>
      <c r="CM305" s="103">
        <v>341731.9</v>
      </c>
      <c r="CN305" s="104">
        <v>1.0888632287474478</v>
      </c>
      <c r="CO305" s="103">
        <v>107954.91984</v>
      </c>
      <c r="CP305" s="103">
        <v>7.23</v>
      </c>
      <c r="CQ305" s="103">
        <v>1809236.25645</v>
      </c>
      <c r="CR305" s="103">
        <v>16.940000000000001</v>
      </c>
      <c r="CS305" s="103">
        <f t="shared" si="17"/>
        <v>122.47620000000002</v>
      </c>
      <c r="CT305" s="103">
        <v>2591.1999999999998</v>
      </c>
      <c r="CU305" s="103">
        <v>469527.7</v>
      </c>
      <c r="CV305" s="104">
        <v>5.5187372331813433E-3</v>
      </c>
      <c r="CW305" s="103">
        <v>862987.25035999995</v>
      </c>
      <c r="CX305" s="103">
        <v>55.96</v>
      </c>
      <c r="CY305" s="103">
        <v>4812940.3536400003</v>
      </c>
      <c r="CZ305" s="103">
        <v>49.132816065723418</v>
      </c>
      <c r="DA305" s="103">
        <f t="shared" si="18"/>
        <v>2749.4723870378825</v>
      </c>
      <c r="DB305" s="103">
        <v>343902.6</v>
      </c>
      <c r="DC305" s="103">
        <v>278455.8</v>
      </c>
      <c r="DD305" s="104">
        <v>1.2350347882859685</v>
      </c>
      <c r="DE305" s="103">
        <v>212694.62721000001</v>
      </c>
      <c r="DF305" s="103">
        <v>12.44</v>
      </c>
      <c r="DG305" s="103">
        <v>2282565.5682000001</v>
      </c>
      <c r="DH305" s="103">
        <v>17.829999999999998</v>
      </c>
      <c r="DI305" s="103">
        <f t="shared" si="19"/>
        <v>221.80519999999996</v>
      </c>
      <c r="DJ305" s="103">
        <v>223309.8</v>
      </c>
      <c r="DK305" s="103">
        <v>488729</v>
      </c>
      <c r="DL305" s="104">
        <v>0.45691947889321072</v>
      </c>
    </row>
    <row r="306" spans="1:116" s="15" customFormat="1" ht="250.7" customHeight="1" x14ac:dyDescent="0.25">
      <c r="A306" s="100" t="s">
        <v>391</v>
      </c>
      <c r="B306" s="100" t="s">
        <v>2711</v>
      </c>
      <c r="C306" s="100" t="s">
        <v>279</v>
      </c>
      <c r="D306" s="101" t="str">
        <f>"Chemistry 169"</f>
        <v>Chemistry 169</v>
      </c>
      <c r="E306" s="102" t="s">
        <v>2712</v>
      </c>
      <c r="F306" s="100">
        <v>12</v>
      </c>
      <c r="G306" s="100">
        <v>6</v>
      </c>
      <c r="H306" s="100">
        <v>0.5</v>
      </c>
      <c r="I306" s="100">
        <v>14</v>
      </c>
      <c r="J306" s="100">
        <v>2</v>
      </c>
      <c r="K306" s="100">
        <v>2</v>
      </c>
      <c r="L306" s="100">
        <v>2</v>
      </c>
      <c r="M306" s="100">
        <v>1</v>
      </c>
      <c r="N306" s="100">
        <v>2</v>
      </c>
      <c r="O306" s="100">
        <v>1</v>
      </c>
      <c r="P306" s="100">
        <v>2.37</v>
      </c>
      <c r="Q306" s="100">
        <v>15.27</v>
      </c>
      <c r="R306" s="100">
        <v>2</v>
      </c>
      <c r="S306" s="100">
        <v>0</v>
      </c>
      <c r="T306" s="100">
        <v>0</v>
      </c>
      <c r="U306" s="100">
        <v>1</v>
      </c>
      <c r="V306" s="100">
        <v>0</v>
      </c>
      <c r="W306" s="100">
        <v>1</v>
      </c>
      <c r="X306" s="100">
        <v>0</v>
      </c>
      <c r="Y306" s="100">
        <v>0</v>
      </c>
      <c r="Z306" s="100">
        <v>1</v>
      </c>
      <c r="AA306" s="100">
        <v>0</v>
      </c>
      <c r="AB306" s="100">
        <v>0</v>
      </c>
      <c r="AC306" s="100">
        <v>1</v>
      </c>
      <c r="AD306" s="100">
        <v>0</v>
      </c>
      <c r="AE306" s="100">
        <v>0</v>
      </c>
      <c r="AF306" s="100">
        <v>0</v>
      </c>
      <c r="AG306" s="100">
        <v>1</v>
      </c>
      <c r="AH306" s="100">
        <v>1</v>
      </c>
      <c r="AI306" s="100">
        <v>0</v>
      </c>
      <c r="AJ306" s="100">
        <v>0</v>
      </c>
      <c r="AK306" s="100">
        <v>0</v>
      </c>
      <c r="AL306" s="100">
        <v>0</v>
      </c>
      <c r="AM306" s="100">
        <v>0</v>
      </c>
      <c r="AN306" s="100">
        <v>0</v>
      </c>
      <c r="AO306" s="100">
        <v>0</v>
      </c>
      <c r="AP306" s="100">
        <v>0</v>
      </c>
      <c r="AQ306" s="100">
        <v>0</v>
      </c>
      <c r="AR306" s="100">
        <v>0</v>
      </c>
      <c r="AS306" s="100">
        <v>0</v>
      </c>
      <c r="AT306" s="100">
        <v>0</v>
      </c>
      <c r="AU306" s="100">
        <v>0</v>
      </c>
      <c r="AV306" s="100">
        <v>0</v>
      </c>
      <c r="AW306" s="100">
        <v>0</v>
      </c>
      <c r="AX306" s="100">
        <v>0</v>
      </c>
      <c r="AY306" s="100">
        <v>0</v>
      </c>
      <c r="AZ306" s="100">
        <v>0</v>
      </c>
      <c r="BA306" s="100">
        <v>0</v>
      </c>
      <c r="BB306" s="100">
        <v>0</v>
      </c>
      <c r="BC306" s="100">
        <v>0</v>
      </c>
      <c r="BD306" s="100">
        <v>0</v>
      </c>
      <c r="BE306" s="100">
        <v>0</v>
      </c>
      <c r="BF306" s="100">
        <v>0</v>
      </c>
      <c r="BG306" s="100">
        <v>0</v>
      </c>
      <c r="BH306" s="100">
        <v>1</v>
      </c>
      <c r="BI306" s="100">
        <v>0</v>
      </c>
      <c r="BJ306" s="100">
        <v>1</v>
      </c>
      <c r="BK306" s="100">
        <v>0</v>
      </c>
      <c r="BL306" s="100">
        <v>0</v>
      </c>
      <c r="BM306" s="100">
        <v>0</v>
      </c>
      <c r="BN306" s="100">
        <v>0</v>
      </c>
      <c r="BO306" s="100">
        <v>0</v>
      </c>
      <c r="BP306" s="100">
        <v>0</v>
      </c>
      <c r="BQ306" s="100">
        <v>0</v>
      </c>
      <c r="BR306" s="100">
        <v>0</v>
      </c>
      <c r="BS306" s="100">
        <v>0</v>
      </c>
      <c r="BT306" s="100">
        <v>0</v>
      </c>
      <c r="BU306" s="100">
        <v>0</v>
      </c>
      <c r="BV306" s="100">
        <v>0</v>
      </c>
      <c r="BW306" s="100">
        <v>0</v>
      </c>
      <c r="BX306" s="100">
        <v>1</v>
      </c>
      <c r="BY306" s="100">
        <v>0</v>
      </c>
      <c r="BZ306" s="100">
        <v>0</v>
      </c>
      <c r="CA306" s="100">
        <v>0</v>
      </c>
      <c r="CB306" s="100" t="s">
        <v>2090</v>
      </c>
      <c r="CC306" s="100">
        <v>1</v>
      </c>
      <c r="CD306" s="100">
        <v>0</v>
      </c>
      <c r="CE306" s="100">
        <v>0</v>
      </c>
      <c r="CF306" s="100">
        <v>0</v>
      </c>
      <c r="CG306" s="103">
        <v>521484.04804000002</v>
      </c>
      <c r="CH306" s="103">
        <v>34.44</v>
      </c>
      <c r="CI306" s="103">
        <v>3699842.4437099998</v>
      </c>
      <c r="CJ306" s="103">
        <v>33.369999999999997</v>
      </c>
      <c r="CK306" s="103">
        <f t="shared" si="16"/>
        <v>1149.2627999999997</v>
      </c>
      <c r="CL306" s="103">
        <v>324533.7</v>
      </c>
      <c r="CM306" s="103">
        <v>351854.5</v>
      </c>
      <c r="CN306" s="104">
        <v>0.92235199492972242</v>
      </c>
      <c r="CO306" s="103">
        <v>403933.19899</v>
      </c>
      <c r="CP306" s="103">
        <v>22.04</v>
      </c>
      <c r="CQ306" s="103">
        <v>3214169.47346</v>
      </c>
      <c r="CR306" s="103">
        <v>30.14</v>
      </c>
      <c r="CS306" s="103">
        <f t="shared" si="17"/>
        <v>664.28559999999993</v>
      </c>
      <c r="CT306" s="103">
        <v>155619.1</v>
      </c>
      <c r="CU306" s="103">
        <v>163889.79999999999</v>
      </c>
      <c r="CV306" s="104">
        <v>0.94953499241563544</v>
      </c>
      <c r="CW306" s="103">
        <v>908997.93324000004</v>
      </c>
      <c r="CX306" s="103">
        <v>62.7</v>
      </c>
      <c r="CY306" s="103">
        <v>4891198.5734099997</v>
      </c>
      <c r="CZ306" s="103">
        <v>50.409649522075561</v>
      </c>
      <c r="DA306" s="103">
        <f t="shared" si="18"/>
        <v>3160.6850250341377</v>
      </c>
      <c r="DB306" s="103">
        <v>1044885</v>
      </c>
      <c r="DC306" s="103">
        <v>934617.4</v>
      </c>
      <c r="DD306" s="104">
        <v>1.1179815398258153</v>
      </c>
      <c r="DE306" s="103">
        <v>631913.89546999999</v>
      </c>
      <c r="DF306" s="103">
        <v>35.42</v>
      </c>
      <c r="DG306" s="103">
        <v>3001363.7859999998</v>
      </c>
      <c r="DH306" s="103">
        <v>34.22</v>
      </c>
      <c r="DI306" s="103">
        <f t="shared" si="19"/>
        <v>1212.0724</v>
      </c>
      <c r="DJ306" s="103">
        <v>169131.6</v>
      </c>
      <c r="DK306" s="103">
        <v>201856.4</v>
      </c>
      <c r="DL306" s="104">
        <v>0.83788079050255537</v>
      </c>
    </row>
    <row r="307" spans="1:116" s="15" customFormat="1" ht="175.7" customHeight="1" x14ac:dyDescent="0.25">
      <c r="A307" s="100" t="s">
        <v>392</v>
      </c>
      <c r="B307" s="100" t="s">
        <v>2713</v>
      </c>
      <c r="C307" s="100" t="s">
        <v>279</v>
      </c>
      <c r="D307" s="101" t="str">
        <f>"Chemistry 51"</f>
        <v>Chemistry 51</v>
      </c>
      <c r="E307" s="102" t="s">
        <v>2714</v>
      </c>
      <c r="F307" s="100">
        <v>12</v>
      </c>
      <c r="G307" s="100">
        <v>2</v>
      </c>
      <c r="H307" s="100">
        <v>0.17</v>
      </c>
      <c r="I307" s="100">
        <v>13</v>
      </c>
      <c r="J307" s="100">
        <v>1</v>
      </c>
      <c r="K307" s="100">
        <v>1</v>
      </c>
      <c r="L307" s="100">
        <v>1</v>
      </c>
      <c r="M307" s="100">
        <v>2</v>
      </c>
      <c r="N307" s="100">
        <v>1</v>
      </c>
      <c r="O307" s="100">
        <v>1</v>
      </c>
      <c r="P307" s="100">
        <v>2.21</v>
      </c>
      <c r="Q307" s="100">
        <v>12.03</v>
      </c>
      <c r="R307" s="100">
        <v>0</v>
      </c>
      <c r="S307" s="100">
        <v>0</v>
      </c>
      <c r="T307" s="100">
        <v>0</v>
      </c>
      <c r="U307" s="100">
        <v>1</v>
      </c>
      <c r="V307" s="100">
        <v>0</v>
      </c>
      <c r="W307" s="100">
        <v>0</v>
      </c>
      <c r="X307" s="100">
        <v>1</v>
      </c>
      <c r="Y307" s="100">
        <v>0</v>
      </c>
      <c r="Z307" s="100">
        <v>1</v>
      </c>
      <c r="AA307" s="100">
        <v>0</v>
      </c>
      <c r="AB307" s="100">
        <v>0</v>
      </c>
      <c r="AC307" s="100">
        <v>1</v>
      </c>
      <c r="AD307" s="100">
        <v>0</v>
      </c>
      <c r="AE307" s="100">
        <v>0</v>
      </c>
      <c r="AF307" s="100">
        <v>0</v>
      </c>
      <c r="AG307" s="100">
        <v>1</v>
      </c>
      <c r="AH307" s="100">
        <v>1</v>
      </c>
      <c r="AI307" s="100">
        <v>0</v>
      </c>
      <c r="AJ307" s="100">
        <v>0</v>
      </c>
      <c r="AK307" s="100">
        <v>0</v>
      </c>
      <c r="AL307" s="100">
        <v>0</v>
      </c>
      <c r="AM307" s="100">
        <v>0</v>
      </c>
      <c r="AN307" s="100">
        <v>0</v>
      </c>
      <c r="AO307" s="100">
        <v>0</v>
      </c>
      <c r="AP307" s="100">
        <v>0</v>
      </c>
      <c r="AQ307" s="100">
        <v>0</v>
      </c>
      <c r="AR307" s="100">
        <v>0</v>
      </c>
      <c r="AS307" s="100">
        <v>0</v>
      </c>
      <c r="AT307" s="100">
        <v>0</v>
      </c>
      <c r="AU307" s="100">
        <v>0</v>
      </c>
      <c r="AV307" s="100">
        <v>0</v>
      </c>
      <c r="AW307" s="100">
        <v>0</v>
      </c>
      <c r="AX307" s="100">
        <v>0</v>
      </c>
      <c r="AY307" s="100">
        <v>0</v>
      </c>
      <c r="AZ307" s="100">
        <v>0</v>
      </c>
      <c r="BA307" s="100">
        <v>0</v>
      </c>
      <c r="BB307" s="100">
        <v>0</v>
      </c>
      <c r="BC307" s="100">
        <v>0</v>
      </c>
      <c r="BD307" s="100">
        <v>0</v>
      </c>
      <c r="BE307" s="100">
        <v>0</v>
      </c>
      <c r="BF307" s="100">
        <v>0</v>
      </c>
      <c r="BG307" s="100">
        <v>0</v>
      </c>
      <c r="BH307" s="100">
        <v>0</v>
      </c>
      <c r="BI307" s="100">
        <v>0</v>
      </c>
      <c r="BJ307" s="100">
        <v>0</v>
      </c>
      <c r="BK307" s="100">
        <v>0</v>
      </c>
      <c r="BL307" s="100">
        <v>0</v>
      </c>
      <c r="BM307" s="100">
        <v>0</v>
      </c>
      <c r="BN307" s="100">
        <v>0</v>
      </c>
      <c r="BO307" s="100">
        <v>0</v>
      </c>
      <c r="BP307" s="100">
        <v>0</v>
      </c>
      <c r="BQ307" s="100">
        <v>0</v>
      </c>
      <c r="BR307" s="100">
        <v>0</v>
      </c>
      <c r="BS307" s="100">
        <v>0</v>
      </c>
      <c r="BT307" s="100">
        <v>0</v>
      </c>
      <c r="BU307" s="100">
        <v>0</v>
      </c>
      <c r="BV307" s="100">
        <v>0</v>
      </c>
      <c r="BW307" s="100">
        <v>1</v>
      </c>
      <c r="BX307" s="100">
        <v>0</v>
      </c>
      <c r="BY307" s="100">
        <v>0</v>
      </c>
      <c r="BZ307" s="100">
        <v>1</v>
      </c>
      <c r="CA307" s="100">
        <v>1</v>
      </c>
      <c r="CB307" s="100" t="s">
        <v>2090</v>
      </c>
      <c r="CC307" s="100">
        <v>0</v>
      </c>
      <c r="CD307" s="100">
        <v>0</v>
      </c>
      <c r="CE307" s="100">
        <v>0</v>
      </c>
      <c r="CF307" s="100">
        <v>0</v>
      </c>
      <c r="CG307" s="103">
        <v>32489.747080000001</v>
      </c>
      <c r="CH307" s="103">
        <v>1.78</v>
      </c>
      <c r="CI307" s="103">
        <v>1153521.8075900001</v>
      </c>
      <c r="CJ307" s="103">
        <v>14.11</v>
      </c>
      <c r="CK307" s="103">
        <f t="shared" si="16"/>
        <v>25.1158</v>
      </c>
      <c r="CL307" s="103">
        <v>82120.5</v>
      </c>
      <c r="CM307" s="103">
        <v>763802.7</v>
      </c>
      <c r="CN307" s="104">
        <v>0.10751533085703939</v>
      </c>
      <c r="CO307" s="103">
        <v>0</v>
      </c>
      <c r="CP307" s="103">
        <v>0</v>
      </c>
      <c r="CQ307" s="103">
        <v>0</v>
      </c>
      <c r="CR307" s="103">
        <v>0</v>
      </c>
      <c r="CS307" s="103">
        <f t="shared" si="17"/>
        <v>0</v>
      </c>
      <c r="CT307" s="103">
        <v>1998.5</v>
      </c>
      <c r="CU307" s="103">
        <v>239370.4</v>
      </c>
      <c r="CV307" s="104">
        <v>8.3489855053089281E-3</v>
      </c>
      <c r="CW307" s="103">
        <v>0</v>
      </c>
      <c r="CX307" s="103">
        <v>0</v>
      </c>
      <c r="CY307" s="103">
        <v>7722.0643799999998</v>
      </c>
      <c r="CZ307" s="103">
        <v>0</v>
      </c>
      <c r="DA307" s="103">
        <f t="shared" si="18"/>
        <v>0</v>
      </c>
      <c r="DB307" s="103">
        <v>14079.3</v>
      </c>
      <c r="DC307" s="103">
        <v>468178.1</v>
      </c>
      <c r="DD307" s="104">
        <v>3.0072530090578777E-2</v>
      </c>
      <c r="DE307" s="103">
        <v>0</v>
      </c>
      <c r="DF307" s="103">
        <v>0</v>
      </c>
      <c r="DG307" s="103">
        <v>397.34942000000001</v>
      </c>
      <c r="DH307" s="103">
        <v>0</v>
      </c>
      <c r="DI307" s="103">
        <f t="shared" si="19"/>
        <v>0</v>
      </c>
      <c r="DJ307" s="103">
        <v>1289.7</v>
      </c>
      <c r="DK307" s="103">
        <v>399980.9</v>
      </c>
      <c r="DL307" s="104">
        <v>3.2244039652893426E-3</v>
      </c>
    </row>
    <row r="308" spans="1:116" s="15" customFormat="1" ht="238.7" customHeight="1" x14ac:dyDescent="0.25">
      <c r="A308" s="100" t="s">
        <v>393</v>
      </c>
      <c r="B308" s="100" t="s">
        <v>2715</v>
      </c>
      <c r="C308" s="100" t="s">
        <v>279</v>
      </c>
      <c r="D308" s="101" t="str">
        <f>"Chemistry 144"</f>
        <v>Chemistry 144</v>
      </c>
      <c r="E308" s="102" t="s">
        <v>2716</v>
      </c>
      <c r="F308" s="100">
        <v>12</v>
      </c>
      <c r="G308" s="100">
        <v>12</v>
      </c>
      <c r="H308" s="100">
        <v>1</v>
      </c>
      <c r="I308" s="100">
        <v>14</v>
      </c>
      <c r="J308" s="100">
        <v>2</v>
      </c>
      <c r="K308" s="100">
        <v>2</v>
      </c>
      <c r="L308" s="100">
        <v>2</v>
      </c>
      <c r="M308" s="100">
        <v>0</v>
      </c>
      <c r="N308" s="100">
        <v>2</v>
      </c>
      <c r="O308" s="100">
        <v>1</v>
      </c>
      <c r="P308" s="100">
        <v>2.94</v>
      </c>
      <c r="Q308" s="100">
        <v>15.27</v>
      </c>
      <c r="R308" s="100">
        <v>3</v>
      </c>
      <c r="S308" s="100">
        <v>0</v>
      </c>
      <c r="T308" s="100">
        <v>0</v>
      </c>
      <c r="U308" s="100">
        <v>1</v>
      </c>
      <c r="V308" s="100">
        <v>0</v>
      </c>
      <c r="W308" s="100">
        <v>1</v>
      </c>
      <c r="X308" s="100">
        <v>0</v>
      </c>
      <c r="Y308" s="100">
        <v>0</v>
      </c>
      <c r="Z308" s="100">
        <v>1</v>
      </c>
      <c r="AA308" s="100">
        <v>0</v>
      </c>
      <c r="AB308" s="100">
        <v>0</v>
      </c>
      <c r="AC308" s="100">
        <v>1</v>
      </c>
      <c r="AD308" s="100">
        <v>0</v>
      </c>
      <c r="AE308" s="100">
        <v>0</v>
      </c>
      <c r="AF308" s="100">
        <v>0</v>
      </c>
      <c r="AG308" s="100">
        <v>1</v>
      </c>
      <c r="AH308" s="100">
        <v>1</v>
      </c>
      <c r="AI308" s="100">
        <v>0</v>
      </c>
      <c r="AJ308" s="100">
        <v>0</v>
      </c>
      <c r="AK308" s="100">
        <v>0</v>
      </c>
      <c r="AL308" s="100">
        <v>0</v>
      </c>
      <c r="AM308" s="100">
        <v>0</v>
      </c>
      <c r="AN308" s="100">
        <v>0</v>
      </c>
      <c r="AO308" s="100">
        <v>0</v>
      </c>
      <c r="AP308" s="100">
        <v>0</v>
      </c>
      <c r="AQ308" s="100">
        <v>0</v>
      </c>
      <c r="AR308" s="100">
        <v>0</v>
      </c>
      <c r="AS308" s="100">
        <v>0</v>
      </c>
      <c r="AT308" s="100">
        <v>0</v>
      </c>
      <c r="AU308" s="100">
        <v>0</v>
      </c>
      <c r="AV308" s="100">
        <v>0</v>
      </c>
      <c r="AW308" s="100">
        <v>0</v>
      </c>
      <c r="AX308" s="100">
        <v>0</v>
      </c>
      <c r="AY308" s="100">
        <v>0</v>
      </c>
      <c r="AZ308" s="100">
        <v>0</v>
      </c>
      <c r="BA308" s="100">
        <v>0</v>
      </c>
      <c r="BB308" s="100">
        <v>0</v>
      </c>
      <c r="BC308" s="100">
        <v>0</v>
      </c>
      <c r="BD308" s="100">
        <v>0</v>
      </c>
      <c r="BE308" s="100">
        <v>0</v>
      </c>
      <c r="BF308" s="100">
        <v>0</v>
      </c>
      <c r="BG308" s="100">
        <v>0</v>
      </c>
      <c r="BH308" s="100">
        <v>1</v>
      </c>
      <c r="BI308" s="100">
        <v>0</v>
      </c>
      <c r="BJ308" s="100">
        <v>1</v>
      </c>
      <c r="BK308" s="100">
        <v>0</v>
      </c>
      <c r="BL308" s="100">
        <v>0</v>
      </c>
      <c r="BM308" s="100">
        <v>0</v>
      </c>
      <c r="BN308" s="100">
        <v>0</v>
      </c>
      <c r="BO308" s="100">
        <v>0</v>
      </c>
      <c r="BP308" s="100">
        <v>0</v>
      </c>
      <c r="BQ308" s="100">
        <v>0</v>
      </c>
      <c r="BR308" s="100">
        <v>0</v>
      </c>
      <c r="BS308" s="100">
        <v>0</v>
      </c>
      <c r="BT308" s="100">
        <v>0</v>
      </c>
      <c r="BU308" s="100">
        <v>0</v>
      </c>
      <c r="BV308" s="100">
        <v>0</v>
      </c>
      <c r="BW308" s="100">
        <v>0</v>
      </c>
      <c r="BX308" s="100">
        <v>1</v>
      </c>
      <c r="BY308" s="100">
        <v>0</v>
      </c>
      <c r="BZ308" s="100">
        <v>0</v>
      </c>
      <c r="CA308" s="100">
        <v>0</v>
      </c>
      <c r="CB308" s="100" t="s">
        <v>2090</v>
      </c>
      <c r="CC308" s="100">
        <v>1</v>
      </c>
      <c r="CD308" s="100">
        <v>0</v>
      </c>
      <c r="CE308" s="100">
        <v>0</v>
      </c>
      <c r="CF308" s="100">
        <v>0</v>
      </c>
      <c r="CG308" s="103">
        <v>419865.91970000003</v>
      </c>
      <c r="CH308" s="103">
        <v>29.48</v>
      </c>
      <c r="CI308" s="103">
        <v>4219038.42607</v>
      </c>
      <c r="CJ308" s="103">
        <v>29.22</v>
      </c>
      <c r="CK308" s="103">
        <f t="shared" si="16"/>
        <v>861.40559999999994</v>
      </c>
      <c r="CL308" s="103">
        <v>55892.4</v>
      </c>
      <c r="CM308" s="103">
        <v>88987.4</v>
      </c>
      <c r="CN308" s="104">
        <v>0.62809341547230291</v>
      </c>
      <c r="CO308" s="103">
        <v>68054.002349999995</v>
      </c>
      <c r="CP308" s="103">
        <v>4.4000000000000004</v>
      </c>
      <c r="CQ308" s="103">
        <v>1800301.6339700001</v>
      </c>
      <c r="CR308" s="103">
        <v>12.41</v>
      </c>
      <c r="CS308" s="103">
        <f t="shared" si="17"/>
        <v>54.604000000000006</v>
      </c>
      <c r="CT308" s="103">
        <v>64413.4</v>
      </c>
      <c r="CU308" s="103">
        <v>418803.3</v>
      </c>
      <c r="CV308" s="104">
        <v>0.15380346811975934</v>
      </c>
      <c r="CW308" s="103">
        <v>686323.12635000004</v>
      </c>
      <c r="CX308" s="103">
        <v>53.06</v>
      </c>
      <c r="CY308" s="103">
        <v>5014163.0173199996</v>
      </c>
      <c r="CZ308" s="103">
        <v>44.546369840026848</v>
      </c>
      <c r="DA308" s="103">
        <f t="shared" si="18"/>
        <v>2363.6303837118248</v>
      </c>
      <c r="DB308" s="103">
        <v>563934.9</v>
      </c>
      <c r="DC308" s="103">
        <v>355866.5</v>
      </c>
      <c r="DD308" s="104">
        <v>1.5846810531477395</v>
      </c>
      <c r="DE308" s="103">
        <v>83506.966740000003</v>
      </c>
      <c r="DF308" s="103">
        <v>5.66</v>
      </c>
      <c r="DG308" s="103">
        <v>1862902.8824400001</v>
      </c>
      <c r="DH308" s="103">
        <v>14.34</v>
      </c>
      <c r="DI308" s="103">
        <f t="shared" si="19"/>
        <v>81.164400000000001</v>
      </c>
      <c r="DJ308" s="103">
        <v>285483.90000000002</v>
      </c>
      <c r="DK308" s="103">
        <v>642474</v>
      </c>
      <c r="DL308" s="104">
        <v>0.44435089980294928</v>
      </c>
    </row>
    <row r="309" spans="1:116" s="15" customFormat="1" ht="195.95" customHeight="1" x14ac:dyDescent="0.25">
      <c r="A309" s="100" t="s">
        <v>394</v>
      </c>
      <c r="B309" s="100" t="s">
        <v>2717</v>
      </c>
      <c r="C309" s="100" t="s">
        <v>279</v>
      </c>
      <c r="D309" s="101" t="str">
        <f>"Chemistry 92"</f>
        <v>Chemistry 92</v>
      </c>
      <c r="E309" s="102" t="s">
        <v>2718</v>
      </c>
      <c r="F309" s="100">
        <v>15</v>
      </c>
      <c r="G309" s="100">
        <v>9</v>
      </c>
      <c r="H309" s="100">
        <v>0.6</v>
      </c>
      <c r="I309" s="100">
        <v>23</v>
      </c>
      <c r="J309" s="100">
        <v>8</v>
      </c>
      <c r="K309" s="100">
        <v>5</v>
      </c>
      <c r="L309" s="100">
        <v>2</v>
      </c>
      <c r="M309" s="100">
        <v>1</v>
      </c>
      <c r="N309" s="100">
        <v>3</v>
      </c>
      <c r="O309" s="100">
        <v>1</v>
      </c>
      <c r="P309" s="100">
        <v>2.42</v>
      </c>
      <c r="Q309" s="100">
        <v>49.41</v>
      </c>
      <c r="R309" s="100">
        <v>5</v>
      </c>
      <c r="S309" s="100">
        <v>1</v>
      </c>
      <c r="T309" s="100">
        <v>0</v>
      </c>
      <c r="U309" s="100">
        <v>0</v>
      </c>
      <c r="V309" s="100">
        <v>0</v>
      </c>
      <c r="W309" s="100">
        <v>1</v>
      </c>
      <c r="X309" s="100">
        <v>0</v>
      </c>
      <c r="Y309" s="100">
        <v>0</v>
      </c>
      <c r="Z309" s="100">
        <v>1</v>
      </c>
      <c r="AA309" s="100">
        <v>0</v>
      </c>
      <c r="AB309" s="100">
        <v>0</v>
      </c>
      <c r="AC309" s="100">
        <v>1</v>
      </c>
      <c r="AD309" s="100">
        <v>0</v>
      </c>
      <c r="AE309" s="100">
        <v>0</v>
      </c>
      <c r="AF309" s="100">
        <v>0</v>
      </c>
      <c r="AG309" s="100">
        <v>1</v>
      </c>
      <c r="AH309" s="100">
        <v>0</v>
      </c>
      <c r="AI309" s="100">
        <v>0</v>
      </c>
      <c r="AJ309" s="100">
        <v>1</v>
      </c>
      <c r="AK309" s="100">
        <v>0</v>
      </c>
      <c r="AL309" s="100">
        <v>0</v>
      </c>
      <c r="AM309" s="100">
        <v>0</v>
      </c>
      <c r="AN309" s="100">
        <v>0</v>
      </c>
      <c r="AO309" s="100">
        <v>0</v>
      </c>
      <c r="AP309" s="100">
        <v>0</v>
      </c>
      <c r="AQ309" s="100">
        <v>0</v>
      </c>
      <c r="AR309" s="100">
        <v>0</v>
      </c>
      <c r="AS309" s="100">
        <v>0</v>
      </c>
      <c r="AT309" s="100">
        <v>0</v>
      </c>
      <c r="AU309" s="100">
        <v>0</v>
      </c>
      <c r="AV309" s="100">
        <v>0</v>
      </c>
      <c r="AW309" s="100">
        <v>0</v>
      </c>
      <c r="AX309" s="100">
        <v>0</v>
      </c>
      <c r="AY309" s="100">
        <v>0</v>
      </c>
      <c r="AZ309" s="100">
        <v>0</v>
      </c>
      <c r="BA309" s="100">
        <v>0</v>
      </c>
      <c r="BB309" s="100">
        <v>0</v>
      </c>
      <c r="BC309" s="100">
        <v>0</v>
      </c>
      <c r="BD309" s="100">
        <v>0</v>
      </c>
      <c r="BE309" s="100">
        <v>0</v>
      </c>
      <c r="BF309" s="100">
        <v>1</v>
      </c>
      <c r="BG309" s="100">
        <v>0</v>
      </c>
      <c r="BH309" s="100">
        <v>0</v>
      </c>
      <c r="BI309" s="100">
        <v>0</v>
      </c>
      <c r="BJ309" s="100">
        <v>1</v>
      </c>
      <c r="BK309" s="100">
        <v>0</v>
      </c>
      <c r="BL309" s="100">
        <v>0</v>
      </c>
      <c r="BM309" s="100">
        <v>0</v>
      </c>
      <c r="BN309" s="100">
        <v>0</v>
      </c>
      <c r="BO309" s="100">
        <v>0</v>
      </c>
      <c r="BP309" s="100">
        <v>0</v>
      </c>
      <c r="BQ309" s="100">
        <v>0</v>
      </c>
      <c r="BR309" s="100">
        <v>0</v>
      </c>
      <c r="BS309" s="100">
        <v>0</v>
      </c>
      <c r="BT309" s="100">
        <v>0</v>
      </c>
      <c r="BU309" s="100">
        <v>0</v>
      </c>
      <c r="BV309" s="100">
        <v>0</v>
      </c>
      <c r="BW309" s="100">
        <v>1</v>
      </c>
      <c r="BX309" s="100">
        <v>0</v>
      </c>
      <c r="BY309" s="100">
        <v>0</v>
      </c>
      <c r="BZ309" s="100">
        <v>0</v>
      </c>
      <c r="CA309" s="100">
        <v>1</v>
      </c>
      <c r="CB309" s="100" t="s">
        <v>2090</v>
      </c>
      <c r="CC309" s="100">
        <v>0</v>
      </c>
      <c r="CD309" s="100">
        <v>0</v>
      </c>
      <c r="CE309" s="100">
        <v>0</v>
      </c>
      <c r="CF309" s="100">
        <v>0</v>
      </c>
      <c r="CG309" s="103">
        <v>112827.01186</v>
      </c>
      <c r="CH309" s="103">
        <v>7.72</v>
      </c>
      <c r="CI309" s="103">
        <v>1978574.53755</v>
      </c>
      <c r="CJ309" s="103">
        <v>21.21</v>
      </c>
      <c r="CK309" s="103">
        <f t="shared" si="16"/>
        <v>163.74119999999999</v>
      </c>
      <c r="CL309" s="103">
        <v>486235.1</v>
      </c>
      <c r="CM309" s="103">
        <v>745011.4</v>
      </c>
      <c r="CN309" s="104">
        <v>0.65265457682929406</v>
      </c>
      <c r="CO309" s="103">
        <v>311826.04281999997</v>
      </c>
      <c r="CP309" s="103">
        <v>15.17</v>
      </c>
      <c r="CQ309" s="103">
        <v>3159726.95811</v>
      </c>
      <c r="CR309" s="103">
        <v>19.809999999999999</v>
      </c>
      <c r="CS309" s="103">
        <f t="shared" si="17"/>
        <v>300.51769999999999</v>
      </c>
      <c r="CT309" s="103">
        <v>762</v>
      </c>
      <c r="CU309" s="103">
        <v>4337</v>
      </c>
      <c r="CV309" s="104">
        <v>0.17569748674198754</v>
      </c>
      <c r="CW309" s="103">
        <v>1070637.01162</v>
      </c>
      <c r="CX309" s="103">
        <v>58.45</v>
      </c>
      <c r="CY309" s="103">
        <v>4858526.1472500004</v>
      </c>
      <c r="CZ309" s="103">
        <v>42.957824028190721</v>
      </c>
      <c r="DA309" s="103">
        <f t="shared" si="18"/>
        <v>2510.8848144477479</v>
      </c>
      <c r="DB309" s="103">
        <v>74883.8</v>
      </c>
      <c r="DC309" s="103">
        <v>217521.9</v>
      </c>
      <c r="DD309" s="104">
        <v>0.34425867004655625</v>
      </c>
      <c r="DE309" s="103">
        <v>522536.96103000001</v>
      </c>
      <c r="DF309" s="103">
        <v>26.41</v>
      </c>
      <c r="DG309" s="103">
        <v>3999291.1464999998</v>
      </c>
      <c r="DH309" s="103">
        <v>21.69</v>
      </c>
      <c r="DI309" s="103">
        <f t="shared" si="19"/>
        <v>572.8329</v>
      </c>
      <c r="DJ309" s="103">
        <v>153072.20000000001</v>
      </c>
      <c r="DK309" s="103">
        <v>359626.6</v>
      </c>
      <c r="DL309" s="104">
        <v>0.42564204093912972</v>
      </c>
    </row>
    <row r="310" spans="1:116" s="15" customFormat="1" ht="223.7" customHeight="1" x14ac:dyDescent="0.25">
      <c r="A310" s="100" t="s">
        <v>395</v>
      </c>
      <c r="B310" s="100" t="s">
        <v>2719</v>
      </c>
      <c r="C310" s="100" t="s">
        <v>279</v>
      </c>
      <c r="D310" s="101" t="str">
        <f>"Chemistry 171"</f>
        <v>Chemistry 171</v>
      </c>
      <c r="E310" s="102" t="s">
        <v>2720</v>
      </c>
      <c r="F310" s="100">
        <v>11</v>
      </c>
      <c r="G310" s="100">
        <v>10</v>
      </c>
      <c r="H310" s="100">
        <v>0.91</v>
      </c>
      <c r="I310" s="100">
        <v>15</v>
      </c>
      <c r="J310" s="100">
        <v>4</v>
      </c>
      <c r="K310" s="100">
        <v>4</v>
      </c>
      <c r="L310" s="100">
        <v>3</v>
      </c>
      <c r="M310" s="100">
        <v>0</v>
      </c>
      <c r="N310" s="100">
        <v>3</v>
      </c>
      <c r="O310" s="100">
        <v>2</v>
      </c>
      <c r="P310" s="100">
        <v>-0.19</v>
      </c>
      <c r="Q310" s="100">
        <v>58.36</v>
      </c>
      <c r="R310" s="100">
        <v>2</v>
      </c>
      <c r="S310" s="100">
        <v>0</v>
      </c>
      <c r="T310" s="100">
        <v>1</v>
      </c>
      <c r="U310" s="100">
        <v>0</v>
      </c>
      <c r="V310" s="100">
        <v>0</v>
      </c>
      <c r="W310" s="100">
        <v>1</v>
      </c>
      <c r="X310" s="100">
        <v>0</v>
      </c>
      <c r="Y310" s="100">
        <v>1</v>
      </c>
      <c r="Z310" s="100">
        <v>0</v>
      </c>
      <c r="AA310" s="100">
        <v>0</v>
      </c>
      <c r="AB310" s="100">
        <v>0</v>
      </c>
      <c r="AC310" s="100">
        <v>1</v>
      </c>
      <c r="AD310" s="100">
        <v>0</v>
      </c>
      <c r="AE310" s="100">
        <v>1</v>
      </c>
      <c r="AF310" s="100">
        <v>0</v>
      </c>
      <c r="AG310" s="100">
        <v>0</v>
      </c>
      <c r="AH310" s="100">
        <v>0</v>
      </c>
      <c r="AI310" s="100">
        <v>0</v>
      </c>
      <c r="AJ310" s="100">
        <v>1</v>
      </c>
      <c r="AK310" s="100">
        <v>0</v>
      </c>
      <c r="AL310" s="100">
        <v>0</v>
      </c>
      <c r="AM310" s="100">
        <v>0</v>
      </c>
      <c r="AN310" s="100">
        <v>0</v>
      </c>
      <c r="AO310" s="100">
        <v>0</v>
      </c>
      <c r="AP310" s="100">
        <v>0</v>
      </c>
      <c r="AQ310" s="100">
        <v>0</v>
      </c>
      <c r="AR310" s="100">
        <v>0</v>
      </c>
      <c r="AS310" s="100">
        <v>0</v>
      </c>
      <c r="AT310" s="100">
        <v>1</v>
      </c>
      <c r="AU310" s="100">
        <v>0</v>
      </c>
      <c r="AV310" s="100">
        <v>0</v>
      </c>
      <c r="AW310" s="100">
        <v>0</v>
      </c>
      <c r="AX310" s="100">
        <v>0</v>
      </c>
      <c r="AY310" s="100">
        <v>0</v>
      </c>
      <c r="AZ310" s="100">
        <v>0</v>
      </c>
      <c r="BA310" s="100">
        <v>0</v>
      </c>
      <c r="BB310" s="100">
        <v>0</v>
      </c>
      <c r="BC310" s="100">
        <v>0</v>
      </c>
      <c r="BD310" s="100">
        <v>0</v>
      </c>
      <c r="BE310" s="100">
        <v>0</v>
      </c>
      <c r="BF310" s="100">
        <v>0</v>
      </c>
      <c r="BG310" s="100">
        <v>0</v>
      </c>
      <c r="BH310" s="100">
        <v>1</v>
      </c>
      <c r="BI310" s="100">
        <v>0</v>
      </c>
      <c r="BJ310" s="100">
        <v>2</v>
      </c>
      <c r="BK310" s="100">
        <v>1</v>
      </c>
      <c r="BL310" s="100">
        <v>0</v>
      </c>
      <c r="BM310" s="100">
        <v>0</v>
      </c>
      <c r="BN310" s="100">
        <v>0</v>
      </c>
      <c r="BO310" s="100">
        <v>0</v>
      </c>
      <c r="BP310" s="100">
        <v>0</v>
      </c>
      <c r="BQ310" s="100">
        <v>0</v>
      </c>
      <c r="BR310" s="100">
        <v>0</v>
      </c>
      <c r="BS310" s="100">
        <v>0</v>
      </c>
      <c r="BT310" s="100">
        <v>0</v>
      </c>
      <c r="BU310" s="100">
        <v>0</v>
      </c>
      <c r="BV310" s="100">
        <v>0</v>
      </c>
      <c r="BW310" s="100">
        <v>1</v>
      </c>
      <c r="BX310" s="100">
        <v>0</v>
      </c>
      <c r="BY310" s="100">
        <v>0</v>
      </c>
      <c r="BZ310" s="100">
        <v>0</v>
      </c>
      <c r="CA310" s="100">
        <v>1</v>
      </c>
      <c r="CB310" s="100" t="s">
        <v>2090</v>
      </c>
      <c r="CC310" s="100">
        <v>0</v>
      </c>
      <c r="CD310" s="100">
        <v>0</v>
      </c>
      <c r="CE310" s="100">
        <v>0</v>
      </c>
      <c r="CF310" s="100">
        <v>0</v>
      </c>
      <c r="CG310" s="103">
        <v>479413.04317000002</v>
      </c>
      <c r="CH310" s="103">
        <v>30.11</v>
      </c>
      <c r="CI310" s="103">
        <v>2849834.1187300002</v>
      </c>
      <c r="CJ310" s="103">
        <v>47.2</v>
      </c>
      <c r="CK310" s="103">
        <f t="shared" si="16"/>
        <v>1421.192</v>
      </c>
      <c r="CL310" s="103">
        <v>2108.6</v>
      </c>
      <c r="CM310" s="103">
        <v>10551.5</v>
      </c>
      <c r="CN310" s="104">
        <v>0.19983888546652134</v>
      </c>
      <c r="CO310" s="103">
        <v>604368.15443999995</v>
      </c>
      <c r="CP310" s="103">
        <v>29.31</v>
      </c>
      <c r="CQ310" s="103">
        <v>2600549.8150599999</v>
      </c>
      <c r="CR310" s="103">
        <v>19.440000000000001</v>
      </c>
      <c r="CS310" s="103">
        <f t="shared" si="17"/>
        <v>569.78639999999996</v>
      </c>
      <c r="CT310" s="103">
        <v>269685</v>
      </c>
      <c r="CU310" s="103">
        <v>461982.7</v>
      </c>
      <c r="CV310" s="104">
        <v>0.58375562548121385</v>
      </c>
      <c r="CW310" s="103">
        <v>185705.36598</v>
      </c>
      <c r="CX310" s="103">
        <v>13.35</v>
      </c>
      <c r="CY310" s="103">
        <v>2296314.3913599998</v>
      </c>
      <c r="CZ310" s="103">
        <v>40.465339409930444</v>
      </c>
      <c r="DA310" s="103">
        <f t="shared" si="18"/>
        <v>540.21228112257143</v>
      </c>
      <c r="DB310" s="103">
        <v>237468.2</v>
      </c>
      <c r="DC310" s="103">
        <v>387491</v>
      </c>
      <c r="DD310" s="104">
        <v>0.61283539488659089</v>
      </c>
      <c r="DE310" s="103">
        <v>221734.12424999999</v>
      </c>
      <c r="DF310" s="103">
        <v>12.06</v>
      </c>
      <c r="DG310" s="103">
        <v>1391671.6884699999</v>
      </c>
      <c r="DH310" s="103">
        <v>27.69</v>
      </c>
      <c r="DI310" s="103">
        <f t="shared" si="19"/>
        <v>333.94140000000004</v>
      </c>
      <c r="DJ310" s="103">
        <v>22352</v>
      </c>
      <c r="DK310" s="103">
        <v>131148.5</v>
      </c>
      <c r="DL310" s="104">
        <v>0.17043275371048849</v>
      </c>
    </row>
    <row r="311" spans="1:116" s="15" customFormat="1" ht="135.19999999999999" customHeight="1" x14ac:dyDescent="0.25">
      <c r="A311" s="100" t="s">
        <v>396</v>
      </c>
      <c r="B311" s="100" t="s">
        <v>2721</v>
      </c>
      <c r="C311" s="100" t="s">
        <v>279</v>
      </c>
      <c r="D311" s="105" t="str">
        <f>"Chemistry 116"</f>
        <v>Chemistry 116</v>
      </c>
      <c r="E311" s="102" t="s">
        <v>2722</v>
      </c>
      <c r="F311" s="100">
        <v>19</v>
      </c>
      <c r="G311" s="100">
        <v>7</v>
      </c>
      <c r="H311" s="100">
        <v>0.37</v>
      </c>
      <c r="I311" s="100">
        <v>21</v>
      </c>
      <c r="J311" s="100">
        <v>2</v>
      </c>
      <c r="K311" s="100">
        <v>2</v>
      </c>
      <c r="L311" s="100">
        <v>2</v>
      </c>
      <c r="M311" s="100">
        <v>2</v>
      </c>
      <c r="N311" s="100">
        <v>2</v>
      </c>
      <c r="O311" s="100">
        <v>1</v>
      </c>
      <c r="P311" s="100">
        <v>3.83</v>
      </c>
      <c r="Q311" s="100">
        <v>15.27</v>
      </c>
      <c r="R311" s="100">
        <v>1</v>
      </c>
      <c r="S311" s="100">
        <v>1</v>
      </c>
      <c r="T311" s="100">
        <v>0</v>
      </c>
      <c r="U311" s="100">
        <v>0</v>
      </c>
      <c r="V311" s="100">
        <v>0</v>
      </c>
      <c r="W311" s="100">
        <v>1</v>
      </c>
      <c r="X311" s="100">
        <v>0</v>
      </c>
      <c r="Y311" s="100">
        <v>0</v>
      </c>
      <c r="Z311" s="100">
        <v>1</v>
      </c>
      <c r="AA311" s="100">
        <v>0</v>
      </c>
      <c r="AB311" s="100">
        <v>0</v>
      </c>
      <c r="AC311" s="100">
        <v>1</v>
      </c>
      <c r="AD311" s="100">
        <v>0</v>
      </c>
      <c r="AE311" s="100">
        <v>0</v>
      </c>
      <c r="AF311" s="100">
        <v>0</v>
      </c>
      <c r="AG311" s="100">
        <v>1</v>
      </c>
      <c r="AH311" s="100">
        <v>1</v>
      </c>
      <c r="AI311" s="100">
        <v>0</v>
      </c>
      <c r="AJ311" s="100">
        <v>0</v>
      </c>
      <c r="AK311" s="100">
        <v>0</v>
      </c>
      <c r="AL311" s="100">
        <v>0</v>
      </c>
      <c r="AM311" s="100">
        <v>0</v>
      </c>
      <c r="AN311" s="100">
        <v>0</v>
      </c>
      <c r="AO311" s="100">
        <v>0</v>
      </c>
      <c r="AP311" s="100">
        <v>0</v>
      </c>
      <c r="AQ311" s="100">
        <v>0</v>
      </c>
      <c r="AR311" s="100">
        <v>0</v>
      </c>
      <c r="AS311" s="100">
        <v>0</v>
      </c>
      <c r="AT311" s="100">
        <v>0</v>
      </c>
      <c r="AU311" s="100">
        <v>0</v>
      </c>
      <c r="AV311" s="100">
        <v>0</v>
      </c>
      <c r="AW311" s="100">
        <v>0</v>
      </c>
      <c r="AX311" s="100">
        <v>0</v>
      </c>
      <c r="AY311" s="100">
        <v>0</v>
      </c>
      <c r="AZ311" s="100">
        <v>0</v>
      </c>
      <c r="BA311" s="100">
        <v>0</v>
      </c>
      <c r="BB311" s="100">
        <v>0</v>
      </c>
      <c r="BC311" s="100">
        <v>0</v>
      </c>
      <c r="BD311" s="100">
        <v>0</v>
      </c>
      <c r="BE311" s="100">
        <v>0</v>
      </c>
      <c r="BF311" s="100">
        <v>0</v>
      </c>
      <c r="BG311" s="100">
        <v>0</v>
      </c>
      <c r="BH311" s="100">
        <v>1</v>
      </c>
      <c r="BI311" s="100">
        <v>0</v>
      </c>
      <c r="BJ311" s="100">
        <v>1</v>
      </c>
      <c r="BK311" s="100">
        <v>0</v>
      </c>
      <c r="BL311" s="100">
        <v>0</v>
      </c>
      <c r="BM311" s="100">
        <v>0</v>
      </c>
      <c r="BN311" s="100">
        <v>0</v>
      </c>
      <c r="BO311" s="100">
        <v>0</v>
      </c>
      <c r="BP311" s="100">
        <v>0</v>
      </c>
      <c r="BQ311" s="100">
        <v>0</v>
      </c>
      <c r="BR311" s="100">
        <v>0</v>
      </c>
      <c r="BS311" s="100">
        <v>0</v>
      </c>
      <c r="BT311" s="100">
        <v>0</v>
      </c>
      <c r="BU311" s="100">
        <v>0</v>
      </c>
      <c r="BV311" s="100">
        <v>0</v>
      </c>
      <c r="BW311" s="100">
        <v>0</v>
      </c>
      <c r="BX311" s="100">
        <v>1</v>
      </c>
      <c r="BY311" s="100">
        <v>0</v>
      </c>
      <c r="BZ311" s="100">
        <v>0</v>
      </c>
      <c r="CA311" s="100">
        <v>0</v>
      </c>
      <c r="CB311" s="100" t="s">
        <v>2090</v>
      </c>
      <c r="CC311" s="100">
        <v>1</v>
      </c>
      <c r="CD311" s="100">
        <v>0</v>
      </c>
      <c r="CE311" s="100">
        <v>0</v>
      </c>
      <c r="CF311" s="100">
        <v>0</v>
      </c>
      <c r="CG311" s="103">
        <v>274855.93154000002</v>
      </c>
      <c r="CH311" s="103">
        <v>16.02</v>
      </c>
      <c r="CI311" s="103">
        <v>4217395.96875</v>
      </c>
      <c r="CJ311" s="103">
        <v>30.72</v>
      </c>
      <c r="CK311" s="103">
        <f t="shared" si="16"/>
        <v>492.13439999999997</v>
      </c>
      <c r="CL311" s="103">
        <v>281218.5</v>
      </c>
      <c r="CM311" s="103">
        <v>616701.69999999995</v>
      </c>
      <c r="CN311" s="104">
        <v>0.45600409403768472</v>
      </c>
      <c r="CO311" s="103">
        <v>139182.66673999999</v>
      </c>
      <c r="CP311" s="103">
        <v>6.09</v>
      </c>
      <c r="CQ311" s="103">
        <v>3302337.7286800002</v>
      </c>
      <c r="CR311" s="103">
        <v>18.329999999999998</v>
      </c>
      <c r="CS311" s="103">
        <f t="shared" si="17"/>
        <v>111.62969999999999</v>
      </c>
      <c r="CT311" s="103">
        <v>43699</v>
      </c>
      <c r="CU311" s="103">
        <v>268173.5</v>
      </c>
      <c r="CV311" s="104">
        <v>0.16295047795550269</v>
      </c>
      <c r="CW311" s="103">
        <v>951289.91457000002</v>
      </c>
      <c r="CX311" s="103">
        <v>54.02</v>
      </c>
      <c r="CY311" s="103">
        <v>5905366.97279</v>
      </c>
      <c r="CZ311" s="103">
        <v>114.4082332761578</v>
      </c>
      <c r="DA311" s="103">
        <f t="shared" si="18"/>
        <v>6180.3327615780445</v>
      </c>
      <c r="DB311" s="103">
        <v>116257.7</v>
      </c>
      <c r="DC311" s="103">
        <v>190935.7</v>
      </c>
      <c r="DD311" s="104">
        <v>0.60888403792480916</v>
      </c>
      <c r="DE311" s="103">
        <v>376865.20259</v>
      </c>
      <c r="DF311" s="103">
        <v>19.12</v>
      </c>
      <c r="DG311" s="103">
        <v>4853340.2604</v>
      </c>
      <c r="DH311" s="103">
        <v>27.68</v>
      </c>
      <c r="DI311" s="103">
        <f t="shared" si="19"/>
        <v>529.24160000000006</v>
      </c>
      <c r="DJ311" s="103">
        <v>96108.800000000003</v>
      </c>
      <c r="DK311" s="103">
        <v>310984.7</v>
      </c>
      <c r="DL311" s="104">
        <v>0.30904671515994198</v>
      </c>
    </row>
    <row r="312" spans="1:116" s="15" customFormat="1" ht="265.7" customHeight="1" x14ac:dyDescent="0.25">
      <c r="A312" s="100" t="s">
        <v>397</v>
      </c>
      <c r="B312" s="100" t="s">
        <v>2723</v>
      </c>
      <c r="C312" s="100" t="s">
        <v>279</v>
      </c>
      <c r="D312" s="101" t="str">
        <f>"Chemistry 133"</f>
        <v>Chemistry 133</v>
      </c>
      <c r="E312" s="102" t="s">
        <v>2000</v>
      </c>
      <c r="F312" s="100">
        <v>13</v>
      </c>
      <c r="G312" s="100">
        <v>4</v>
      </c>
      <c r="H312" s="100">
        <v>0.31</v>
      </c>
      <c r="I312" s="100">
        <v>16</v>
      </c>
      <c r="J312" s="100">
        <v>3</v>
      </c>
      <c r="K312" s="100">
        <v>3</v>
      </c>
      <c r="L312" s="100">
        <v>2</v>
      </c>
      <c r="M312" s="100">
        <v>1</v>
      </c>
      <c r="N312" s="100">
        <v>2</v>
      </c>
      <c r="O312" s="100">
        <v>1</v>
      </c>
      <c r="P312" s="100">
        <v>1.75</v>
      </c>
      <c r="Q312" s="100">
        <v>32.340000000000003</v>
      </c>
      <c r="R312" s="100">
        <v>2</v>
      </c>
      <c r="S312" s="100">
        <v>0</v>
      </c>
      <c r="T312" s="100">
        <v>1</v>
      </c>
      <c r="U312" s="100">
        <v>0</v>
      </c>
      <c r="V312" s="100">
        <v>0</v>
      </c>
      <c r="W312" s="100">
        <v>1</v>
      </c>
      <c r="X312" s="100">
        <v>0</v>
      </c>
      <c r="Y312" s="100">
        <v>0</v>
      </c>
      <c r="Z312" s="100">
        <v>1</v>
      </c>
      <c r="AA312" s="100">
        <v>0</v>
      </c>
      <c r="AB312" s="100">
        <v>0</v>
      </c>
      <c r="AC312" s="100">
        <v>1</v>
      </c>
      <c r="AD312" s="100">
        <v>0</v>
      </c>
      <c r="AE312" s="100">
        <v>0</v>
      </c>
      <c r="AF312" s="100">
        <v>0</v>
      </c>
      <c r="AG312" s="100">
        <v>1</v>
      </c>
      <c r="AH312" s="100">
        <v>0</v>
      </c>
      <c r="AI312" s="100">
        <v>1</v>
      </c>
      <c r="AJ312" s="100">
        <v>0</v>
      </c>
      <c r="AK312" s="100">
        <v>0</v>
      </c>
      <c r="AL312" s="100">
        <v>0</v>
      </c>
      <c r="AM312" s="100">
        <v>0</v>
      </c>
      <c r="AN312" s="100">
        <v>0</v>
      </c>
      <c r="AO312" s="100">
        <v>0</v>
      </c>
      <c r="AP312" s="100">
        <v>0</v>
      </c>
      <c r="AQ312" s="100">
        <v>0</v>
      </c>
      <c r="AR312" s="100">
        <v>1</v>
      </c>
      <c r="AS312" s="100">
        <v>0</v>
      </c>
      <c r="AT312" s="100">
        <v>1</v>
      </c>
      <c r="AU312" s="100">
        <v>0</v>
      </c>
      <c r="AV312" s="100">
        <v>0</v>
      </c>
      <c r="AW312" s="100">
        <v>0</v>
      </c>
      <c r="AX312" s="100">
        <v>0</v>
      </c>
      <c r="AY312" s="100">
        <v>0</v>
      </c>
      <c r="AZ312" s="100">
        <v>0</v>
      </c>
      <c r="BA312" s="100">
        <v>0</v>
      </c>
      <c r="BB312" s="100">
        <v>0</v>
      </c>
      <c r="BC312" s="100">
        <v>0</v>
      </c>
      <c r="BD312" s="100">
        <v>0</v>
      </c>
      <c r="BE312" s="100">
        <v>0</v>
      </c>
      <c r="BF312" s="100">
        <v>0</v>
      </c>
      <c r="BG312" s="100">
        <v>0</v>
      </c>
      <c r="BH312" s="100">
        <v>0</v>
      </c>
      <c r="BI312" s="100">
        <v>0</v>
      </c>
      <c r="BJ312" s="100">
        <v>2</v>
      </c>
      <c r="BK312" s="100">
        <v>0</v>
      </c>
      <c r="BL312" s="100">
        <v>0</v>
      </c>
      <c r="BM312" s="100">
        <v>0</v>
      </c>
      <c r="BN312" s="100">
        <v>0</v>
      </c>
      <c r="BO312" s="100">
        <v>0</v>
      </c>
      <c r="BP312" s="100">
        <v>0</v>
      </c>
      <c r="BQ312" s="100">
        <v>0</v>
      </c>
      <c r="BR312" s="100">
        <v>0</v>
      </c>
      <c r="BS312" s="100">
        <v>0</v>
      </c>
      <c r="BT312" s="100">
        <v>0</v>
      </c>
      <c r="BU312" s="100">
        <v>0</v>
      </c>
      <c r="BV312" s="100">
        <v>0</v>
      </c>
      <c r="BW312" s="100">
        <v>0</v>
      </c>
      <c r="BX312" s="100">
        <v>1</v>
      </c>
      <c r="BY312" s="100">
        <v>0</v>
      </c>
      <c r="BZ312" s="100">
        <v>0</v>
      </c>
      <c r="CA312" s="100">
        <v>0</v>
      </c>
      <c r="CB312" s="100" t="s">
        <v>2090</v>
      </c>
      <c r="CC312" s="100">
        <v>0</v>
      </c>
      <c r="CD312" s="100">
        <v>1</v>
      </c>
      <c r="CE312" s="100">
        <v>0</v>
      </c>
      <c r="CF312" s="100">
        <v>0</v>
      </c>
      <c r="CG312" s="103">
        <v>431533.38016</v>
      </c>
      <c r="CH312" s="103">
        <v>12.99</v>
      </c>
      <c r="CI312" s="103">
        <v>2244148.5764299999</v>
      </c>
      <c r="CJ312" s="103">
        <v>29.02</v>
      </c>
      <c r="CK312" s="103">
        <f t="shared" si="16"/>
        <v>376.96980000000002</v>
      </c>
      <c r="CL312" s="103">
        <v>327937.3</v>
      </c>
      <c r="CM312" s="103">
        <v>698580.4</v>
      </c>
      <c r="CN312" s="104">
        <v>0.46943386902924844</v>
      </c>
      <c r="CO312" s="103">
        <v>819739.18547000003</v>
      </c>
      <c r="CP312" s="103">
        <v>26.72</v>
      </c>
      <c r="CQ312" s="103">
        <v>2993525.6231399998</v>
      </c>
      <c r="CR312" s="103">
        <v>26.43</v>
      </c>
      <c r="CS312" s="103">
        <f t="shared" si="17"/>
        <v>706.20959999999991</v>
      </c>
      <c r="CT312" s="103">
        <v>343575.7</v>
      </c>
      <c r="CU312" s="103">
        <v>473136.6</v>
      </c>
      <c r="CV312" s="104">
        <v>0.72616597405485017</v>
      </c>
      <c r="CW312" s="103">
        <v>2213576.6385400002</v>
      </c>
      <c r="CX312" s="103">
        <v>62.42</v>
      </c>
      <c r="CY312" s="103">
        <v>4185999.6470300001</v>
      </c>
      <c r="CZ312" s="103">
        <v>51.779775834462377</v>
      </c>
      <c r="DA312" s="103">
        <f t="shared" si="18"/>
        <v>3232.0936075871418</v>
      </c>
      <c r="DB312" s="103">
        <v>184182.3</v>
      </c>
      <c r="DC312" s="103">
        <v>213557.3</v>
      </c>
      <c r="DD312" s="104">
        <v>0.86244909445848961</v>
      </c>
      <c r="DE312" s="103">
        <v>1023678.83665</v>
      </c>
      <c r="DF312" s="103">
        <v>37.18</v>
      </c>
      <c r="DG312" s="103">
        <v>3394426.5702</v>
      </c>
      <c r="DH312" s="103">
        <v>34.130000000000003</v>
      </c>
      <c r="DI312" s="103">
        <f t="shared" si="19"/>
        <v>1268.9534000000001</v>
      </c>
      <c r="DJ312" s="103">
        <v>7509.3</v>
      </c>
      <c r="DK312" s="103">
        <v>25988.7</v>
      </c>
      <c r="DL312" s="104">
        <v>0.28894481062923499</v>
      </c>
    </row>
    <row r="313" spans="1:116" s="15" customFormat="1" ht="162.94999999999999" customHeight="1" x14ac:dyDescent="0.25">
      <c r="A313" s="100" t="s">
        <v>398</v>
      </c>
      <c r="B313" s="100" t="s">
        <v>2724</v>
      </c>
      <c r="C313" s="100" t="s">
        <v>279</v>
      </c>
      <c r="D313" s="101" t="str">
        <f>"Chemistry 107"</f>
        <v>Chemistry 107</v>
      </c>
      <c r="E313" s="102" t="s">
        <v>2725</v>
      </c>
      <c r="F313" s="100">
        <v>5</v>
      </c>
      <c r="G313" s="100">
        <v>5</v>
      </c>
      <c r="H313" s="100">
        <v>1</v>
      </c>
      <c r="I313" s="100">
        <v>10</v>
      </c>
      <c r="J313" s="100">
        <v>5</v>
      </c>
      <c r="K313" s="100">
        <v>5</v>
      </c>
      <c r="L313" s="100">
        <v>2</v>
      </c>
      <c r="M313" s="100">
        <v>0</v>
      </c>
      <c r="N313" s="100">
        <v>3</v>
      </c>
      <c r="O313" s="100">
        <v>1</v>
      </c>
      <c r="P313" s="100">
        <v>-0.41</v>
      </c>
      <c r="Q313" s="100">
        <v>49.41</v>
      </c>
      <c r="R313" s="100">
        <v>1</v>
      </c>
      <c r="S313" s="100">
        <v>0</v>
      </c>
      <c r="T313" s="100">
        <v>0</v>
      </c>
      <c r="U313" s="100">
        <v>1</v>
      </c>
      <c r="V313" s="100">
        <v>0</v>
      </c>
      <c r="W313" s="100">
        <v>1</v>
      </c>
      <c r="X313" s="100">
        <v>0</v>
      </c>
      <c r="Y313" s="100">
        <v>0</v>
      </c>
      <c r="Z313" s="100">
        <v>1</v>
      </c>
      <c r="AA313" s="100">
        <v>0</v>
      </c>
      <c r="AB313" s="100">
        <v>0</v>
      </c>
      <c r="AC313" s="100">
        <v>1</v>
      </c>
      <c r="AD313" s="100">
        <v>0</v>
      </c>
      <c r="AE313" s="100">
        <v>1</v>
      </c>
      <c r="AF313" s="100">
        <v>0</v>
      </c>
      <c r="AG313" s="100">
        <v>0</v>
      </c>
      <c r="AH313" s="100">
        <v>0</v>
      </c>
      <c r="AI313" s="100">
        <v>0</v>
      </c>
      <c r="AJ313" s="100">
        <v>1</v>
      </c>
      <c r="AK313" s="100">
        <v>0</v>
      </c>
      <c r="AL313" s="100">
        <v>0</v>
      </c>
      <c r="AM313" s="100">
        <v>0</v>
      </c>
      <c r="AN313" s="100">
        <v>0</v>
      </c>
      <c r="AO313" s="100">
        <v>0</v>
      </c>
      <c r="AP313" s="100">
        <v>0</v>
      </c>
      <c r="AQ313" s="100">
        <v>0</v>
      </c>
      <c r="AR313" s="100">
        <v>0</v>
      </c>
      <c r="AS313" s="100">
        <v>0</v>
      </c>
      <c r="AT313" s="100">
        <v>0</v>
      </c>
      <c r="AU313" s="100">
        <v>0</v>
      </c>
      <c r="AV313" s="100">
        <v>0</v>
      </c>
      <c r="AW313" s="100">
        <v>0</v>
      </c>
      <c r="AX313" s="100">
        <v>0</v>
      </c>
      <c r="AY313" s="100">
        <v>0</v>
      </c>
      <c r="AZ313" s="100">
        <v>0</v>
      </c>
      <c r="BA313" s="100">
        <v>0</v>
      </c>
      <c r="BB313" s="100">
        <v>0</v>
      </c>
      <c r="BC313" s="100">
        <v>0</v>
      </c>
      <c r="BD313" s="100">
        <v>0</v>
      </c>
      <c r="BE313" s="100">
        <v>0</v>
      </c>
      <c r="BF313" s="100">
        <v>1</v>
      </c>
      <c r="BG313" s="100">
        <v>0</v>
      </c>
      <c r="BH313" s="100">
        <v>0</v>
      </c>
      <c r="BI313" s="100">
        <v>0</v>
      </c>
      <c r="BJ313" s="100">
        <v>1</v>
      </c>
      <c r="BK313" s="100">
        <v>0</v>
      </c>
      <c r="BL313" s="100">
        <v>0</v>
      </c>
      <c r="BM313" s="100">
        <v>0</v>
      </c>
      <c r="BN313" s="100">
        <v>0</v>
      </c>
      <c r="BO313" s="100">
        <v>0</v>
      </c>
      <c r="BP313" s="100">
        <v>0</v>
      </c>
      <c r="BQ313" s="100">
        <v>0</v>
      </c>
      <c r="BR313" s="100">
        <v>0</v>
      </c>
      <c r="BS313" s="100">
        <v>0</v>
      </c>
      <c r="BT313" s="100">
        <v>0</v>
      </c>
      <c r="BU313" s="100">
        <v>0</v>
      </c>
      <c r="BV313" s="100">
        <v>0</v>
      </c>
      <c r="BW313" s="100">
        <v>0</v>
      </c>
      <c r="BX313" s="100">
        <v>1</v>
      </c>
      <c r="BY313" s="100">
        <v>0</v>
      </c>
      <c r="BZ313" s="100">
        <v>0</v>
      </c>
      <c r="CA313" s="100">
        <v>0</v>
      </c>
      <c r="CB313" s="100" t="s">
        <v>2090</v>
      </c>
      <c r="CC313" s="100">
        <v>0</v>
      </c>
      <c r="CD313" s="100">
        <v>1</v>
      </c>
      <c r="CE313" s="100">
        <v>0</v>
      </c>
      <c r="CF313" s="100">
        <v>0</v>
      </c>
      <c r="CG313" s="103">
        <v>114140.37312</v>
      </c>
      <c r="CH313" s="103">
        <v>7.86</v>
      </c>
      <c r="CI313" s="103">
        <v>1549606.65637</v>
      </c>
      <c r="CJ313" s="103">
        <v>33.82</v>
      </c>
      <c r="CK313" s="103">
        <f t="shared" si="16"/>
        <v>265.8252</v>
      </c>
      <c r="CL313" s="103">
        <v>646237.69999999995</v>
      </c>
      <c r="CM313" s="103">
        <v>493831.3</v>
      </c>
      <c r="CN313" s="104">
        <v>1.3086203729897234</v>
      </c>
      <c r="CO313" s="103">
        <v>65831.632339999996</v>
      </c>
      <c r="CP313" s="103">
        <v>4.08</v>
      </c>
      <c r="CQ313" s="103">
        <v>987403.54590000003</v>
      </c>
      <c r="CR313" s="103">
        <v>20.14</v>
      </c>
      <c r="CS313" s="103">
        <f t="shared" si="17"/>
        <v>82.171199999999999</v>
      </c>
      <c r="CT313" s="103">
        <v>264429.7</v>
      </c>
      <c r="CU313" s="103">
        <v>770142.7</v>
      </c>
      <c r="CV313" s="104">
        <v>0.34335156328820621</v>
      </c>
      <c r="CW313" s="103">
        <v>1046263.70474</v>
      </c>
      <c r="CX313" s="103">
        <v>62.73</v>
      </c>
      <c r="CY313" s="103">
        <v>3470074.55852</v>
      </c>
      <c r="CZ313" s="103">
        <v>64.16015625</v>
      </c>
      <c r="DA313" s="103">
        <f t="shared" si="18"/>
        <v>4024.7666015625</v>
      </c>
      <c r="DB313" s="103">
        <v>203503.7</v>
      </c>
      <c r="DC313" s="103">
        <v>381057.9</v>
      </c>
      <c r="DD313" s="104">
        <v>0.5340492875229722</v>
      </c>
      <c r="DE313" s="103">
        <v>295980.12975999998</v>
      </c>
      <c r="DF313" s="103">
        <v>18.5</v>
      </c>
      <c r="DG313" s="103">
        <v>2226456.96208</v>
      </c>
      <c r="DH313" s="103">
        <v>38.549999999999997</v>
      </c>
      <c r="DI313" s="103">
        <f t="shared" si="19"/>
        <v>713.17499999999995</v>
      </c>
      <c r="DJ313" s="103">
        <v>458442.6</v>
      </c>
      <c r="DK313" s="103">
        <v>675556.2</v>
      </c>
      <c r="DL313" s="104">
        <v>0.67861504342643886</v>
      </c>
    </row>
    <row r="314" spans="1:116" s="15" customFormat="1" ht="172.7" customHeight="1" x14ac:dyDescent="0.25">
      <c r="A314" s="100" t="s">
        <v>399</v>
      </c>
      <c r="B314" s="100" t="s">
        <v>2726</v>
      </c>
      <c r="C314" s="100" t="s">
        <v>279</v>
      </c>
      <c r="D314" s="101" t="str">
        <f>"Chemistry 87"</f>
        <v>Chemistry 87</v>
      </c>
      <c r="E314" s="102" t="s">
        <v>2727</v>
      </c>
      <c r="F314" s="100">
        <v>6</v>
      </c>
      <c r="G314" s="100">
        <v>6</v>
      </c>
      <c r="H314" s="100">
        <v>1</v>
      </c>
      <c r="I314" s="100">
        <v>10</v>
      </c>
      <c r="J314" s="100">
        <v>4</v>
      </c>
      <c r="K314" s="100">
        <v>1</v>
      </c>
      <c r="L314" s="100">
        <v>1</v>
      </c>
      <c r="M314" s="100">
        <v>0</v>
      </c>
      <c r="N314" s="100">
        <v>1</v>
      </c>
      <c r="O314" s="100">
        <v>1</v>
      </c>
      <c r="P314" s="100">
        <v>1.08</v>
      </c>
      <c r="Q314" s="100">
        <v>12.03</v>
      </c>
      <c r="R314" s="100">
        <v>1</v>
      </c>
      <c r="S314" s="100">
        <v>0</v>
      </c>
      <c r="T314" s="100">
        <v>0</v>
      </c>
      <c r="U314" s="100">
        <v>1</v>
      </c>
      <c r="V314" s="100">
        <v>0</v>
      </c>
      <c r="W314" s="100">
        <v>0</v>
      </c>
      <c r="X314" s="100">
        <v>1</v>
      </c>
      <c r="Y314" s="100">
        <v>0</v>
      </c>
      <c r="Z314" s="100">
        <v>1</v>
      </c>
      <c r="AA314" s="100">
        <v>0</v>
      </c>
      <c r="AB314" s="100">
        <v>0</v>
      </c>
      <c r="AC314" s="100">
        <v>1</v>
      </c>
      <c r="AD314" s="100">
        <v>0</v>
      </c>
      <c r="AE314" s="100">
        <v>0</v>
      </c>
      <c r="AF314" s="100">
        <v>1</v>
      </c>
      <c r="AG314" s="100">
        <v>0</v>
      </c>
      <c r="AH314" s="100">
        <v>1</v>
      </c>
      <c r="AI314" s="100">
        <v>0</v>
      </c>
      <c r="AJ314" s="100">
        <v>0</v>
      </c>
      <c r="AK314" s="100">
        <v>0</v>
      </c>
      <c r="AL314" s="100">
        <v>0</v>
      </c>
      <c r="AM314" s="100">
        <v>0</v>
      </c>
      <c r="AN314" s="100">
        <v>0</v>
      </c>
      <c r="AO314" s="100">
        <v>0</v>
      </c>
      <c r="AP314" s="100">
        <v>0</v>
      </c>
      <c r="AQ314" s="100">
        <v>0</v>
      </c>
      <c r="AR314" s="100">
        <v>0</v>
      </c>
      <c r="AS314" s="100">
        <v>0</v>
      </c>
      <c r="AT314" s="100">
        <v>0</v>
      </c>
      <c r="AU314" s="100">
        <v>0</v>
      </c>
      <c r="AV314" s="100">
        <v>0</v>
      </c>
      <c r="AW314" s="100">
        <v>0</v>
      </c>
      <c r="AX314" s="100">
        <v>0</v>
      </c>
      <c r="AY314" s="100">
        <v>0</v>
      </c>
      <c r="AZ314" s="100">
        <v>0</v>
      </c>
      <c r="BA314" s="100">
        <v>0</v>
      </c>
      <c r="BB314" s="100">
        <v>0</v>
      </c>
      <c r="BC314" s="100">
        <v>0</v>
      </c>
      <c r="BD314" s="100">
        <v>0</v>
      </c>
      <c r="BE314" s="100">
        <v>0</v>
      </c>
      <c r="BF314" s="100">
        <v>0</v>
      </c>
      <c r="BG314" s="100">
        <v>0</v>
      </c>
      <c r="BH314" s="100">
        <v>0</v>
      </c>
      <c r="BI314" s="100">
        <v>0</v>
      </c>
      <c r="BJ314" s="100">
        <v>0</v>
      </c>
      <c r="BK314" s="100">
        <v>0</v>
      </c>
      <c r="BL314" s="100">
        <v>0</v>
      </c>
      <c r="BM314" s="100">
        <v>0</v>
      </c>
      <c r="BN314" s="100">
        <v>0</v>
      </c>
      <c r="BO314" s="100">
        <v>0</v>
      </c>
      <c r="BP314" s="100">
        <v>0</v>
      </c>
      <c r="BQ314" s="100">
        <v>0</v>
      </c>
      <c r="BR314" s="100">
        <v>0</v>
      </c>
      <c r="BS314" s="100">
        <v>0</v>
      </c>
      <c r="BT314" s="100">
        <v>0</v>
      </c>
      <c r="BU314" s="100">
        <v>0</v>
      </c>
      <c r="BV314" s="100">
        <v>0</v>
      </c>
      <c r="BW314" s="100">
        <v>1</v>
      </c>
      <c r="BX314" s="100">
        <v>0</v>
      </c>
      <c r="BY314" s="100">
        <v>0</v>
      </c>
      <c r="BZ314" s="100">
        <v>1</v>
      </c>
      <c r="CA314" s="100">
        <v>0</v>
      </c>
      <c r="CB314" s="100" t="s">
        <v>2090</v>
      </c>
      <c r="CC314" s="100">
        <v>0</v>
      </c>
      <c r="CD314" s="100">
        <v>0</v>
      </c>
      <c r="CE314" s="100">
        <v>0</v>
      </c>
      <c r="CF314" s="100">
        <v>0</v>
      </c>
      <c r="CG314" s="103">
        <v>141802.47873</v>
      </c>
      <c r="CH314" s="103">
        <v>9.77</v>
      </c>
      <c r="CI314" s="103">
        <v>2894961.5512399999</v>
      </c>
      <c r="CJ314" s="103">
        <v>40.380000000000003</v>
      </c>
      <c r="CK314" s="103">
        <f t="shared" si="16"/>
        <v>394.51260000000002</v>
      </c>
      <c r="CL314" s="103">
        <v>313842</v>
      </c>
      <c r="CM314" s="103">
        <v>810674.6</v>
      </c>
      <c r="CN314" s="104">
        <v>0.38713683640760427</v>
      </c>
      <c r="CO314" s="103">
        <v>313223.63445999997</v>
      </c>
      <c r="CP314" s="103">
        <v>18.09</v>
      </c>
      <c r="CQ314" s="103">
        <v>3696879.0693899998</v>
      </c>
      <c r="CR314" s="103">
        <v>29.36</v>
      </c>
      <c r="CS314" s="103">
        <f t="shared" si="17"/>
        <v>531.12239999999997</v>
      </c>
      <c r="CT314" s="103">
        <v>583313.6</v>
      </c>
      <c r="CU314" s="103">
        <v>716340.6</v>
      </c>
      <c r="CV314" s="104">
        <v>0.81429643943118679</v>
      </c>
      <c r="CW314" s="103">
        <v>959868.39020999998</v>
      </c>
      <c r="CX314" s="103">
        <v>56.16</v>
      </c>
      <c r="CY314" s="103">
        <v>5943993.2705600001</v>
      </c>
      <c r="CZ314" s="103">
        <v>67.17332390715211</v>
      </c>
      <c r="DA314" s="103">
        <f t="shared" si="18"/>
        <v>3772.4538706256621</v>
      </c>
      <c r="DB314" s="103">
        <v>260728.4</v>
      </c>
      <c r="DC314" s="103">
        <v>272176.8</v>
      </c>
      <c r="DD314" s="104">
        <v>0.95793763465512127</v>
      </c>
      <c r="DE314" s="103">
        <v>622482.93799999997</v>
      </c>
      <c r="DF314" s="103">
        <v>37.659999999999997</v>
      </c>
      <c r="DG314" s="103">
        <v>4982193.5888700001</v>
      </c>
      <c r="DH314" s="103">
        <v>39.630000000000003</v>
      </c>
      <c r="DI314" s="103">
        <f t="shared" si="19"/>
        <v>1492.4657999999999</v>
      </c>
      <c r="DJ314" s="103">
        <v>156319.20000000001</v>
      </c>
      <c r="DK314" s="103">
        <v>301648.5</v>
      </c>
      <c r="DL314" s="104">
        <v>0.51821640087717991</v>
      </c>
    </row>
    <row r="315" spans="1:116" s="15" customFormat="1" ht="175.7" customHeight="1" x14ac:dyDescent="0.25">
      <c r="A315" s="100" t="s">
        <v>400</v>
      </c>
      <c r="B315" s="100" t="s">
        <v>2728</v>
      </c>
      <c r="C315" s="100" t="s">
        <v>279</v>
      </c>
      <c r="D315" s="101" t="str">
        <f>"Chemistry 31"</f>
        <v>Chemistry 31</v>
      </c>
      <c r="E315" s="102" t="s">
        <v>950</v>
      </c>
      <c r="F315" s="100">
        <v>10</v>
      </c>
      <c r="G315" s="100">
        <v>5</v>
      </c>
      <c r="H315" s="100">
        <v>0.5</v>
      </c>
      <c r="I315" s="100">
        <v>12</v>
      </c>
      <c r="J315" s="100">
        <v>2</v>
      </c>
      <c r="K315" s="100">
        <v>2</v>
      </c>
      <c r="L315" s="100">
        <v>2</v>
      </c>
      <c r="M315" s="100">
        <v>1</v>
      </c>
      <c r="N315" s="100">
        <v>2</v>
      </c>
      <c r="O315" s="100">
        <v>1</v>
      </c>
      <c r="P315" s="100">
        <v>1</v>
      </c>
      <c r="Q315" s="100">
        <v>24.92</v>
      </c>
      <c r="R315" s="100">
        <v>1</v>
      </c>
      <c r="S315" s="100">
        <v>0</v>
      </c>
      <c r="T315" s="100">
        <v>0</v>
      </c>
      <c r="U315" s="100">
        <v>1</v>
      </c>
      <c r="V315" s="100">
        <v>0</v>
      </c>
      <c r="W315" s="100">
        <v>1</v>
      </c>
      <c r="X315" s="100">
        <v>0</v>
      </c>
      <c r="Y315" s="100">
        <v>0</v>
      </c>
      <c r="Z315" s="100">
        <v>1</v>
      </c>
      <c r="AA315" s="100">
        <v>0</v>
      </c>
      <c r="AB315" s="100">
        <v>0</v>
      </c>
      <c r="AC315" s="100">
        <v>1</v>
      </c>
      <c r="AD315" s="100">
        <v>0</v>
      </c>
      <c r="AE315" s="100">
        <v>0</v>
      </c>
      <c r="AF315" s="100">
        <v>1</v>
      </c>
      <c r="AG315" s="100">
        <v>0</v>
      </c>
      <c r="AH315" s="100">
        <v>1</v>
      </c>
      <c r="AI315" s="100">
        <v>0</v>
      </c>
      <c r="AJ315" s="100">
        <v>0</v>
      </c>
      <c r="AK315" s="100">
        <v>1</v>
      </c>
      <c r="AL315" s="100">
        <v>1</v>
      </c>
      <c r="AM315" s="100">
        <v>0</v>
      </c>
      <c r="AN315" s="100">
        <v>0</v>
      </c>
      <c r="AO315" s="100">
        <v>1</v>
      </c>
      <c r="AP315" s="100">
        <v>0</v>
      </c>
      <c r="AQ315" s="100">
        <v>0</v>
      </c>
      <c r="AR315" s="100">
        <v>0</v>
      </c>
      <c r="AS315" s="100">
        <v>0</v>
      </c>
      <c r="AT315" s="100">
        <v>0</v>
      </c>
      <c r="AU315" s="100">
        <v>0</v>
      </c>
      <c r="AV315" s="100">
        <v>0</v>
      </c>
      <c r="AW315" s="100">
        <v>0</v>
      </c>
      <c r="AX315" s="100">
        <v>0</v>
      </c>
      <c r="AY315" s="100">
        <v>0</v>
      </c>
      <c r="AZ315" s="100">
        <v>0</v>
      </c>
      <c r="BA315" s="100">
        <v>0</v>
      </c>
      <c r="BB315" s="100">
        <v>0</v>
      </c>
      <c r="BC315" s="100">
        <v>0</v>
      </c>
      <c r="BD315" s="100">
        <v>0</v>
      </c>
      <c r="BE315" s="100">
        <v>0</v>
      </c>
      <c r="BF315" s="100">
        <v>0</v>
      </c>
      <c r="BG315" s="100">
        <v>0</v>
      </c>
      <c r="BH315" s="100">
        <v>0</v>
      </c>
      <c r="BI315" s="100">
        <v>0</v>
      </c>
      <c r="BJ315" s="100">
        <v>0</v>
      </c>
      <c r="BK315" s="100">
        <v>0</v>
      </c>
      <c r="BL315" s="100">
        <v>0</v>
      </c>
      <c r="BM315" s="100">
        <v>0</v>
      </c>
      <c r="BN315" s="100">
        <v>0</v>
      </c>
      <c r="BO315" s="100">
        <v>0</v>
      </c>
      <c r="BP315" s="100">
        <v>0</v>
      </c>
      <c r="BQ315" s="100">
        <v>0</v>
      </c>
      <c r="BR315" s="100">
        <v>0</v>
      </c>
      <c r="BS315" s="100">
        <v>0</v>
      </c>
      <c r="BT315" s="100">
        <v>0</v>
      </c>
      <c r="BU315" s="100">
        <v>0</v>
      </c>
      <c r="BV315" s="100">
        <v>0</v>
      </c>
      <c r="BW315" s="100">
        <v>1</v>
      </c>
      <c r="BX315" s="100">
        <v>0</v>
      </c>
      <c r="BY315" s="100">
        <v>0</v>
      </c>
      <c r="BZ315" s="100">
        <v>0</v>
      </c>
      <c r="CA315" s="100">
        <v>0</v>
      </c>
      <c r="CB315" s="100" t="s">
        <v>2090</v>
      </c>
      <c r="CC315" s="100">
        <v>0</v>
      </c>
      <c r="CD315" s="100">
        <v>0</v>
      </c>
      <c r="CE315" s="100">
        <v>0</v>
      </c>
      <c r="CF315" s="100">
        <v>0</v>
      </c>
      <c r="CG315" s="103">
        <v>138380.90046</v>
      </c>
      <c r="CH315" s="103">
        <v>9.43</v>
      </c>
      <c r="CI315" s="103">
        <v>1321364.4553400001</v>
      </c>
      <c r="CJ315" s="103">
        <v>29.69</v>
      </c>
      <c r="CK315" s="103">
        <f t="shared" si="16"/>
        <v>279.97669999999999</v>
      </c>
      <c r="CL315" s="103">
        <v>86285.8</v>
      </c>
      <c r="CM315" s="103">
        <v>532335.9</v>
      </c>
      <c r="CN315" s="104">
        <v>0.1620890118438377</v>
      </c>
      <c r="CO315" s="103">
        <v>0</v>
      </c>
      <c r="CP315" s="103">
        <v>0</v>
      </c>
      <c r="CQ315" s="103">
        <v>295059.55063000001</v>
      </c>
      <c r="CR315" s="103">
        <v>2.82</v>
      </c>
      <c r="CS315" s="103">
        <f t="shared" si="17"/>
        <v>0</v>
      </c>
      <c r="CT315" s="103">
        <v>47844.6</v>
      </c>
      <c r="CU315" s="103">
        <v>471303.3</v>
      </c>
      <c r="CV315" s="104">
        <v>0.10151552089705292</v>
      </c>
      <c r="CW315" s="103">
        <v>0</v>
      </c>
      <c r="CX315" s="103">
        <v>0</v>
      </c>
      <c r="CY315" s="103">
        <v>15723.89429</v>
      </c>
      <c r="CZ315" s="103">
        <v>0</v>
      </c>
      <c r="DA315" s="103">
        <f t="shared" si="18"/>
        <v>0</v>
      </c>
      <c r="DB315" s="103">
        <v>10777.7</v>
      </c>
      <c r="DC315" s="103">
        <v>380480.7</v>
      </c>
      <c r="DD315" s="104">
        <v>2.8326535353830038E-2</v>
      </c>
      <c r="DE315" s="103">
        <v>12100.504419999999</v>
      </c>
      <c r="DF315" s="103">
        <v>0.7</v>
      </c>
      <c r="DG315" s="103">
        <v>205557.54584999999</v>
      </c>
      <c r="DH315" s="103">
        <v>3.33</v>
      </c>
      <c r="DI315" s="103">
        <f t="shared" si="19"/>
        <v>2.331</v>
      </c>
      <c r="DJ315" s="103">
        <v>11040.9</v>
      </c>
      <c r="DK315" s="103">
        <v>303402.40000000002</v>
      </c>
      <c r="DL315" s="104">
        <v>3.639028564045637E-2</v>
      </c>
    </row>
    <row r="316" spans="1:116" s="15" customFormat="1" ht="174.95" customHeight="1" x14ac:dyDescent="0.25">
      <c r="A316" s="100" t="s">
        <v>401</v>
      </c>
      <c r="B316" s="100" t="s">
        <v>2729</v>
      </c>
      <c r="C316" s="100" t="s">
        <v>279</v>
      </c>
      <c r="D316" s="101" t="str">
        <f>"Chemistry 130"</f>
        <v>Chemistry 130</v>
      </c>
      <c r="E316" s="102" t="s">
        <v>2013</v>
      </c>
      <c r="F316" s="100">
        <v>7</v>
      </c>
      <c r="G316" s="100">
        <v>7</v>
      </c>
      <c r="H316" s="100">
        <v>1</v>
      </c>
      <c r="I316" s="100">
        <v>9</v>
      </c>
      <c r="J316" s="100">
        <v>2</v>
      </c>
      <c r="K316" s="100">
        <v>2</v>
      </c>
      <c r="L316" s="100">
        <v>1</v>
      </c>
      <c r="M316" s="100">
        <v>0</v>
      </c>
      <c r="N316" s="100">
        <v>2</v>
      </c>
      <c r="O316" s="100">
        <v>1</v>
      </c>
      <c r="P316" s="100">
        <v>1.01</v>
      </c>
      <c r="Q316" s="100">
        <v>21.26</v>
      </c>
      <c r="R316" s="100">
        <v>2</v>
      </c>
      <c r="S316" s="100">
        <v>0</v>
      </c>
      <c r="T316" s="100">
        <v>0</v>
      </c>
      <c r="U316" s="100">
        <v>1</v>
      </c>
      <c r="V316" s="100">
        <v>0</v>
      </c>
      <c r="W316" s="100">
        <v>0</v>
      </c>
      <c r="X316" s="100">
        <v>1</v>
      </c>
      <c r="Y316" s="100">
        <v>0</v>
      </c>
      <c r="Z316" s="100">
        <v>1</v>
      </c>
      <c r="AA316" s="100">
        <v>0</v>
      </c>
      <c r="AB316" s="100">
        <v>0</v>
      </c>
      <c r="AC316" s="100">
        <v>1</v>
      </c>
      <c r="AD316" s="100">
        <v>0</v>
      </c>
      <c r="AE316" s="100">
        <v>0</v>
      </c>
      <c r="AF316" s="100">
        <v>1</v>
      </c>
      <c r="AG316" s="100">
        <v>0</v>
      </c>
      <c r="AH316" s="100">
        <v>1</v>
      </c>
      <c r="AI316" s="100">
        <v>0</v>
      </c>
      <c r="AJ316" s="100">
        <v>0</v>
      </c>
      <c r="AK316" s="100">
        <v>1</v>
      </c>
      <c r="AL316" s="100">
        <v>1</v>
      </c>
      <c r="AM316" s="100">
        <v>0</v>
      </c>
      <c r="AN316" s="100">
        <v>0</v>
      </c>
      <c r="AO316" s="100">
        <v>0</v>
      </c>
      <c r="AP316" s="100">
        <v>0</v>
      </c>
      <c r="AQ316" s="100">
        <v>0</v>
      </c>
      <c r="AR316" s="100">
        <v>0</v>
      </c>
      <c r="AS316" s="100">
        <v>0</v>
      </c>
      <c r="AT316" s="100">
        <v>0</v>
      </c>
      <c r="AU316" s="100">
        <v>0</v>
      </c>
      <c r="AV316" s="100">
        <v>0</v>
      </c>
      <c r="AW316" s="100">
        <v>0</v>
      </c>
      <c r="AX316" s="100">
        <v>0</v>
      </c>
      <c r="AY316" s="100">
        <v>0</v>
      </c>
      <c r="AZ316" s="100">
        <v>0</v>
      </c>
      <c r="BA316" s="100">
        <v>0</v>
      </c>
      <c r="BB316" s="100">
        <v>0</v>
      </c>
      <c r="BC316" s="100">
        <v>0</v>
      </c>
      <c r="BD316" s="100">
        <v>0</v>
      </c>
      <c r="BE316" s="100">
        <v>0</v>
      </c>
      <c r="BF316" s="100">
        <v>0</v>
      </c>
      <c r="BG316" s="100">
        <v>0</v>
      </c>
      <c r="BH316" s="100">
        <v>0</v>
      </c>
      <c r="BI316" s="100">
        <v>0</v>
      </c>
      <c r="BJ316" s="100">
        <v>0</v>
      </c>
      <c r="BK316" s="100">
        <v>0</v>
      </c>
      <c r="BL316" s="100">
        <v>0</v>
      </c>
      <c r="BM316" s="100">
        <v>0</v>
      </c>
      <c r="BN316" s="100">
        <v>0</v>
      </c>
      <c r="BO316" s="100">
        <v>0</v>
      </c>
      <c r="BP316" s="100">
        <v>0</v>
      </c>
      <c r="BQ316" s="100">
        <v>0</v>
      </c>
      <c r="BR316" s="100">
        <v>0</v>
      </c>
      <c r="BS316" s="100">
        <v>0</v>
      </c>
      <c r="BT316" s="100">
        <v>0</v>
      </c>
      <c r="BU316" s="100">
        <v>0</v>
      </c>
      <c r="BV316" s="100">
        <v>0</v>
      </c>
      <c r="BW316" s="100">
        <v>1</v>
      </c>
      <c r="BX316" s="100">
        <v>0</v>
      </c>
      <c r="BY316" s="100">
        <v>0</v>
      </c>
      <c r="BZ316" s="100">
        <v>0</v>
      </c>
      <c r="CA316" s="100">
        <v>0</v>
      </c>
      <c r="CB316" s="100" t="s">
        <v>2090</v>
      </c>
      <c r="CC316" s="100">
        <v>0</v>
      </c>
      <c r="CD316" s="100">
        <v>0</v>
      </c>
      <c r="CE316" s="100">
        <v>0</v>
      </c>
      <c r="CF316" s="100">
        <v>0</v>
      </c>
      <c r="CG316" s="103">
        <v>30458.17715</v>
      </c>
      <c r="CH316" s="103">
        <v>2.15</v>
      </c>
      <c r="CI316" s="103">
        <v>1685069.8951699999</v>
      </c>
      <c r="CJ316" s="103">
        <v>28.11</v>
      </c>
      <c r="CK316" s="103">
        <f t="shared" si="16"/>
        <v>60.436499999999995</v>
      </c>
      <c r="CL316" s="103">
        <v>107134.8</v>
      </c>
      <c r="CM316" s="103">
        <v>691473</v>
      </c>
      <c r="CN316" s="104">
        <v>0.15493706912634334</v>
      </c>
      <c r="CO316" s="103">
        <v>0</v>
      </c>
      <c r="CP316" s="103">
        <v>0</v>
      </c>
      <c r="CQ316" s="103">
        <v>630999.31493999995</v>
      </c>
      <c r="CR316" s="103">
        <v>11.84</v>
      </c>
      <c r="CS316" s="103">
        <f t="shared" si="17"/>
        <v>0</v>
      </c>
      <c r="CT316" s="103">
        <v>39128.9</v>
      </c>
      <c r="CU316" s="103">
        <v>830321.7</v>
      </c>
      <c r="CV316" s="104">
        <v>4.7124987820985537E-2</v>
      </c>
      <c r="CW316" s="103">
        <v>0</v>
      </c>
      <c r="CX316" s="103">
        <v>0</v>
      </c>
      <c r="CY316" s="103">
        <v>108469.25771000001</v>
      </c>
      <c r="CZ316" s="103">
        <v>5.0359712230215834</v>
      </c>
      <c r="DA316" s="103">
        <f t="shared" si="18"/>
        <v>0</v>
      </c>
      <c r="DB316" s="103">
        <v>14865.1</v>
      </c>
      <c r="DC316" s="103">
        <v>699309.8</v>
      </c>
      <c r="DD316" s="104">
        <v>2.1256816363791842E-2</v>
      </c>
      <c r="DE316" s="103">
        <v>29811.482680000001</v>
      </c>
      <c r="DF316" s="103">
        <v>1.92</v>
      </c>
      <c r="DG316" s="103">
        <v>1657041.25654</v>
      </c>
      <c r="DH316" s="103">
        <v>27.09</v>
      </c>
      <c r="DI316" s="103">
        <f t="shared" si="19"/>
        <v>52.012799999999999</v>
      </c>
      <c r="DJ316" s="103">
        <v>53907.199999999997</v>
      </c>
      <c r="DK316" s="103">
        <v>566899.80000000005</v>
      </c>
      <c r="DL316" s="104">
        <v>9.5091231289903419E-2</v>
      </c>
    </row>
    <row r="317" spans="1:116" s="15" customFormat="1" ht="114.95" customHeight="1" x14ac:dyDescent="0.25">
      <c r="A317" s="100" t="s">
        <v>402</v>
      </c>
      <c r="B317" s="100" t="s">
        <v>2730</v>
      </c>
      <c r="C317" s="100" t="s">
        <v>279</v>
      </c>
      <c r="D317" s="101" t="str">
        <f>"Chemistry 58"</f>
        <v>Chemistry 58</v>
      </c>
      <c r="E317" s="102" t="s">
        <v>2731</v>
      </c>
      <c r="F317" s="100">
        <v>13</v>
      </c>
      <c r="G317" s="100">
        <v>5</v>
      </c>
      <c r="H317" s="100">
        <v>0.38</v>
      </c>
      <c r="I317" s="100">
        <v>15</v>
      </c>
      <c r="J317" s="100">
        <v>2</v>
      </c>
      <c r="K317" s="100">
        <v>2</v>
      </c>
      <c r="L317" s="100">
        <v>2</v>
      </c>
      <c r="M317" s="100">
        <v>2</v>
      </c>
      <c r="N317" s="100">
        <v>1</v>
      </c>
      <c r="O317" s="100">
        <v>2</v>
      </c>
      <c r="P317" s="100">
        <v>2.48</v>
      </c>
      <c r="Q317" s="100">
        <v>27.82</v>
      </c>
      <c r="R317" s="100">
        <v>1</v>
      </c>
      <c r="S317" s="100">
        <v>0</v>
      </c>
      <c r="T317" s="100">
        <v>1</v>
      </c>
      <c r="U317" s="100">
        <v>0</v>
      </c>
      <c r="V317" s="100">
        <v>0</v>
      </c>
      <c r="W317" s="100">
        <v>1</v>
      </c>
      <c r="X317" s="100">
        <v>0</v>
      </c>
      <c r="Y317" s="100">
        <v>1</v>
      </c>
      <c r="Z317" s="100">
        <v>0</v>
      </c>
      <c r="AA317" s="100">
        <v>0</v>
      </c>
      <c r="AB317" s="100">
        <v>0</v>
      </c>
      <c r="AC317" s="100">
        <v>1</v>
      </c>
      <c r="AD317" s="100">
        <v>0</v>
      </c>
      <c r="AE317" s="100">
        <v>0</v>
      </c>
      <c r="AF317" s="100">
        <v>0</v>
      </c>
      <c r="AG317" s="100">
        <v>1</v>
      </c>
      <c r="AH317" s="100">
        <v>1</v>
      </c>
      <c r="AI317" s="100">
        <v>0</v>
      </c>
      <c r="AJ317" s="100">
        <v>0</v>
      </c>
      <c r="AK317" s="100">
        <v>1</v>
      </c>
      <c r="AL317" s="100">
        <v>1</v>
      </c>
      <c r="AM317" s="100">
        <v>0</v>
      </c>
      <c r="AN317" s="100">
        <v>1</v>
      </c>
      <c r="AO317" s="100">
        <v>0</v>
      </c>
      <c r="AP317" s="100">
        <v>0</v>
      </c>
      <c r="AQ317" s="100">
        <v>0</v>
      </c>
      <c r="AR317" s="100">
        <v>0</v>
      </c>
      <c r="AS317" s="100">
        <v>0</v>
      </c>
      <c r="AT317" s="100">
        <v>0</v>
      </c>
      <c r="AU317" s="100">
        <v>0</v>
      </c>
      <c r="AV317" s="100">
        <v>0</v>
      </c>
      <c r="AW317" s="100">
        <v>0</v>
      </c>
      <c r="AX317" s="100">
        <v>0</v>
      </c>
      <c r="AY317" s="100">
        <v>0</v>
      </c>
      <c r="AZ317" s="100">
        <v>0</v>
      </c>
      <c r="BA317" s="100">
        <v>0</v>
      </c>
      <c r="BB317" s="100">
        <v>0</v>
      </c>
      <c r="BC317" s="100">
        <v>0</v>
      </c>
      <c r="BD317" s="100">
        <v>0</v>
      </c>
      <c r="BE317" s="100">
        <v>0</v>
      </c>
      <c r="BF317" s="100">
        <v>0</v>
      </c>
      <c r="BG317" s="100">
        <v>0</v>
      </c>
      <c r="BH317" s="100">
        <v>0</v>
      </c>
      <c r="BI317" s="100">
        <v>0</v>
      </c>
      <c r="BJ317" s="100">
        <v>0</v>
      </c>
      <c r="BK317" s="100">
        <v>0</v>
      </c>
      <c r="BL317" s="100">
        <v>0</v>
      </c>
      <c r="BM317" s="100">
        <v>0</v>
      </c>
      <c r="BN317" s="100">
        <v>0</v>
      </c>
      <c r="BO317" s="100">
        <v>0</v>
      </c>
      <c r="BP317" s="100">
        <v>0</v>
      </c>
      <c r="BQ317" s="100">
        <v>0</v>
      </c>
      <c r="BR317" s="100">
        <v>1</v>
      </c>
      <c r="BS317" s="100">
        <v>1</v>
      </c>
      <c r="BT317" s="100">
        <v>0</v>
      </c>
      <c r="BU317" s="100">
        <v>0</v>
      </c>
      <c r="BV317" s="100">
        <v>0</v>
      </c>
      <c r="BW317" s="100">
        <v>1</v>
      </c>
      <c r="BX317" s="100">
        <v>0</v>
      </c>
      <c r="BY317" s="100">
        <v>0</v>
      </c>
      <c r="BZ317" s="100">
        <v>0</v>
      </c>
      <c r="CA317" s="100">
        <v>0</v>
      </c>
      <c r="CB317" s="100" t="s">
        <v>2090</v>
      </c>
      <c r="CC317" s="100">
        <v>0</v>
      </c>
      <c r="CD317" s="100">
        <v>0</v>
      </c>
      <c r="CE317" s="100">
        <v>0</v>
      </c>
      <c r="CF317" s="100">
        <v>0</v>
      </c>
      <c r="CG317" s="103">
        <v>147495.26717000001</v>
      </c>
      <c r="CH317" s="103">
        <v>5.6899999999999995</v>
      </c>
      <c r="CI317" s="103">
        <v>1604336.30709</v>
      </c>
      <c r="CJ317" s="103">
        <v>18.86</v>
      </c>
      <c r="CK317" s="103">
        <f t="shared" si="16"/>
        <v>107.31339999999999</v>
      </c>
      <c r="CL317" s="103">
        <v>4192.1000000000004</v>
      </c>
      <c r="CM317" s="103">
        <v>87540</v>
      </c>
      <c r="CN317" s="104">
        <v>4.7887822709618465E-2</v>
      </c>
      <c r="CO317" s="103">
        <v>80382.388990000007</v>
      </c>
      <c r="CP317" s="103">
        <v>2.4500000000000002</v>
      </c>
      <c r="CQ317" s="103">
        <v>1168820.96107</v>
      </c>
      <c r="CR317" s="103">
        <v>8.31</v>
      </c>
      <c r="CS317" s="103">
        <f t="shared" si="17"/>
        <v>20.359500000000004</v>
      </c>
      <c r="CT317" s="103">
        <v>79625.399999999994</v>
      </c>
      <c r="CU317" s="103">
        <v>553105.9</v>
      </c>
      <c r="CV317" s="104">
        <v>0.14396049653420798</v>
      </c>
      <c r="CW317" s="103">
        <v>0</v>
      </c>
      <c r="CX317" s="103">
        <v>0</v>
      </c>
      <c r="CY317" s="103">
        <v>10117.836380000001</v>
      </c>
      <c r="CZ317" s="103">
        <v>0</v>
      </c>
      <c r="DA317" s="103">
        <f t="shared" si="18"/>
        <v>0</v>
      </c>
      <c r="DB317" s="103">
        <v>1903.6</v>
      </c>
      <c r="DC317" s="103">
        <v>296594</v>
      </c>
      <c r="DD317" s="104">
        <v>6.418201312231535E-3</v>
      </c>
      <c r="DE317" s="103">
        <v>215974.70319999999</v>
      </c>
      <c r="DF317" s="103">
        <v>8.2200000000000006</v>
      </c>
      <c r="DG317" s="103">
        <v>2047122.4836899999</v>
      </c>
      <c r="DH317" s="103">
        <v>15.22</v>
      </c>
      <c r="DI317" s="103">
        <f t="shared" si="19"/>
        <v>125.10840000000002</v>
      </c>
      <c r="DJ317" s="103">
        <v>101190.3</v>
      </c>
      <c r="DK317" s="103">
        <v>462644.6</v>
      </c>
      <c r="DL317" s="104">
        <v>0.21872145487054212</v>
      </c>
    </row>
    <row r="318" spans="1:116" s="15" customFormat="1" ht="221.45" customHeight="1" x14ac:dyDescent="0.25">
      <c r="A318" s="100" t="s">
        <v>403</v>
      </c>
      <c r="B318" s="100" t="s">
        <v>2732</v>
      </c>
      <c r="C318" s="100" t="s">
        <v>279</v>
      </c>
      <c r="D318" s="101" t="str">
        <f>"Chemistry 32"</f>
        <v>Chemistry 32</v>
      </c>
      <c r="E318" s="102" t="s">
        <v>2733</v>
      </c>
      <c r="F318" s="100">
        <v>10</v>
      </c>
      <c r="G318" s="100">
        <v>9</v>
      </c>
      <c r="H318" s="100">
        <v>0.9</v>
      </c>
      <c r="I318" s="100">
        <v>13</v>
      </c>
      <c r="J318" s="100">
        <v>3</v>
      </c>
      <c r="K318" s="100">
        <v>3</v>
      </c>
      <c r="L318" s="100">
        <v>1</v>
      </c>
      <c r="M318" s="100">
        <v>0</v>
      </c>
      <c r="N318" s="100">
        <v>3</v>
      </c>
      <c r="O318" s="100">
        <v>1</v>
      </c>
      <c r="P318" s="100">
        <v>1.03</v>
      </c>
      <c r="Q318" s="100">
        <v>38.33</v>
      </c>
      <c r="R318" s="100">
        <v>3</v>
      </c>
      <c r="S318" s="100">
        <v>0</v>
      </c>
      <c r="T318" s="100">
        <v>0</v>
      </c>
      <c r="U318" s="100">
        <v>1</v>
      </c>
      <c r="V318" s="100">
        <v>0</v>
      </c>
      <c r="W318" s="100">
        <v>0</v>
      </c>
      <c r="X318" s="100">
        <v>1</v>
      </c>
      <c r="Y318" s="100">
        <v>0</v>
      </c>
      <c r="Z318" s="100">
        <v>1</v>
      </c>
      <c r="AA318" s="100">
        <v>0</v>
      </c>
      <c r="AB318" s="100">
        <v>0</v>
      </c>
      <c r="AC318" s="100">
        <v>1</v>
      </c>
      <c r="AD318" s="100">
        <v>0</v>
      </c>
      <c r="AE318" s="100">
        <v>0</v>
      </c>
      <c r="AF318" s="100">
        <v>1</v>
      </c>
      <c r="AG318" s="100">
        <v>0</v>
      </c>
      <c r="AH318" s="100">
        <v>0</v>
      </c>
      <c r="AI318" s="100">
        <v>1</v>
      </c>
      <c r="AJ318" s="100">
        <v>0</v>
      </c>
      <c r="AK318" s="100">
        <v>0</v>
      </c>
      <c r="AL318" s="100">
        <v>0</v>
      </c>
      <c r="AM318" s="100">
        <v>0</v>
      </c>
      <c r="AN318" s="100">
        <v>0</v>
      </c>
      <c r="AO318" s="100">
        <v>0</v>
      </c>
      <c r="AP318" s="100">
        <v>0</v>
      </c>
      <c r="AQ318" s="100">
        <v>0</v>
      </c>
      <c r="AR318" s="100">
        <v>0</v>
      </c>
      <c r="AS318" s="100">
        <v>0</v>
      </c>
      <c r="AT318" s="100">
        <v>0</v>
      </c>
      <c r="AU318" s="100">
        <v>0</v>
      </c>
      <c r="AV318" s="100">
        <v>0</v>
      </c>
      <c r="AW318" s="100">
        <v>0</v>
      </c>
      <c r="AX318" s="100">
        <v>1</v>
      </c>
      <c r="AY318" s="100">
        <v>0</v>
      </c>
      <c r="AZ318" s="100">
        <v>0</v>
      </c>
      <c r="BA318" s="100">
        <v>0</v>
      </c>
      <c r="BB318" s="100">
        <v>0</v>
      </c>
      <c r="BC318" s="100">
        <v>0</v>
      </c>
      <c r="BD318" s="100">
        <v>0</v>
      </c>
      <c r="BE318" s="100">
        <v>0</v>
      </c>
      <c r="BF318" s="100">
        <v>0</v>
      </c>
      <c r="BG318" s="100">
        <v>0</v>
      </c>
      <c r="BH318" s="100">
        <v>0</v>
      </c>
      <c r="BI318" s="100">
        <v>0</v>
      </c>
      <c r="BJ318" s="100">
        <v>1</v>
      </c>
      <c r="BK318" s="100">
        <v>0</v>
      </c>
      <c r="BL318" s="100">
        <v>0</v>
      </c>
      <c r="BM318" s="100">
        <v>0</v>
      </c>
      <c r="BN318" s="100">
        <v>0</v>
      </c>
      <c r="BO318" s="100">
        <v>0</v>
      </c>
      <c r="BP318" s="100">
        <v>0</v>
      </c>
      <c r="BQ318" s="100">
        <v>0</v>
      </c>
      <c r="BR318" s="100">
        <v>0</v>
      </c>
      <c r="BS318" s="100">
        <v>0</v>
      </c>
      <c r="BT318" s="100">
        <v>0</v>
      </c>
      <c r="BU318" s="100">
        <v>0</v>
      </c>
      <c r="BV318" s="100">
        <v>0</v>
      </c>
      <c r="BW318" s="100">
        <v>1</v>
      </c>
      <c r="BX318" s="100">
        <v>0</v>
      </c>
      <c r="BY318" s="100">
        <v>0</v>
      </c>
      <c r="BZ318" s="100">
        <v>0</v>
      </c>
      <c r="CA318" s="100">
        <v>1</v>
      </c>
      <c r="CB318" s="100" t="s">
        <v>2090</v>
      </c>
      <c r="CC318" s="100">
        <v>0</v>
      </c>
      <c r="CD318" s="100">
        <v>0</v>
      </c>
      <c r="CE318" s="100">
        <v>0</v>
      </c>
      <c r="CF318" s="100">
        <v>0</v>
      </c>
      <c r="CG318" s="103">
        <v>707866.74231999996</v>
      </c>
      <c r="CH318" s="103">
        <v>42.05</v>
      </c>
      <c r="CI318" s="103">
        <v>5245918.8508799998</v>
      </c>
      <c r="CJ318" s="103">
        <v>42.68</v>
      </c>
      <c r="CK318" s="103">
        <f t="shared" si="16"/>
        <v>1794.694</v>
      </c>
      <c r="CL318" s="103">
        <v>542456.4</v>
      </c>
      <c r="CM318" s="103">
        <v>423024</v>
      </c>
      <c r="CN318" s="104">
        <v>1.2823300805628051</v>
      </c>
      <c r="CO318" s="103">
        <v>15123.3226</v>
      </c>
      <c r="CP318" s="103">
        <v>1.01</v>
      </c>
      <c r="CQ318" s="103">
        <v>803748.31833000004</v>
      </c>
      <c r="CR318" s="103">
        <v>6.46</v>
      </c>
      <c r="CS318" s="103">
        <f t="shared" si="17"/>
        <v>6.5246000000000004</v>
      </c>
      <c r="CT318" s="103">
        <v>25179.5</v>
      </c>
      <c r="CU318" s="103">
        <v>486452.6</v>
      </c>
      <c r="CV318" s="104">
        <v>5.1761466584822446E-2</v>
      </c>
      <c r="CW318" s="103">
        <v>94587.304329999999</v>
      </c>
      <c r="CX318" s="103">
        <v>6.73</v>
      </c>
      <c r="CY318" s="103">
        <v>3141076.2823600001</v>
      </c>
      <c r="CZ318" s="103">
        <v>42.718083114938224</v>
      </c>
      <c r="DA318" s="103">
        <f t="shared" si="18"/>
        <v>287.49269936353426</v>
      </c>
      <c r="DB318" s="103">
        <v>633026.19999999995</v>
      </c>
      <c r="DC318" s="103">
        <v>708915.3</v>
      </c>
      <c r="DD318" s="104">
        <v>0.89295039901099593</v>
      </c>
      <c r="DE318" s="103">
        <v>11832.21277</v>
      </c>
      <c r="DF318" s="103">
        <v>0.82</v>
      </c>
      <c r="DG318" s="103">
        <v>437908.53746000002</v>
      </c>
      <c r="DH318" s="103">
        <v>4.55</v>
      </c>
      <c r="DI318" s="103">
        <f t="shared" si="19"/>
        <v>3.7309999999999994</v>
      </c>
      <c r="DJ318" s="103">
        <v>7661.7</v>
      </c>
      <c r="DK318" s="103">
        <v>131538.70000000001</v>
      </c>
      <c r="DL318" s="104">
        <v>5.8246736511764215E-2</v>
      </c>
    </row>
    <row r="319" spans="1:116" s="15" customFormat="1" ht="177.95" customHeight="1" x14ac:dyDescent="0.25">
      <c r="A319" s="100" t="s">
        <v>404</v>
      </c>
      <c r="B319" s="100" t="s">
        <v>2734</v>
      </c>
      <c r="C319" s="100" t="s">
        <v>279</v>
      </c>
      <c r="D319" s="101" t="str">
        <f>"Chemistry 97"</f>
        <v>Chemistry 97</v>
      </c>
      <c r="E319" s="102" t="s">
        <v>2735</v>
      </c>
      <c r="F319" s="100">
        <v>10</v>
      </c>
      <c r="G319" s="100">
        <v>10</v>
      </c>
      <c r="H319" s="100">
        <v>1</v>
      </c>
      <c r="I319" s="100">
        <v>13</v>
      </c>
      <c r="J319" s="100">
        <v>3</v>
      </c>
      <c r="K319" s="100">
        <v>3</v>
      </c>
      <c r="L319" s="100">
        <v>3</v>
      </c>
      <c r="M319" s="100">
        <v>0</v>
      </c>
      <c r="N319" s="100">
        <v>3</v>
      </c>
      <c r="O319" s="100">
        <v>1</v>
      </c>
      <c r="P319" s="100">
        <v>-1.24</v>
      </c>
      <c r="Q319" s="100">
        <v>18.5</v>
      </c>
      <c r="R319" s="100">
        <v>1</v>
      </c>
      <c r="S319" s="100">
        <v>0</v>
      </c>
      <c r="T319" s="100">
        <v>0</v>
      </c>
      <c r="U319" s="100">
        <v>1</v>
      </c>
      <c r="V319" s="100">
        <v>0</v>
      </c>
      <c r="W319" s="100">
        <v>1</v>
      </c>
      <c r="X319" s="100">
        <v>0</v>
      </c>
      <c r="Y319" s="100">
        <v>0</v>
      </c>
      <c r="Z319" s="100">
        <v>1</v>
      </c>
      <c r="AA319" s="100">
        <v>0</v>
      </c>
      <c r="AB319" s="100">
        <v>0</v>
      </c>
      <c r="AC319" s="100">
        <v>1</v>
      </c>
      <c r="AD319" s="100">
        <v>0</v>
      </c>
      <c r="AE319" s="100">
        <v>1</v>
      </c>
      <c r="AF319" s="100">
        <v>0</v>
      </c>
      <c r="AG319" s="100">
        <v>0</v>
      </c>
      <c r="AH319" s="100">
        <v>1</v>
      </c>
      <c r="AI319" s="100">
        <v>0</v>
      </c>
      <c r="AJ319" s="100">
        <v>0</v>
      </c>
      <c r="AK319" s="100">
        <v>0</v>
      </c>
      <c r="AL319" s="100">
        <v>0</v>
      </c>
      <c r="AM319" s="100">
        <v>0</v>
      </c>
      <c r="AN319" s="100">
        <v>0</v>
      </c>
      <c r="AO319" s="100">
        <v>0</v>
      </c>
      <c r="AP319" s="100">
        <v>0</v>
      </c>
      <c r="AQ319" s="100">
        <v>0</v>
      </c>
      <c r="AR319" s="100">
        <v>0</v>
      </c>
      <c r="AS319" s="100">
        <v>0</v>
      </c>
      <c r="AT319" s="100">
        <v>0</v>
      </c>
      <c r="AU319" s="100">
        <v>0</v>
      </c>
      <c r="AV319" s="100">
        <v>0</v>
      </c>
      <c r="AW319" s="100">
        <v>0</v>
      </c>
      <c r="AX319" s="100">
        <v>0</v>
      </c>
      <c r="AY319" s="100">
        <v>0</v>
      </c>
      <c r="AZ319" s="100">
        <v>0</v>
      </c>
      <c r="BA319" s="100">
        <v>0</v>
      </c>
      <c r="BB319" s="100">
        <v>0</v>
      </c>
      <c r="BC319" s="100">
        <v>0</v>
      </c>
      <c r="BD319" s="100">
        <v>0</v>
      </c>
      <c r="BE319" s="100">
        <v>0</v>
      </c>
      <c r="BF319" s="100">
        <v>0</v>
      </c>
      <c r="BG319" s="100">
        <v>0</v>
      </c>
      <c r="BH319" s="100">
        <v>1</v>
      </c>
      <c r="BI319" s="100">
        <v>0</v>
      </c>
      <c r="BJ319" s="100">
        <v>2</v>
      </c>
      <c r="BK319" s="100">
        <v>0</v>
      </c>
      <c r="BL319" s="100">
        <v>0</v>
      </c>
      <c r="BM319" s="100">
        <v>0</v>
      </c>
      <c r="BN319" s="100">
        <v>0</v>
      </c>
      <c r="BO319" s="100">
        <v>0</v>
      </c>
      <c r="BP319" s="100">
        <v>0</v>
      </c>
      <c r="BQ319" s="100">
        <v>0</v>
      </c>
      <c r="BR319" s="100">
        <v>0</v>
      </c>
      <c r="BS319" s="100">
        <v>0</v>
      </c>
      <c r="BT319" s="100">
        <v>0</v>
      </c>
      <c r="BU319" s="100">
        <v>0</v>
      </c>
      <c r="BV319" s="100">
        <v>0</v>
      </c>
      <c r="BW319" s="100">
        <v>1</v>
      </c>
      <c r="BX319" s="100">
        <v>0</v>
      </c>
      <c r="BY319" s="100">
        <v>0</v>
      </c>
      <c r="BZ319" s="100">
        <v>0</v>
      </c>
      <c r="CA319" s="100">
        <v>0</v>
      </c>
      <c r="CB319" s="100" t="s">
        <v>2090</v>
      </c>
      <c r="CC319" s="100">
        <v>0</v>
      </c>
      <c r="CD319" s="100">
        <v>0</v>
      </c>
      <c r="CE319" s="100">
        <v>0</v>
      </c>
      <c r="CF319" s="100">
        <v>0</v>
      </c>
      <c r="CG319" s="103">
        <v>498165.94004000002</v>
      </c>
      <c r="CH319" s="103">
        <v>32.979999999999997</v>
      </c>
      <c r="CI319" s="103">
        <v>3208495.8550399998</v>
      </c>
      <c r="CJ319" s="103">
        <v>61.16</v>
      </c>
      <c r="CK319" s="103">
        <f t="shared" si="16"/>
        <v>2017.0567999999996</v>
      </c>
      <c r="CL319" s="103">
        <v>102013.8</v>
      </c>
      <c r="CM319" s="103">
        <v>110287.4</v>
      </c>
      <c r="CN319" s="104">
        <v>0.92498145753730709</v>
      </c>
      <c r="CO319" s="103">
        <v>227576.93814000001</v>
      </c>
      <c r="CP319" s="103">
        <v>13.16</v>
      </c>
      <c r="CQ319" s="103">
        <v>2028170.73285</v>
      </c>
      <c r="CR319" s="103">
        <v>29.81</v>
      </c>
      <c r="CS319" s="103">
        <f t="shared" si="17"/>
        <v>392.2996</v>
      </c>
      <c r="CT319" s="103">
        <v>27858.7</v>
      </c>
      <c r="CU319" s="103">
        <v>69943.7</v>
      </c>
      <c r="CV319" s="104">
        <v>0.39830177700064484</v>
      </c>
      <c r="CW319" s="103">
        <v>891006.95836000005</v>
      </c>
      <c r="CX319" s="103">
        <v>48.31</v>
      </c>
      <c r="CY319" s="103">
        <v>4523020.9163600001</v>
      </c>
      <c r="CZ319" s="103">
        <v>74.451629263344742</v>
      </c>
      <c r="DA319" s="103">
        <f t="shared" si="18"/>
        <v>3596.7582097121845</v>
      </c>
      <c r="DB319" s="103">
        <v>7371.6</v>
      </c>
      <c r="DC319" s="103">
        <v>1379.1</v>
      </c>
      <c r="DD319" s="104">
        <v>5.3452251468348928</v>
      </c>
      <c r="DE319" s="103">
        <v>60217.021330000003</v>
      </c>
      <c r="DF319" s="103">
        <v>4.1900000000000004</v>
      </c>
      <c r="DG319" s="103">
        <v>976436.52382999996</v>
      </c>
      <c r="DH319" s="103">
        <v>15.16</v>
      </c>
      <c r="DI319" s="103">
        <f t="shared" si="19"/>
        <v>63.520400000000009</v>
      </c>
      <c r="DJ319" s="103">
        <v>98256.4</v>
      </c>
      <c r="DK319" s="103">
        <v>466687.3</v>
      </c>
      <c r="DL319" s="104">
        <v>0.21054011969042224</v>
      </c>
    </row>
    <row r="320" spans="1:116" s="15" customFormat="1" ht="257.45" customHeight="1" x14ac:dyDescent="0.25">
      <c r="A320" s="100" t="s">
        <v>405</v>
      </c>
      <c r="B320" s="100" t="s">
        <v>2736</v>
      </c>
      <c r="C320" s="100" t="s">
        <v>279</v>
      </c>
      <c r="D320" s="101" t="str">
        <f>"Chemistry 105"</f>
        <v>Chemistry 105</v>
      </c>
      <c r="E320" s="102" t="s">
        <v>2737</v>
      </c>
      <c r="F320" s="100">
        <v>10</v>
      </c>
      <c r="G320" s="100">
        <v>4</v>
      </c>
      <c r="H320" s="100">
        <v>0.4</v>
      </c>
      <c r="I320" s="100">
        <v>15</v>
      </c>
      <c r="J320" s="100">
        <v>5</v>
      </c>
      <c r="K320" s="100">
        <v>5</v>
      </c>
      <c r="L320" s="100">
        <v>4</v>
      </c>
      <c r="M320" s="100">
        <v>2</v>
      </c>
      <c r="N320" s="100">
        <v>4</v>
      </c>
      <c r="O320" s="100">
        <v>1</v>
      </c>
      <c r="P320" s="100">
        <v>1.79</v>
      </c>
      <c r="Q320" s="100">
        <v>41.05</v>
      </c>
      <c r="R320" s="100">
        <v>1</v>
      </c>
      <c r="S320" s="100">
        <v>0</v>
      </c>
      <c r="T320" s="100">
        <v>1</v>
      </c>
      <c r="U320" s="100">
        <v>0</v>
      </c>
      <c r="V320" s="100">
        <v>1</v>
      </c>
      <c r="W320" s="100">
        <v>0</v>
      </c>
      <c r="X320" s="100">
        <v>0</v>
      </c>
      <c r="Y320" s="100">
        <v>0</v>
      </c>
      <c r="Z320" s="100">
        <v>1</v>
      </c>
      <c r="AA320" s="100">
        <v>0</v>
      </c>
      <c r="AB320" s="100">
        <v>1</v>
      </c>
      <c r="AC320" s="100">
        <v>0</v>
      </c>
      <c r="AD320" s="100">
        <v>0</v>
      </c>
      <c r="AE320" s="100">
        <v>0</v>
      </c>
      <c r="AF320" s="100">
        <v>0</v>
      </c>
      <c r="AG320" s="100">
        <v>1</v>
      </c>
      <c r="AH320" s="100">
        <v>0</v>
      </c>
      <c r="AI320" s="100">
        <v>1</v>
      </c>
      <c r="AJ320" s="100">
        <v>0</v>
      </c>
      <c r="AK320" s="100">
        <v>0</v>
      </c>
      <c r="AL320" s="100">
        <v>0</v>
      </c>
      <c r="AM320" s="100">
        <v>0</v>
      </c>
      <c r="AN320" s="100">
        <v>1</v>
      </c>
      <c r="AO320" s="100">
        <v>1</v>
      </c>
      <c r="AP320" s="100">
        <v>0</v>
      </c>
      <c r="AQ320" s="100">
        <v>0</v>
      </c>
      <c r="AR320" s="100">
        <v>0</v>
      </c>
      <c r="AS320" s="100">
        <v>0</v>
      </c>
      <c r="AT320" s="100">
        <v>0</v>
      </c>
      <c r="AU320" s="100">
        <v>1</v>
      </c>
      <c r="AV320" s="100">
        <v>0</v>
      </c>
      <c r="AW320" s="100">
        <v>0</v>
      </c>
      <c r="AX320" s="100">
        <v>0</v>
      </c>
      <c r="AY320" s="100">
        <v>0</v>
      </c>
      <c r="AZ320" s="100">
        <v>0</v>
      </c>
      <c r="BA320" s="100">
        <v>0</v>
      </c>
      <c r="BB320" s="100">
        <v>0</v>
      </c>
      <c r="BC320" s="100">
        <v>0</v>
      </c>
      <c r="BD320" s="100">
        <v>0</v>
      </c>
      <c r="BE320" s="100">
        <v>0</v>
      </c>
      <c r="BF320" s="100">
        <v>0</v>
      </c>
      <c r="BG320" s="100">
        <v>0</v>
      </c>
      <c r="BH320" s="100">
        <v>0</v>
      </c>
      <c r="BI320" s="100">
        <v>0</v>
      </c>
      <c r="BJ320" s="100">
        <v>1</v>
      </c>
      <c r="BK320" s="100">
        <v>0</v>
      </c>
      <c r="BL320" s="100">
        <v>0</v>
      </c>
      <c r="BM320" s="100">
        <v>0</v>
      </c>
      <c r="BN320" s="100">
        <v>0</v>
      </c>
      <c r="BO320" s="100">
        <v>0</v>
      </c>
      <c r="BP320" s="100">
        <v>0</v>
      </c>
      <c r="BQ320" s="100">
        <v>0</v>
      </c>
      <c r="BR320" s="100">
        <v>0</v>
      </c>
      <c r="BS320" s="100">
        <v>0</v>
      </c>
      <c r="BT320" s="100">
        <v>0</v>
      </c>
      <c r="BU320" s="100">
        <v>0</v>
      </c>
      <c r="BV320" s="100">
        <v>1</v>
      </c>
      <c r="BW320" s="100">
        <v>0</v>
      </c>
      <c r="BX320" s="100">
        <v>1</v>
      </c>
      <c r="BY320" s="100">
        <v>0</v>
      </c>
      <c r="BZ320" s="100">
        <v>0</v>
      </c>
      <c r="CA320" s="100">
        <v>0</v>
      </c>
      <c r="CB320" s="100" t="s">
        <v>2090</v>
      </c>
      <c r="CC320" s="100">
        <v>0</v>
      </c>
      <c r="CD320" s="100">
        <v>0</v>
      </c>
      <c r="CE320" s="100">
        <v>0</v>
      </c>
      <c r="CF320" s="100">
        <v>1</v>
      </c>
      <c r="CG320" s="103">
        <v>517369.72035000002</v>
      </c>
      <c r="CH320" s="103">
        <v>29.67</v>
      </c>
      <c r="CI320" s="103">
        <v>3257829.2664399999</v>
      </c>
      <c r="CJ320" s="103">
        <v>41.89</v>
      </c>
      <c r="CK320" s="103">
        <f t="shared" si="16"/>
        <v>1242.8763000000001</v>
      </c>
      <c r="CL320" s="103">
        <v>608584.19999999995</v>
      </c>
      <c r="CM320" s="103">
        <v>100540.2</v>
      </c>
      <c r="CN320" s="104">
        <v>6.0531429219357031</v>
      </c>
      <c r="CO320" s="103">
        <v>473662.94114000001</v>
      </c>
      <c r="CP320" s="103">
        <v>17.309999999999999</v>
      </c>
      <c r="CQ320" s="103">
        <v>2998518.2730200002</v>
      </c>
      <c r="CR320" s="103">
        <v>33.86</v>
      </c>
      <c r="CS320" s="103">
        <f t="shared" si="17"/>
        <v>586.11659999999995</v>
      </c>
      <c r="CT320" s="103">
        <v>505033.5</v>
      </c>
      <c r="CU320" s="103">
        <v>416840.4</v>
      </c>
      <c r="CV320" s="104">
        <v>1.2115752215956035</v>
      </c>
      <c r="CW320" s="103">
        <v>1859547.12843</v>
      </c>
      <c r="CX320" s="103">
        <v>72.260000000000005</v>
      </c>
      <c r="CY320" s="103">
        <v>4793441.6968999999</v>
      </c>
      <c r="CZ320" s="103">
        <v>68.048723354415557</v>
      </c>
      <c r="DA320" s="103">
        <f t="shared" si="18"/>
        <v>4917.2007495900689</v>
      </c>
      <c r="DB320" s="103">
        <v>221998.3</v>
      </c>
      <c r="DC320" s="103">
        <v>704959.2</v>
      </c>
      <c r="DD320" s="104">
        <v>0.31490943021950774</v>
      </c>
      <c r="DE320" s="103">
        <v>1030111.05459</v>
      </c>
      <c r="DF320" s="103">
        <v>41.92</v>
      </c>
      <c r="DG320" s="103">
        <v>4073480.2701099999</v>
      </c>
      <c r="DH320" s="103">
        <v>36.97</v>
      </c>
      <c r="DI320" s="103">
        <f t="shared" si="19"/>
        <v>1549.7824000000001</v>
      </c>
      <c r="DJ320" s="103">
        <v>357742.7</v>
      </c>
      <c r="DK320" s="103">
        <v>196458.1</v>
      </c>
      <c r="DL320" s="104">
        <v>1.8209618234117098</v>
      </c>
    </row>
    <row r="321" spans="1:116" s="15" customFormat="1" ht="177.95" customHeight="1" x14ac:dyDescent="0.25">
      <c r="A321" s="100" t="s">
        <v>406</v>
      </c>
      <c r="B321" s="100" t="s">
        <v>2738</v>
      </c>
      <c r="C321" s="100" t="s">
        <v>279</v>
      </c>
      <c r="D321" s="101" t="str">
        <f>"Chemistry 81"</f>
        <v>Chemistry 81</v>
      </c>
      <c r="E321" s="102" t="s">
        <v>2019</v>
      </c>
      <c r="F321" s="100">
        <v>11</v>
      </c>
      <c r="G321" s="100">
        <v>5</v>
      </c>
      <c r="H321" s="100">
        <v>0.45</v>
      </c>
      <c r="I321" s="100">
        <v>13</v>
      </c>
      <c r="J321" s="100">
        <v>2</v>
      </c>
      <c r="K321" s="100">
        <v>2</v>
      </c>
      <c r="L321" s="100">
        <v>2</v>
      </c>
      <c r="M321" s="100">
        <v>1</v>
      </c>
      <c r="N321" s="100">
        <v>2</v>
      </c>
      <c r="O321" s="100">
        <v>1</v>
      </c>
      <c r="P321" s="100">
        <v>1.71</v>
      </c>
      <c r="Q321" s="100">
        <v>15.27</v>
      </c>
      <c r="R321" s="100">
        <v>1</v>
      </c>
      <c r="S321" s="100">
        <v>0</v>
      </c>
      <c r="T321" s="100">
        <v>0</v>
      </c>
      <c r="U321" s="100">
        <v>1</v>
      </c>
      <c r="V321" s="100">
        <v>0</v>
      </c>
      <c r="W321" s="100">
        <v>1</v>
      </c>
      <c r="X321" s="100">
        <v>0</v>
      </c>
      <c r="Y321" s="100">
        <v>0</v>
      </c>
      <c r="Z321" s="100">
        <v>1</v>
      </c>
      <c r="AA321" s="100">
        <v>0</v>
      </c>
      <c r="AB321" s="100">
        <v>0</v>
      </c>
      <c r="AC321" s="100">
        <v>1</v>
      </c>
      <c r="AD321" s="100">
        <v>0</v>
      </c>
      <c r="AE321" s="100">
        <v>0</v>
      </c>
      <c r="AF321" s="100">
        <v>1</v>
      </c>
      <c r="AG321" s="100">
        <v>0</v>
      </c>
      <c r="AH321" s="100">
        <v>1</v>
      </c>
      <c r="AI321" s="100">
        <v>0</v>
      </c>
      <c r="AJ321" s="100">
        <v>0</v>
      </c>
      <c r="AK321" s="100">
        <v>1</v>
      </c>
      <c r="AL321" s="100">
        <v>0</v>
      </c>
      <c r="AM321" s="100">
        <v>1</v>
      </c>
      <c r="AN321" s="100">
        <v>0</v>
      </c>
      <c r="AO321" s="100">
        <v>0</v>
      </c>
      <c r="AP321" s="100">
        <v>0</v>
      </c>
      <c r="AQ321" s="100">
        <v>0</v>
      </c>
      <c r="AR321" s="100">
        <v>0</v>
      </c>
      <c r="AS321" s="100">
        <v>0</v>
      </c>
      <c r="AT321" s="100">
        <v>0</v>
      </c>
      <c r="AU321" s="100">
        <v>0</v>
      </c>
      <c r="AV321" s="100">
        <v>0</v>
      </c>
      <c r="AW321" s="100">
        <v>0</v>
      </c>
      <c r="AX321" s="100">
        <v>0</v>
      </c>
      <c r="AY321" s="100">
        <v>0</v>
      </c>
      <c r="AZ321" s="100">
        <v>0</v>
      </c>
      <c r="BA321" s="100">
        <v>0</v>
      </c>
      <c r="BB321" s="100">
        <v>0</v>
      </c>
      <c r="BC321" s="100">
        <v>0</v>
      </c>
      <c r="BD321" s="100">
        <v>0</v>
      </c>
      <c r="BE321" s="100">
        <v>0</v>
      </c>
      <c r="BF321" s="100">
        <v>0</v>
      </c>
      <c r="BG321" s="100">
        <v>0</v>
      </c>
      <c r="BH321" s="100">
        <v>1</v>
      </c>
      <c r="BI321" s="100">
        <v>0</v>
      </c>
      <c r="BJ321" s="100">
        <v>1</v>
      </c>
      <c r="BK321" s="100">
        <v>0</v>
      </c>
      <c r="BL321" s="100">
        <v>0</v>
      </c>
      <c r="BM321" s="100">
        <v>0</v>
      </c>
      <c r="BN321" s="100">
        <v>0</v>
      </c>
      <c r="BO321" s="100">
        <v>0</v>
      </c>
      <c r="BP321" s="100">
        <v>0</v>
      </c>
      <c r="BQ321" s="100">
        <v>0</v>
      </c>
      <c r="BR321" s="100">
        <v>0</v>
      </c>
      <c r="BS321" s="100">
        <v>0</v>
      </c>
      <c r="BT321" s="100">
        <v>0</v>
      </c>
      <c r="BU321" s="100">
        <v>0</v>
      </c>
      <c r="BV321" s="100">
        <v>0</v>
      </c>
      <c r="BW321" s="100">
        <v>0</v>
      </c>
      <c r="BX321" s="100">
        <v>1</v>
      </c>
      <c r="BY321" s="100">
        <v>0</v>
      </c>
      <c r="BZ321" s="100">
        <v>0</v>
      </c>
      <c r="CA321" s="100">
        <v>0</v>
      </c>
      <c r="CB321" s="100" t="s">
        <v>2090</v>
      </c>
      <c r="CC321" s="100">
        <v>1</v>
      </c>
      <c r="CD321" s="100">
        <v>0</v>
      </c>
      <c r="CE321" s="100">
        <v>0</v>
      </c>
      <c r="CF321" s="100">
        <v>0</v>
      </c>
      <c r="CG321" s="103">
        <v>87386.023669999995</v>
      </c>
      <c r="CH321" s="103">
        <v>8.42</v>
      </c>
      <c r="CI321" s="103">
        <v>2020279.5252700001</v>
      </c>
      <c r="CJ321" s="103">
        <v>23.85</v>
      </c>
      <c r="CK321" s="103">
        <f t="shared" si="16"/>
        <v>200.81700000000001</v>
      </c>
      <c r="CL321" s="103">
        <v>289932</v>
      </c>
      <c r="CM321" s="103">
        <v>736364</v>
      </c>
      <c r="CN321" s="104">
        <v>0.39373462037796525</v>
      </c>
      <c r="CO321" s="103">
        <v>0</v>
      </c>
      <c r="CP321" s="103">
        <v>0</v>
      </c>
      <c r="CQ321" s="103">
        <v>24080.537049999999</v>
      </c>
      <c r="CR321" s="103">
        <v>0</v>
      </c>
      <c r="CS321" s="103">
        <f t="shared" si="17"/>
        <v>0</v>
      </c>
      <c r="CT321" s="103">
        <v>7380.3</v>
      </c>
      <c r="CU321" s="103">
        <v>608655.69999999995</v>
      </c>
      <c r="CV321" s="104">
        <v>1.2125574442168208E-2</v>
      </c>
      <c r="CW321" s="103">
        <v>131198.11425000001</v>
      </c>
      <c r="CX321" s="103">
        <v>10.199999999999999</v>
      </c>
      <c r="CY321" s="103">
        <v>2580558.4880599999</v>
      </c>
      <c r="CZ321" s="103">
        <v>43.451198516752747</v>
      </c>
      <c r="DA321" s="103">
        <f t="shared" si="18"/>
        <v>443.20222487087801</v>
      </c>
      <c r="DB321" s="103">
        <v>714149.1</v>
      </c>
      <c r="DC321" s="103">
        <v>915593.1</v>
      </c>
      <c r="DD321" s="104">
        <v>0.77998523579961443</v>
      </c>
      <c r="DE321" s="103">
        <v>20554.23689</v>
      </c>
      <c r="DF321" s="103">
        <v>1.3</v>
      </c>
      <c r="DG321" s="103">
        <v>37776.929389999998</v>
      </c>
      <c r="DH321" s="103">
        <v>0</v>
      </c>
      <c r="DI321" s="103">
        <f t="shared" si="19"/>
        <v>0</v>
      </c>
      <c r="DJ321" s="103">
        <v>11347.5</v>
      </c>
      <c r="DK321" s="103">
        <v>707838.4</v>
      </c>
      <c r="DL321" s="104">
        <v>1.6031201471974392E-2</v>
      </c>
    </row>
    <row r="322" spans="1:116" s="15" customFormat="1" ht="265.7" customHeight="1" x14ac:dyDescent="0.25">
      <c r="A322" s="100" t="s">
        <v>407</v>
      </c>
      <c r="B322" s="100" t="s">
        <v>2739</v>
      </c>
      <c r="C322" s="100" t="s">
        <v>279</v>
      </c>
      <c r="D322" s="101" t="str">
        <f>"Chemistry 185"</f>
        <v>Chemistry 185</v>
      </c>
      <c r="E322" s="102" t="s">
        <v>2740</v>
      </c>
      <c r="F322" s="100">
        <v>14</v>
      </c>
      <c r="G322" s="100">
        <v>7</v>
      </c>
      <c r="H322" s="100">
        <v>0.5</v>
      </c>
      <c r="I322" s="100">
        <v>18</v>
      </c>
      <c r="J322" s="100">
        <v>4</v>
      </c>
      <c r="K322" s="100">
        <v>4</v>
      </c>
      <c r="L322" s="100">
        <v>3</v>
      </c>
      <c r="M322" s="100">
        <v>1</v>
      </c>
      <c r="N322" s="100">
        <v>3</v>
      </c>
      <c r="O322" s="100">
        <v>2</v>
      </c>
      <c r="P322" s="100">
        <v>1.1299999999999999</v>
      </c>
      <c r="Q322" s="100">
        <v>44.37</v>
      </c>
      <c r="R322" s="100">
        <v>5</v>
      </c>
      <c r="S322" s="100">
        <v>0</v>
      </c>
      <c r="T322" s="100">
        <v>1</v>
      </c>
      <c r="U322" s="100">
        <v>0</v>
      </c>
      <c r="V322" s="100">
        <v>0</v>
      </c>
      <c r="W322" s="100">
        <v>1</v>
      </c>
      <c r="X322" s="100">
        <v>0</v>
      </c>
      <c r="Y322" s="100">
        <v>1</v>
      </c>
      <c r="Z322" s="100">
        <v>0</v>
      </c>
      <c r="AA322" s="100">
        <v>0</v>
      </c>
      <c r="AB322" s="100">
        <v>0</v>
      </c>
      <c r="AC322" s="100">
        <v>1</v>
      </c>
      <c r="AD322" s="100">
        <v>0</v>
      </c>
      <c r="AE322" s="100">
        <v>0</v>
      </c>
      <c r="AF322" s="100">
        <v>1</v>
      </c>
      <c r="AG322" s="100">
        <v>0</v>
      </c>
      <c r="AH322" s="100">
        <v>0</v>
      </c>
      <c r="AI322" s="100">
        <v>1</v>
      </c>
      <c r="AJ322" s="100">
        <v>0</v>
      </c>
      <c r="AK322" s="100">
        <v>0</v>
      </c>
      <c r="AL322" s="100">
        <v>0</v>
      </c>
      <c r="AM322" s="100">
        <v>0</v>
      </c>
      <c r="AN322" s="100">
        <v>0</v>
      </c>
      <c r="AO322" s="100">
        <v>0</v>
      </c>
      <c r="AP322" s="100">
        <v>0</v>
      </c>
      <c r="AQ322" s="100">
        <v>0</v>
      </c>
      <c r="AR322" s="100">
        <v>0</v>
      </c>
      <c r="AS322" s="100">
        <v>0</v>
      </c>
      <c r="AT322" s="100">
        <v>1</v>
      </c>
      <c r="AU322" s="100">
        <v>0</v>
      </c>
      <c r="AV322" s="100">
        <v>0</v>
      </c>
      <c r="AW322" s="100">
        <v>0</v>
      </c>
      <c r="AX322" s="100">
        <v>0</v>
      </c>
      <c r="AY322" s="100">
        <v>0</v>
      </c>
      <c r="AZ322" s="100">
        <v>0</v>
      </c>
      <c r="BA322" s="100">
        <v>0</v>
      </c>
      <c r="BB322" s="100">
        <v>0</v>
      </c>
      <c r="BC322" s="100">
        <v>0</v>
      </c>
      <c r="BD322" s="100">
        <v>0</v>
      </c>
      <c r="BE322" s="100">
        <v>0</v>
      </c>
      <c r="BF322" s="100">
        <v>0</v>
      </c>
      <c r="BG322" s="100">
        <v>0</v>
      </c>
      <c r="BH322" s="100">
        <v>1</v>
      </c>
      <c r="BI322" s="100">
        <v>0</v>
      </c>
      <c r="BJ322" s="100">
        <v>2</v>
      </c>
      <c r="BK322" s="100">
        <v>0</v>
      </c>
      <c r="BL322" s="100">
        <v>1</v>
      </c>
      <c r="BM322" s="100">
        <v>0</v>
      </c>
      <c r="BN322" s="100">
        <v>0</v>
      </c>
      <c r="BO322" s="100">
        <v>0</v>
      </c>
      <c r="BP322" s="100">
        <v>0</v>
      </c>
      <c r="BQ322" s="100">
        <v>0</v>
      </c>
      <c r="BR322" s="100">
        <v>0</v>
      </c>
      <c r="BS322" s="100">
        <v>0</v>
      </c>
      <c r="BT322" s="100">
        <v>0</v>
      </c>
      <c r="BU322" s="100">
        <v>0</v>
      </c>
      <c r="BV322" s="100">
        <v>0</v>
      </c>
      <c r="BW322" s="100">
        <v>0</v>
      </c>
      <c r="BX322" s="100">
        <v>1</v>
      </c>
      <c r="BY322" s="100">
        <v>0</v>
      </c>
      <c r="BZ322" s="100">
        <v>0</v>
      </c>
      <c r="CA322" s="100">
        <v>0</v>
      </c>
      <c r="CB322" s="100" t="s">
        <v>2090</v>
      </c>
      <c r="CC322" s="100">
        <v>1</v>
      </c>
      <c r="CD322" s="100">
        <v>0</v>
      </c>
      <c r="CE322" s="100">
        <v>0</v>
      </c>
      <c r="CF322" s="100">
        <v>0</v>
      </c>
      <c r="CG322" s="103">
        <v>348095.35450999998</v>
      </c>
      <c r="CH322" s="103">
        <v>23.37</v>
      </c>
      <c r="CI322" s="103">
        <v>3258661.8458599998</v>
      </c>
      <c r="CJ322" s="103">
        <v>26</v>
      </c>
      <c r="CK322" s="103">
        <f t="shared" si="16"/>
        <v>607.62</v>
      </c>
      <c r="CL322" s="103">
        <v>35585.699999999997</v>
      </c>
      <c r="CM322" s="103">
        <v>609567.9</v>
      </c>
      <c r="CN322" s="104">
        <v>5.8378566194184432E-2</v>
      </c>
      <c r="CO322" s="103">
        <v>0</v>
      </c>
      <c r="CP322" s="103">
        <v>0</v>
      </c>
      <c r="CQ322" s="103">
        <v>754768.00037000002</v>
      </c>
      <c r="CR322" s="103">
        <v>8.3800000000000008</v>
      </c>
      <c r="CS322" s="103">
        <f t="shared" si="17"/>
        <v>0</v>
      </c>
      <c r="CT322" s="103">
        <v>13756.6</v>
      </c>
      <c r="CU322" s="103">
        <v>67521.100000000006</v>
      </c>
      <c r="CV322" s="104">
        <v>0.20373779455607208</v>
      </c>
      <c r="CW322" s="103">
        <v>948645.87690000003</v>
      </c>
      <c r="CX322" s="103">
        <v>62.46</v>
      </c>
      <c r="CY322" s="103">
        <v>4340151.8198899999</v>
      </c>
      <c r="CZ322" s="103">
        <v>56.256995746586071</v>
      </c>
      <c r="DA322" s="103">
        <f t="shared" si="18"/>
        <v>3513.8119543317662</v>
      </c>
      <c r="DB322" s="103">
        <v>517501.9</v>
      </c>
      <c r="DC322" s="103">
        <v>310369.40000000002</v>
      </c>
      <c r="DD322" s="104">
        <v>1.667374103246003</v>
      </c>
      <c r="DE322" s="103">
        <v>23192.089199999999</v>
      </c>
      <c r="DF322" s="103">
        <v>1.49</v>
      </c>
      <c r="DG322" s="103">
        <v>528074.25982000004</v>
      </c>
      <c r="DH322" s="103">
        <v>7.37</v>
      </c>
      <c r="DI322" s="103">
        <f t="shared" si="19"/>
        <v>10.981300000000001</v>
      </c>
      <c r="DJ322" s="103">
        <v>28366.1</v>
      </c>
      <c r="DK322" s="103">
        <v>388496.3</v>
      </c>
      <c r="DL322" s="104">
        <v>7.3015109796412472E-2</v>
      </c>
    </row>
    <row r="323" spans="1:116" s="15" customFormat="1" ht="186.2" customHeight="1" x14ac:dyDescent="0.25">
      <c r="A323" s="100" t="s">
        <v>408</v>
      </c>
      <c r="B323" s="100" t="s">
        <v>2741</v>
      </c>
      <c r="C323" s="100" t="s">
        <v>279</v>
      </c>
      <c r="D323" s="101" t="str">
        <f>"Chemistry 161"</f>
        <v>Chemistry 161</v>
      </c>
      <c r="E323" s="102" t="s">
        <v>2742</v>
      </c>
      <c r="F323" s="100">
        <v>13</v>
      </c>
      <c r="G323" s="100">
        <v>6</v>
      </c>
      <c r="H323" s="100">
        <v>0.46</v>
      </c>
      <c r="I323" s="100">
        <v>17</v>
      </c>
      <c r="J323" s="100">
        <v>4</v>
      </c>
      <c r="K323" s="100">
        <v>4</v>
      </c>
      <c r="L323" s="100">
        <v>2</v>
      </c>
      <c r="M323" s="100">
        <v>1</v>
      </c>
      <c r="N323" s="100">
        <v>3</v>
      </c>
      <c r="O323" s="100">
        <v>2</v>
      </c>
      <c r="P323" s="100">
        <v>2</v>
      </c>
      <c r="Q323" s="100">
        <v>50.36</v>
      </c>
      <c r="R323" s="100">
        <v>4</v>
      </c>
      <c r="S323" s="100">
        <v>0</v>
      </c>
      <c r="T323" s="100">
        <v>1</v>
      </c>
      <c r="U323" s="100">
        <v>0</v>
      </c>
      <c r="V323" s="100">
        <v>0</v>
      </c>
      <c r="W323" s="100">
        <v>1</v>
      </c>
      <c r="X323" s="100">
        <v>0</v>
      </c>
      <c r="Y323" s="100">
        <v>1</v>
      </c>
      <c r="Z323" s="100">
        <v>0</v>
      </c>
      <c r="AA323" s="100">
        <v>0</v>
      </c>
      <c r="AB323" s="100">
        <v>0</v>
      </c>
      <c r="AC323" s="100">
        <v>1</v>
      </c>
      <c r="AD323" s="100">
        <v>0</v>
      </c>
      <c r="AE323" s="100">
        <v>0</v>
      </c>
      <c r="AF323" s="100">
        <v>0</v>
      </c>
      <c r="AG323" s="100">
        <v>1</v>
      </c>
      <c r="AH323" s="100">
        <v>0</v>
      </c>
      <c r="AI323" s="100">
        <v>0</v>
      </c>
      <c r="AJ323" s="100">
        <v>1</v>
      </c>
      <c r="AK323" s="100">
        <v>0</v>
      </c>
      <c r="AL323" s="100">
        <v>0</v>
      </c>
      <c r="AM323" s="100">
        <v>0</v>
      </c>
      <c r="AN323" s="100">
        <v>0</v>
      </c>
      <c r="AO323" s="100">
        <v>0</v>
      </c>
      <c r="AP323" s="100">
        <v>0</v>
      </c>
      <c r="AQ323" s="100">
        <v>0</v>
      </c>
      <c r="AR323" s="100">
        <v>0</v>
      </c>
      <c r="AS323" s="100">
        <v>0</v>
      </c>
      <c r="AT323" s="100">
        <v>0</v>
      </c>
      <c r="AU323" s="100">
        <v>0</v>
      </c>
      <c r="AV323" s="100">
        <v>1</v>
      </c>
      <c r="AW323" s="100">
        <v>0</v>
      </c>
      <c r="AX323" s="100">
        <v>0</v>
      </c>
      <c r="AY323" s="100">
        <v>0</v>
      </c>
      <c r="AZ323" s="100">
        <v>0</v>
      </c>
      <c r="BA323" s="100">
        <v>0</v>
      </c>
      <c r="BB323" s="100">
        <v>0</v>
      </c>
      <c r="BC323" s="100">
        <v>0</v>
      </c>
      <c r="BD323" s="100">
        <v>0</v>
      </c>
      <c r="BE323" s="100">
        <v>0</v>
      </c>
      <c r="BF323" s="100">
        <v>0</v>
      </c>
      <c r="BG323" s="100">
        <v>0</v>
      </c>
      <c r="BH323" s="100">
        <v>0</v>
      </c>
      <c r="BI323" s="100">
        <v>0</v>
      </c>
      <c r="BJ323" s="100">
        <v>1</v>
      </c>
      <c r="BK323" s="100">
        <v>0</v>
      </c>
      <c r="BL323" s="100">
        <v>0</v>
      </c>
      <c r="BM323" s="100">
        <v>0</v>
      </c>
      <c r="BN323" s="100">
        <v>0</v>
      </c>
      <c r="BO323" s="100">
        <v>0</v>
      </c>
      <c r="BP323" s="100">
        <v>0</v>
      </c>
      <c r="BQ323" s="100">
        <v>0</v>
      </c>
      <c r="BR323" s="100">
        <v>0</v>
      </c>
      <c r="BS323" s="100">
        <v>0</v>
      </c>
      <c r="BT323" s="100">
        <v>0</v>
      </c>
      <c r="BU323" s="100">
        <v>0</v>
      </c>
      <c r="BV323" s="100">
        <v>0</v>
      </c>
      <c r="BW323" s="100">
        <v>1</v>
      </c>
      <c r="BX323" s="100">
        <v>0</v>
      </c>
      <c r="BY323" s="100">
        <v>0</v>
      </c>
      <c r="BZ323" s="100">
        <v>1</v>
      </c>
      <c r="CA323" s="100">
        <v>0</v>
      </c>
      <c r="CB323" s="100" t="s">
        <v>2090</v>
      </c>
      <c r="CC323" s="100">
        <v>0</v>
      </c>
      <c r="CD323" s="100">
        <v>0</v>
      </c>
      <c r="CE323" s="100">
        <v>0</v>
      </c>
      <c r="CF323" s="100">
        <v>0</v>
      </c>
      <c r="CG323" s="103">
        <v>297464.82740000001</v>
      </c>
      <c r="CH323" s="103">
        <v>18.25</v>
      </c>
      <c r="CI323" s="103">
        <v>3351130.39023</v>
      </c>
      <c r="CJ323" s="103">
        <v>43.52</v>
      </c>
      <c r="CK323" s="103">
        <f t="shared" ref="CK323:CK385" si="20">CJ323*CH323</f>
        <v>794.24</v>
      </c>
      <c r="CL323" s="103">
        <v>399514.5</v>
      </c>
      <c r="CM323" s="103">
        <v>459441.8</v>
      </c>
      <c r="CN323" s="104">
        <v>0.86956498080932121</v>
      </c>
      <c r="CO323" s="103">
        <v>456988.71818999999</v>
      </c>
      <c r="CP323" s="103">
        <v>27.97</v>
      </c>
      <c r="CQ323" s="103">
        <v>3865816.9987300001</v>
      </c>
      <c r="CR323" s="103">
        <v>27.56</v>
      </c>
      <c r="CS323" s="103">
        <f t="shared" ref="CS323:CS385" si="21">CR323*CP323</f>
        <v>770.8531999999999</v>
      </c>
      <c r="CT323" s="103">
        <v>602903.5</v>
      </c>
      <c r="CU323" s="103">
        <v>425340.4</v>
      </c>
      <c r="CV323" s="104">
        <v>1.4174611675730779</v>
      </c>
      <c r="CW323" s="103">
        <v>1204022.97074</v>
      </c>
      <c r="CX323" s="103">
        <v>65.84</v>
      </c>
      <c r="CY323" s="103">
        <v>4674188.7955499999</v>
      </c>
      <c r="CZ323" s="103">
        <v>58.912248628884832</v>
      </c>
      <c r="DA323" s="103">
        <f t="shared" ref="DA323:DA385" si="22">CZ323*CX323</f>
        <v>3878.7824497257775</v>
      </c>
      <c r="DB323" s="103">
        <v>726442</v>
      </c>
      <c r="DC323" s="103">
        <v>416854.6</v>
      </c>
      <c r="DD323" s="104">
        <v>1.7426747839654404</v>
      </c>
      <c r="DE323" s="103">
        <v>551871.51277000003</v>
      </c>
      <c r="DF323" s="103">
        <v>30.43</v>
      </c>
      <c r="DG323" s="103">
        <v>3376932.2116299998</v>
      </c>
      <c r="DH323" s="103">
        <v>24.76</v>
      </c>
      <c r="DI323" s="103">
        <f t="shared" ref="DI323:DI385" si="23">DH323*DF323</f>
        <v>753.44680000000005</v>
      </c>
      <c r="DJ323" s="103">
        <v>430351.2</v>
      </c>
      <c r="DK323" s="103">
        <v>515044</v>
      </c>
      <c r="DL323" s="104">
        <v>0.83556201023601873</v>
      </c>
    </row>
    <row r="324" spans="1:116" s="15" customFormat="1" ht="219.2" customHeight="1" x14ac:dyDescent="0.25">
      <c r="A324" s="100" t="s">
        <v>409</v>
      </c>
      <c r="B324" s="100" t="s">
        <v>2743</v>
      </c>
      <c r="C324" s="100" t="s">
        <v>279</v>
      </c>
      <c r="D324" s="101" t="str">
        <f>"Chemistry 78"</f>
        <v>Chemistry 78</v>
      </c>
      <c r="E324" s="102" t="s">
        <v>1144</v>
      </c>
      <c r="F324" s="100">
        <v>10</v>
      </c>
      <c r="G324" s="100">
        <v>10</v>
      </c>
      <c r="H324" s="100">
        <v>1</v>
      </c>
      <c r="I324" s="100">
        <v>12</v>
      </c>
      <c r="J324" s="100">
        <v>2</v>
      </c>
      <c r="K324" s="100">
        <v>2</v>
      </c>
      <c r="L324" s="100">
        <v>2</v>
      </c>
      <c r="M324" s="100">
        <v>0</v>
      </c>
      <c r="N324" s="100">
        <v>2</v>
      </c>
      <c r="O324" s="100">
        <v>1</v>
      </c>
      <c r="P324" s="100">
        <v>1.45</v>
      </c>
      <c r="Q324" s="100">
        <v>15.27</v>
      </c>
      <c r="R324" s="100">
        <v>2</v>
      </c>
      <c r="S324" s="100">
        <v>0</v>
      </c>
      <c r="T324" s="100">
        <v>0</v>
      </c>
      <c r="U324" s="100">
        <v>1</v>
      </c>
      <c r="V324" s="100">
        <v>0</v>
      </c>
      <c r="W324" s="100">
        <v>1</v>
      </c>
      <c r="X324" s="100">
        <v>0</v>
      </c>
      <c r="Y324" s="100">
        <v>0</v>
      </c>
      <c r="Z324" s="100">
        <v>1</v>
      </c>
      <c r="AA324" s="100">
        <v>0</v>
      </c>
      <c r="AB324" s="100">
        <v>0</v>
      </c>
      <c r="AC324" s="100">
        <v>1</v>
      </c>
      <c r="AD324" s="100">
        <v>0</v>
      </c>
      <c r="AE324" s="100">
        <v>0</v>
      </c>
      <c r="AF324" s="100">
        <v>1</v>
      </c>
      <c r="AG324" s="100">
        <v>0</v>
      </c>
      <c r="AH324" s="100">
        <v>1</v>
      </c>
      <c r="AI324" s="100">
        <v>0</v>
      </c>
      <c r="AJ324" s="100">
        <v>0</v>
      </c>
      <c r="AK324" s="100">
        <v>1</v>
      </c>
      <c r="AL324" s="100">
        <v>1</v>
      </c>
      <c r="AM324" s="100">
        <v>0</v>
      </c>
      <c r="AN324" s="100">
        <v>0</v>
      </c>
      <c r="AO324" s="100">
        <v>0</v>
      </c>
      <c r="AP324" s="100">
        <v>0</v>
      </c>
      <c r="AQ324" s="100">
        <v>0</v>
      </c>
      <c r="AR324" s="100">
        <v>0</v>
      </c>
      <c r="AS324" s="100">
        <v>0</v>
      </c>
      <c r="AT324" s="100">
        <v>0</v>
      </c>
      <c r="AU324" s="100">
        <v>0</v>
      </c>
      <c r="AV324" s="100">
        <v>0</v>
      </c>
      <c r="AW324" s="100">
        <v>0</v>
      </c>
      <c r="AX324" s="100">
        <v>0</v>
      </c>
      <c r="AY324" s="100">
        <v>0</v>
      </c>
      <c r="AZ324" s="100">
        <v>0</v>
      </c>
      <c r="BA324" s="100">
        <v>0</v>
      </c>
      <c r="BB324" s="100">
        <v>0</v>
      </c>
      <c r="BC324" s="100">
        <v>0</v>
      </c>
      <c r="BD324" s="100">
        <v>0</v>
      </c>
      <c r="BE324" s="100">
        <v>0</v>
      </c>
      <c r="BF324" s="100">
        <v>0</v>
      </c>
      <c r="BG324" s="100">
        <v>0</v>
      </c>
      <c r="BH324" s="100">
        <v>1</v>
      </c>
      <c r="BI324" s="100">
        <v>0</v>
      </c>
      <c r="BJ324" s="100">
        <v>1</v>
      </c>
      <c r="BK324" s="100">
        <v>0</v>
      </c>
      <c r="BL324" s="100">
        <v>0</v>
      </c>
      <c r="BM324" s="100">
        <v>0</v>
      </c>
      <c r="BN324" s="100">
        <v>0</v>
      </c>
      <c r="BO324" s="100">
        <v>0</v>
      </c>
      <c r="BP324" s="100">
        <v>0</v>
      </c>
      <c r="BQ324" s="100">
        <v>0</v>
      </c>
      <c r="BR324" s="100">
        <v>0</v>
      </c>
      <c r="BS324" s="100">
        <v>0</v>
      </c>
      <c r="BT324" s="100">
        <v>0</v>
      </c>
      <c r="BU324" s="100">
        <v>0</v>
      </c>
      <c r="BV324" s="100">
        <v>0</v>
      </c>
      <c r="BW324" s="100">
        <v>1</v>
      </c>
      <c r="BX324" s="100">
        <v>0</v>
      </c>
      <c r="BY324" s="100">
        <v>0</v>
      </c>
      <c r="BZ324" s="100">
        <v>0</v>
      </c>
      <c r="CA324" s="100">
        <v>0</v>
      </c>
      <c r="CB324" s="100" t="s">
        <v>2090</v>
      </c>
      <c r="CC324" s="100">
        <v>0</v>
      </c>
      <c r="CD324" s="100">
        <v>0</v>
      </c>
      <c r="CE324" s="100">
        <v>0</v>
      </c>
      <c r="CF324" s="100">
        <v>0</v>
      </c>
      <c r="CG324" s="103">
        <v>8254.0871800000004</v>
      </c>
      <c r="CH324" s="103">
        <v>0.55000000000000004</v>
      </c>
      <c r="CI324" s="103">
        <v>373991.86699000001</v>
      </c>
      <c r="CJ324" s="103">
        <v>5.46</v>
      </c>
      <c r="CK324" s="103">
        <f t="shared" si="20"/>
        <v>3.0030000000000001</v>
      </c>
      <c r="CL324" s="103">
        <v>5018.3</v>
      </c>
      <c r="CM324" s="103">
        <v>212316.4</v>
      </c>
      <c r="CN324" s="104">
        <v>2.3635950873319257E-2</v>
      </c>
      <c r="CO324" s="103">
        <v>75292.642420000004</v>
      </c>
      <c r="CP324" s="103">
        <v>5.0199999999999996</v>
      </c>
      <c r="CQ324" s="103">
        <v>639789.72696</v>
      </c>
      <c r="CR324" s="103">
        <v>6.54</v>
      </c>
      <c r="CS324" s="103">
        <f t="shared" si="21"/>
        <v>32.830799999999996</v>
      </c>
      <c r="CT324" s="103">
        <v>966.9</v>
      </c>
      <c r="CU324" s="103">
        <v>41492.400000000001</v>
      </c>
      <c r="CV324" s="104">
        <v>2.330306272956011E-2</v>
      </c>
      <c r="CW324" s="103">
        <v>0</v>
      </c>
      <c r="CX324" s="103">
        <v>0</v>
      </c>
      <c r="CY324" s="103">
        <v>119444.67468</v>
      </c>
      <c r="CZ324" s="103">
        <v>4.121388815266366</v>
      </c>
      <c r="DA324" s="103">
        <f t="shared" si="22"/>
        <v>0</v>
      </c>
      <c r="DB324" s="103">
        <v>8214.2999999999993</v>
      </c>
      <c r="DC324" s="103">
        <v>545887.80000000005</v>
      </c>
      <c r="DD324" s="104">
        <v>1.5047597693152327E-2</v>
      </c>
      <c r="DE324" s="103">
        <v>0</v>
      </c>
      <c r="DF324" s="103">
        <v>0</v>
      </c>
      <c r="DG324" s="103">
        <v>0</v>
      </c>
      <c r="DH324" s="103">
        <v>0</v>
      </c>
      <c r="DI324" s="103">
        <f t="shared" si="23"/>
        <v>0</v>
      </c>
      <c r="DJ324" s="103">
        <v>0</v>
      </c>
      <c r="DK324" s="103">
        <v>9653.7000000000007</v>
      </c>
      <c r="DL324" s="104">
        <v>0</v>
      </c>
    </row>
    <row r="325" spans="1:116" s="15" customFormat="1" ht="222.95" customHeight="1" x14ac:dyDescent="0.25">
      <c r="A325" s="100" t="s">
        <v>410</v>
      </c>
      <c r="B325" s="100" t="s">
        <v>2744</v>
      </c>
      <c r="C325" s="100" t="s">
        <v>279</v>
      </c>
      <c r="D325" s="101" t="str">
        <f>"Chemistry 53"</f>
        <v>Chemistry 53</v>
      </c>
      <c r="E325" s="102" t="s">
        <v>1984</v>
      </c>
      <c r="F325" s="100">
        <v>13</v>
      </c>
      <c r="G325" s="100">
        <v>12</v>
      </c>
      <c r="H325" s="100">
        <v>0.92</v>
      </c>
      <c r="I325" s="100">
        <v>17</v>
      </c>
      <c r="J325" s="100">
        <v>4</v>
      </c>
      <c r="K325" s="100">
        <v>4</v>
      </c>
      <c r="L325" s="100">
        <v>2</v>
      </c>
      <c r="M325" s="100">
        <v>0</v>
      </c>
      <c r="N325" s="100">
        <v>3</v>
      </c>
      <c r="O325" s="100">
        <v>1</v>
      </c>
      <c r="P325" s="100">
        <v>3.54</v>
      </c>
      <c r="Q325" s="100">
        <v>41.57</v>
      </c>
      <c r="R325" s="100">
        <v>4</v>
      </c>
      <c r="S325" s="100">
        <v>0</v>
      </c>
      <c r="T325" s="100">
        <v>1</v>
      </c>
      <c r="U325" s="100">
        <v>0</v>
      </c>
      <c r="V325" s="100">
        <v>0</v>
      </c>
      <c r="W325" s="100">
        <v>1</v>
      </c>
      <c r="X325" s="100">
        <v>0</v>
      </c>
      <c r="Y325" s="100">
        <v>0</v>
      </c>
      <c r="Z325" s="100">
        <v>1</v>
      </c>
      <c r="AA325" s="100">
        <v>0</v>
      </c>
      <c r="AB325" s="100">
        <v>0</v>
      </c>
      <c r="AC325" s="100">
        <v>1</v>
      </c>
      <c r="AD325" s="100">
        <v>0</v>
      </c>
      <c r="AE325" s="100">
        <v>0</v>
      </c>
      <c r="AF325" s="100">
        <v>0</v>
      </c>
      <c r="AG325" s="100">
        <v>1</v>
      </c>
      <c r="AH325" s="100">
        <v>0</v>
      </c>
      <c r="AI325" s="100">
        <v>1</v>
      </c>
      <c r="AJ325" s="100">
        <v>0</v>
      </c>
      <c r="AK325" s="100">
        <v>0</v>
      </c>
      <c r="AL325" s="100">
        <v>0</v>
      </c>
      <c r="AM325" s="100">
        <v>0</v>
      </c>
      <c r="AN325" s="100">
        <v>0</v>
      </c>
      <c r="AO325" s="100">
        <v>0</v>
      </c>
      <c r="AP325" s="100">
        <v>0</v>
      </c>
      <c r="AQ325" s="100">
        <v>0</v>
      </c>
      <c r="AR325" s="100">
        <v>0</v>
      </c>
      <c r="AS325" s="100">
        <v>0</v>
      </c>
      <c r="AT325" s="100">
        <v>0</v>
      </c>
      <c r="AU325" s="100">
        <v>0</v>
      </c>
      <c r="AV325" s="100">
        <v>1</v>
      </c>
      <c r="AW325" s="100">
        <v>0</v>
      </c>
      <c r="AX325" s="100">
        <v>0</v>
      </c>
      <c r="AY325" s="100">
        <v>0</v>
      </c>
      <c r="AZ325" s="100">
        <v>0</v>
      </c>
      <c r="BA325" s="100">
        <v>0</v>
      </c>
      <c r="BB325" s="100">
        <v>0</v>
      </c>
      <c r="BC325" s="100">
        <v>0</v>
      </c>
      <c r="BD325" s="100">
        <v>0</v>
      </c>
      <c r="BE325" s="100">
        <v>0</v>
      </c>
      <c r="BF325" s="100">
        <v>0</v>
      </c>
      <c r="BG325" s="100">
        <v>0</v>
      </c>
      <c r="BH325" s="100">
        <v>0</v>
      </c>
      <c r="BI325" s="100">
        <v>0</v>
      </c>
      <c r="BJ325" s="100">
        <v>1</v>
      </c>
      <c r="BK325" s="100">
        <v>0</v>
      </c>
      <c r="BL325" s="100">
        <v>0</v>
      </c>
      <c r="BM325" s="100">
        <v>0</v>
      </c>
      <c r="BN325" s="100">
        <v>0</v>
      </c>
      <c r="BO325" s="100">
        <v>0</v>
      </c>
      <c r="BP325" s="100">
        <v>0</v>
      </c>
      <c r="BQ325" s="100">
        <v>0</v>
      </c>
      <c r="BR325" s="100">
        <v>0</v>
      </c>
      <c r="BS325" s="100">
        <v>0</v>
      </c>
      <c r="BT325" s="100">
        <v>0</v>
      </c>
      <c r="BU325" s="100">
        <v>0</v>
      </c>
      <c r="BV325" s="100">
        <v>0</v>
      </c>
      <c r="BW325" s="100">
        <v>0</v>
      </c>
      <c r="BX325" s="100">
        <v>1</v>
      </c>
      <c r="BY325" s="100">
        <v>0</v>
      </c>
      <c r="BZ325" s="100">
        <v>1</v>
      </c>
      <c r="CA325" s="100">
        <v>0</v>
      </c>
      <c r="CB325" s="100" t="s">
        <v>2090</v>
      </c>
      <c r="CC325" s="100">
        <v>0</v>
      </c>
      <c r="CD325" s="100">
        <v>1</v>
      </c>
      <c r="CE325" s="100">
        <v>0</v>
      </c>
      <c r="CF325" s="100">
        <v>0</v>
      </c>
      <c r="CG325" s="103">
        <v>36650.626199999999</v>
      </c>
      <c r="CH325" s="103">
        <v>2.8</v>
      </c>
      <c r="CI325" s="103">
        <v>1492811.2121600001</v>
      </c>
      <c r="CJ325" s="103">
        <v>14.06</v>
      </c>
      <c r="CK325" s="103">
        <f t="shared" si="20"/>
        <v>39.368000000000002</v>
      </c>
      <c r="CL325" s="103">
        <v>6543.9</v>
      </c>
      <c r="CM325" s="103">
        <v>150567.5</v>
      </c>
      <c r="CN325" s="104">
        <v>4.3461570392016868E-2</v>
      </c>
      <c r="CO325" s="103">
        <v>49950.246169999999</v>
      </c>
      <c r="CP325" s="103">
        <v>3.23</v>
      </c>
      <c r="CQ325" s="103">
        <v>1855849.9559200001</v>
      </c>
      <c r="CR325" s="103">
        <v>13.01</v>
      </c>
      <c r="CS325" s="103">
        <f t="shared" si="21"/>
        <v>42.022300000000001</v>
      </c>
      <c r="CT325" s="103">
        <v>1024</v>
      </c>
      <c r="CU325" s="103">
        <v>17323.2</v>
      </c>
      <c r="CV325" s="104">
        <v>5.9111480557864596E-2</v>
      </c>
      <c r="CW325" s="103">
        <v>654336.25797999999</v>
      </c>
      <c r="CX325" s="103">
        <v>43.41</v>
      </c>
      <c r="CY325" s="103">
        <v>4735069.8068700004</v>
      </c>
      <c r="CZ325" s="103">
        <v>47.570134747073126</v>
      </c>
      <c r="DA325" s="103">
        <f t="shared" si="22"/>
        <v>2065.0195493704441</v>
      </c>
      <c r="DB325" s="103">
        <v>40207</v>
      </c>
      <c r="DC325" s="103">
        <v>32959.300000000003</v>
      </c>
      <c r="DD325" s="104">
        <v>1.2198984808536588</v>
      </c>
      <c r="DE325" s="103">
        <v>109930.61052</v>
      </c>
      <c r="DF325" s="103">
        <v>6.76</v>
      </c>
      <c r="DG325" s="103">
        <v>2431524.17374</v>
      </c>
      <c r="DH325" s="103">
        <v>18.46</v>
      </c>
      <c r="DI325" s="103">
        <f t="shared" si="23"/>
        <v>124.78960000000001</v>
      </c>
      <c r="DJ325" s="103">
        <v>3127.9</v>
      </c>
      <c r="DK325" s="103">
        <v>30520.1</v>
      </c>
      <c r="DL325" s="104">
        <v>0.10248655803880066</v>
      </c>
    </row>
    <row r="326" spans="1:116" s="15" customFormat="1" ht="131.44999999999999" customHeight="1" x14ac:dyDescent="0.25">
      <c r="A326" s="100" t="s">
        <v>411</v>
      </c>
      <c r="B326" s="100" t="s">
        <v>2745</v>
      </c>
      <c r="C326" s="100" t="s">
        <v>279</v>
      </c>
      <c r="D326" s="101" t="str">
        <f>"Chemistry 85"</f>
        <v>Chemistry 85</v>
      </c>
      <c r="E326" s="102" t="s">
        <v>2746</v>
      </c>
      <c r="F326" s="100">
        <v>7</v>
      </c>
      <c r="G326" s="100">
        <v>7</v>
      </c>
      <c r="H326" s="100">
        <v>1</v>
      </c>
      <c r="I326" s="100">
        <v>9</v>
      </c>
      <c r="J326" s="100">
        <v>2</v>
      </c>
      <c r="K326" s="100">
        <v>2</v>
      </c>
      <c r="L326" s="100">
        <v>2</v>
      </c>
      <c r="M326" s="100">
        <v>0</v>
      </c>
      <c r="N326" s="100">
        <v>2</v>
      </c>
      <c r="O326" s="100">
        <v>1</v>
      </c>
      <c r="P326" s="100">
        <v>0.39</v>
      </c>
      <c r="Q326" s="100">
        <v>15.27</v>
      </c>
      <c r="R326" s="100">
        <v>0</v>
      </c>
      <c r="S326" s="100">
        <v>0</v>
      </c>
      <c r="T326" s="100">
        <v>0</v>
      </c>
      <c r="U326" s="100">
        <v>1</v>
      </c>
      <c r="V326" s="100">
        <v>0</v>
      </c>
      <c r="W326" s="100">
        <v>1</v>
      </c>
      <c r="X326" s="100">
        <v>0</v>
      </c>
      <c r="Y326" s="100">
        <v>0</v>
      </c>
      <c r="Z326" s="100">
        <v>1</v>
      </c>
      <c r="AA326" s="100">
        <v>0</v>
      </c>
      <c r="AB326" s="100">
        <v>0</v>
      </c>
      <c r="AC326" s="100">
        <v>1</v>
      </c>
      <c r="AD326" s="100">
        <v>0</v>
      </c>
      <c r="AE326" s="100">
        <v>0</v>
      </c>
      <c r="AF326" s="100">
        <v>1</v>
      </c>
      <c r="AG326" s="100">
        <v>0</v>
      </c>
      <c r="AH326" s="100">
        <v>1</v>
      </c>
      <c r="AI326" s="100">
        <v>0</v>
      </c>
      <c r="AJ326" s="100">
        <v>0</v>
      </c>
      <c r="AK326" s="100">
        <v>0</v>
      </c>
      <c r="AL326" s="100">
        <v>0</v>
      </c>
      <c r="AM326" s="100">
        <v>0</v>
      </c>
      <c r="AN326" s="100">
        <v>0</v>
      </c>
      <c r="AO326" s="100">
        <v>0</v>
      </c>
      <c r="AP326" s="100">
        <v>0</v>
      </c>
      <c r="AQ326" s="100">
        <v>0</v>
      </c>
      <c r="AR326" s="100">
        <v>0</v>
      </c>
      <c r="AS326" s="100">
        <v>0</v>
      </c>
      <c r="AT326" s="100">
        <v>0</v>
      </c>
      <c r="AU326" s="100">
        <v>0</v>
      </c>
      <c r="AV326" s="100">
        <v>0</v>
      </c>
      <c r="AW326" s="100">
        <v>0</v>
      </c>
      <c r="AX326" s="100">
        <v>0</v>
      </c>
      <c r="AY326" s="100">
        <v>0</v>
      </c>
      <c r="AZ326" s="100">
        <v>0</v>
      </c>
      <c r="BA326" s="100">
        <v>0</v>
      </c>
      <c r="BB326" s="100">
        <v>0</v>
      </c>
      <c r="BC326" s="100">
        <v>0</v>
      </c>
      <c r="BD326" s="100">
        <v>0</v>
      </c>
      <c r="BE326" s="100">
        <v>0</v>
      </c>
      <c r="BF326" s="100">
        <v>0</v>
      </c>
      <c r="BG326" s="100">
        <v>0</v>
      </c>
      <c r="BH326" s="100">
        <v>1</v>
      </c>
      <c r="BI326" s="100">
        <v>0</v>
      </c>
      <c r="BJ326" s="100">
        <v>1</v>
      </c>
      <c r="BK326" s="100">
        <v>0</v>
      </c>
      <c r="BL326" s="100">
        <v>0</v>
      </c>
      <c r="BM326" s="100">
        <v>0</v>
      </c>
      <c r="BN326" s="100">
        <v>0</v>
      </c>
      <c r="BO326" s="100">
        <v>0</v>
      </c>
      <c r="BP326" s="100">
        <v>0</v>
      </c>
      <c r="BQ326" s="100">
        <v>0</v>
      </c>
      <c r="BR326" s="100">
        <v>0</v>
      </c>
      <c r="BS326" s="100">
        <v>0</v>
      </c>
      <c r="BT326" s="100">
        <v>0</v>
      </c>
      <c r="BU326" s="100">
        <v>0</v>
      </c>
      <c r="BV326" s="100">
        <v>0</v>
      </c>
      <c r="BW326" s="100">
        <v>0</v>
      </c>
      <c r="BX326" s="100">
        <v>1</v>
      </c>
      <c r="BY326" s="100">
        <v>0</v>
      </c>
      <c r="BZ326" s="100">
        <v>1</v>
      </c>
      <c r="CA326" s="100">
        <v>0</v>
      </c>
      <c r="CB326" s="100" t="s">
        <v>2090</v>
      </c>
      <c r="CC326" s="100">
        <v>1</v>
      </c>
      <c r="CD326" s="100">
        <v>0</v>
      </c>
      <c r="CE326" s="100">
        <v>0</v>
      </c>
      <c r="CF326" s="100">
        <v>0</v>
      </c>
      <c r="CG326" s="103">
        <v>529873.84820999997</v>
      </c>
      <c r="CH326" s="103">
        <v>32.6</v>
      </c>
      <c r="CI326" s="103">
        <v>3200458.9115900001</v>
      </c>
      <c r="CJ326" s="103">
        <v>43.42</v>
      </c>
      <c r="CK326" s="103">
        <f t="shared" si="20"/>
        <v>1415.4920000000002</v>
      </c>
      <c r="CL326" s="103">
        <v>315690.2</v>
      </c>
      <c r="CM326" s="103">
        <v>470378.2</v>
      </c>
      <c r="CN326" s="104">
        <v>0.6711412221059565</v>
      </c>
      <c r="CO326" s="103">
        <v>44896.146009999997</v>
      </c>
      <c r="CP326" s="103">
        <v>2.87</v>
      </c>
      <c r="CQ326" s="103">
        <v>711911.05914999999</v>
      </c>
      <c r="CR326" s="103">
        <v>12.32</v>
      </c>
      <c r="CS326" s="103">
        <f t="shared" si="21"/>
        <v>35.358400000000003</v>
      </c>
      <c r="CT326" s="103">
        <v>95822.5</v>
      </c>
      <c r="CU326" s="103">
        <v>613621.5</v>
      </c>
      <c r="CV326" s="104">
        <v>0.15615896770240287</v>
      </c>
      <c r="CW326" s="103">
        <v>634371.28578000003</v>
      </c>
      <c r="CX326" s="103">
        <v>43.66</v>
      </c>
      <c r="CY326" s="103">
        <v>4226660.1594599998</v>
      </c>
      <c r="CZ326" s="103">
        <v>63.23315559864276</v>
      </c>
      <c r="DA326" s="103">
        <f t="shared" si="22"/>
        <v>2760.7595734367428</v>
      </c>
      <c r="DB326" s="103">
        <v>349162.3</v>
      </c>
      <c r="DC326" s="103">
        <v>248075.3</v>
      </c>
      <c r="DD326" s="104">
        <v>1.407485146647006</v>
      </c>
      <c r="DE326" s="103">
        <v>15064.09917</v>
      </c>
      <c r="DF326" s="103">
        <v>1.03</v>
      </c>
      <c r="DG326" s="103">
        <v>234014.94927000001</v>
      </c>
      <c r="DH326" s="103">
        <v>4.55</v>
      </c>
      <c r="DI326" s="103">
        <f t="shared" si="23"/>
        <v>4.6864999999999997</v>
      </c>
      <c r="DJ326" s="103">
        <v>2258.6</v>
      </c>
      <c r="DK326" s="103">
        <v>108007</v>
      </c>
      <c r="DL326" s="104">
        <v>2.0911607580990119E-2</v>
      </c>
    </row>
    <row r="327" spans="1:116" s="15" customFormat="1" ht="250.7" customHeight="1" x14ac:dyDescent="0.25">
      <c r="A327" s="100" t="s">
        <v>412</v>
      </c>
      <c r="B327" s="100" t="s">
        <v>2747</v>
      </c>
      <c r="C327" s="100" t="s">
        <v>279</v>
      </c>
      <c r="D327" s="101" t="str">
        <f>"Chemistry 71"</f>
        <v>Chemistry 71</v>
      </c>
      <c r="E327" s="102" t="s">
        <v>1999</v>
      </c>
      <c r="F327" s="100">
        <v>10</v>
      </c>
      <c r="G327" s="100">
        <v>9</v>
      </c>
      <c r="H327" s="100">
        <v>0.9</v>
      </c>
      <c r="I327" s="100">
        <v>14</v>
      </c>
      <c r="J327" s="100">
        <v>4</v>
      </c>
      <c r="K327" s="100">
        <v>4</v>
      </c>
      <c r="L327" s="100">
        <v>3</v>
      </c>
      <c r="M327" s="100">
        <v>0</v>
      </c>
      <c r="N327" s="100">
        <v>2</v>
      </c>
      <c r="O327" s="100">
        <v>1</v>
      </c>
      <c r="P327" s="100">
        <v>1.42</v>
      </c>
      <c r="Q327" s="100">
        <v>35.58</v>
      </c>
      <c r="R327" s="100">
        <v>0</v>
      </c>
      <c r="S327" s="100">
        <v>0</v>
      </c>
      <c r="T327" s="100">
        <v>0</v>
      </c>
      <c r="U327" s="100">
        <v>1</v>
      </c>
      <c r="V327" s="100">
        <v>0</v>
      </c>
      <c r="W327" s="100">
        <v>1</v>
      </c>
      <c r="X327" s="100">
        <v>0</v>
      </c>
      <c r="Y327" s="100">
        <v>0</v>
      </c>
      <c r="Z327" s="100">
        <v>1</v>
      </c>
      <c r="AA327" s="100">
        <v>0</v>
      </c>
      <c r="AB327" s="100">
        <v>0</v>
      </c>
      <c r="AC327" s="100">
        <v>1</v>
      </c>
      <c r="AD327" s="100">
        <v>0</v>
      </c>
      <c r="AE327" s="100">
        <v>0</v>
      </c>
      <c r="AF327" s="100">
        <v>1</v>
      </c>
      <c r="AG327" s="100">
        <v>0</v>
      </c>
      <c r="AH327" s="100">
        <v>0</v>
      </c>
      <c r="AI327" s="100">
        <v>1</v>
      </c>
      <c r="AJ327" s="100">
        <v>0</v>
      </c>
      <c r="AK327" s="100">
        <v>0</v>
      </c>
      <c r="AL327" s="100">
        <v>0</v>
      </c>
      <c r="AM327" s="100">
        <v>0</v>
      </c>
      <c r="AN327" s="100">
        <v>0</v>
      </c>
      <c r="AO327" s="100">
        <v>0</v>
      </c>
      <c r="AP327" s="100">
        <v>0</v>
      </c>
      <c r="AQ327" s="100">
        <v>0</v>
      </c>
      <c r="AR327" s="100">
        <v>0</v>
      </c>
      <c r="AS327" s="100">
        <v>0</v>
      </c>
      <c r="AT327" s="100">
        <v>0</v>
      </c>
      <c r="AU327" s="100">
        <v>0</v>
      </c>
      <c r="AV327" s="100">
        <v>0</v>
      </c>
      <c r="AW327" s="100">
        <v>0</v>
      </c>
      <c r="AX327" s="100">
        <v>0</v>
      </c>
      <c r="AY327" s="100">
        <v>0</v>
      </c>
      <c r="AZ327" s="100">
        <v>0</v>
      </c>
      <c r="BA327" s="100">
        <v>0</v>
      </c>
      <c r="BB327" s="100">
        <v>0</v>
      </c>
      <c r="BC327" s="100">
        <v>0</v>
      </c>
      <c r="BD327" s="100">
        <v>0</v>
      </c>
      <c r="BE327" s="100">
        <v>0</v>
      </c>
      <c r="BF327" s="100">
        <v>0</v>
      </c>
      <c r="BG327" s="100">
        <v>0</v>
      </c>
      <c r="BH327" s="100">
        <v>0</v>
      </c>
      <c r="BI327" s="100">
        <v>1</v>
      </c>
      <c r="BJ327" s="100">
        <v>1</v>
      </c>
      <c r="BK327" s="100">
        <v>0</v>
      </c>
      <c r="BL327" s="100">
        <v>0</v>
      </c>
      <c r="BM327" s="100">
        <v>0</v>
      </c>
      <c r="BN327" s="100">
        <v>0</v>
      </c>
      <c r="BO327" s="100">
        <v>0</v>
      </c>
      <c r="BP327" s="100">
        <v>0</v>
      </c>
      <c r="BQ327" s="100">
        <v>0</v>
      </c>
      <c r="BR327" s="100">
        <v>0</v>
      </c>
      <c r="BS327" s="100">
        <v>0</v>
      </c>
      <c r="BT327" s="100">
        <v>0</v>
      </c>
      <c r="BU327" s="100">
        <v>0</v>
      </c>
      <c r="BV327" s="100">
        <v>0</v>
      </c>
      <c r="BW327" s="100">
        <v>0</v>
      </c>
      <c r="BX327" s="100">
        <v>1</v>
      </c>
      <c r="BY327" s="100">
        <v>0</v>
      </c>
      <c r="BZ327" s="100">
        <v>0</v>
      </c>
      <c r="CA327" s="100">
        <v>0</v>
      </c>
      <c r="CB327" s="100" t="s">
        <v>2090</v>
      </c>
      <c r="CC327" s="100">
        <v>0</v>
      </c>
      <c r="CD327" s="100">
        <v>1</v>
      </c>
      <c r="CE327" s="100">
        <v>0</v>
      </c>
      <c r="CF327" s="100">
        <v>0</v>
      </c>
      <c r="CG327" s="103">
        <v>49674.867639999997</v>
      </c>
      <c r="CH327" s="103">
        <v>3.54</v>
      </c>
      <c r="CI327" s="103">
        <v>1320402.3130300001</v>
      </c>
      <c r="CJ327" s="103">
        <v>21.16</v>
      </c>
      <c r="CK327" s="103">
        <f t="shared" si="20"/>
        <v>74.906400000000005</v>
      </c>
      <c r="CL327" s="103">
        <v>48228.3</v>
      </c>
      <c r="CM327" s="103">
        <v>218425.8</v>
      </c>
      <c r="CN327" s="104">
        <v>0.22079946599714873</v>
      </c>
      <c r="CO327" s="103">
        <v>242900.04517999999</v>
      </c>
      <c r="CP327" s="103">
        <v>13.28</v>
      </c>
      <c r="CQ327" s="103">
        <v>2744771.9343099999</v>
      </c>
      <c r="CR327" s="103">
        <v>31.07</v>
      </c>
      <c r="CS327" s="103">
        <f t="shared" si="21"/>
        <v>412.6096</v>
      </c>
      <c r="CT327" s="103">
        <v>84998.6</v>
      </c>
      <c r="CU327" s="103">
        <v>115960.7</v>
      </c>
      <c r="CV327" s="104">
        <v>0.73299488533615276</v>
      </c>
      <c r="CW327" s="103">
        <v>1212183.17704</v>
      </c>
      <c r="CX327" s="103">
        <v>64.17</v>
      </c>
      <c r="CY327" s="103">
        <v>4635001.01853</v>
      </c>
      <c r="CZ327" s="103">
        <v>57.506781460077846</v>
      </c>
      <c r="DA327" s="103">
        <f t="shared" si="22"/>
        <v>3690.2101662931955</v>
      </c>
      <c r="DB327" s="103">
        <v>912170.3</v>
      </c>
      <c r="DC327" s="103">
        <v>457267.1</v>
      </c>
      <c r="DD327" s="104">
        <v>1.9948303737574824</v>
      </c>
      <c r="DE327" s="103">
        <v>158518.47935000001</v>
      </c>
      <c r="DF327" s="103">
        <v>10.18</v>
      </c>
      <c r="DG327" s="103">
        <v>2342067.5779400002</v>
      </c>
      <c r="DH327" s="103">
        <v>24.85</v>
      </c>
      <c r="DI327" s="103">
        <f t="shared" si="23"/>
        <v>252.97300000000001</v>
      </c>
      <c r="DJ327" s="103">
        <v>431246.7</v>
      </c>
      <c r="DK327" s="103">
        <v>648408.5</v>
      </c>
      <c r="DL327" s="104">
        <v>0.66508489632692969</v>
      </c>
    </row>
    <row r="328" spans="1:116" s="15" customFormat="1" ht="159.19999999999999" customHeight="1" x14ac:dyDescent="0.25">
      <c r="A328" s="100" t="s">
        <v>413</v>
      </c>
      <c r="B328" s="100" t="s">
        <v>2748</v>
      </c>
      <c r="C328" s="100" t="s">
        <v>279</v>
      </c>
      <c r="D328" s="101" t="str">
        <f>"Chemistry 152"</f>
        <v>Chemistry 152</v>
      </c>
      <c r="E328" s="102" t="s">
        <v>2749</v>
      </c>
      <c r="F328" s="100">
        <v>8</v>
      </c>
      <c r="G328" s="100">
        <v>4</v>
      </c>
      <c r="H328" s="100">
        <v>0.5</v>
      </c>
      <c r="I328" s="100">
        <v>14</v>
      </c>
      <c r="J328" s="100">
        <v>6</v>
      </c>
      <c r="K328" s="100">
        <v>6</v>
      </c>
      <c r="L328" s="100">
        <v>2</v>
      </c>
      <c r="M328" s="100">
        <v>1</v>
      </c>
      <c r="N328" s="100">
        <v>3</v>
      </c>
      <c r="O328" s="100">
        <v>1</v>
      </c>
      <c r="P328" s="100">
        <v>0.99</v>
      </c>
      <c r="Q328" s="100">
        <v>49.41</v>
      </c>
      <c r="R328" s="100">
        <v>2</v>
      </c>
      <c r="S328" s="100">
        <v>0</v>
      </c>
      <c r="T328" s="100">
        <v>1</v>
      </c>
      <c r="U328" s="100">
        <v>0</v>
      </c>
      <c r="V328" s="100">
        <v>0</v>
      </c>
      <c r="W328" s="100">
        <v>1</v>
      </c>
      <c r="X328" s="100">
        <v>0</v>
      </c>
      <c r="Y328" s="100">
        <v>0</v>
      </c>
      <c r="Z328" s="100">
        <v>1</v>
      </c>
      <c r="AA328" s="100">
        <v>0</v>
      </c>
      <c r="AB328" s="100">
        <v>0</v>
      </c>
      <c r="AC328" s="100">
        <v>1</v>
      </c>
      <c r="AD328" s="100">
        <v>0</v>
      </c>
      <c r="AE328" s="100">
        <v>0</v>
      </c>
      <c r="AF328" s="100">
        <v>1</v>
      </c>
      <c r="AG328" s="100">
        <v>0</v>
      </c>
      <c r="AH328" s="100">
        <v>0</v>
      </c>
      <c r="AI328" s="100">
        <v>0</v>
      </c>
      <c r="AJ328" s="100">
        <v>1</v>
      </c>
      <c r="AK328" s="100">
        <v>0</v>
      </c>
      <c r="AL328" s="100">
        <v>0</v>
      </c>
      <c r="AM328" s="100">
        <v>0</v>
      </c>
      <c r="AN328" s="100">
        <v>1</v>
      </c>
      <c r="AO328" s="100">
        <v>0</v>
      </c>
      <c r="AP328" s="100">
        <v>0</v>
      </c>
      <c r="AQ328" s="100">
        <v>0</v>
      </c>
      <c r="AR328" s="100">
        <v>0</v>
      </c>
      <c r="AS328" s="100">
        <v>0</v>
      </c>
      <c r="AT328" s="100">
        <v>0</v>
      </c>
      <c r="AU328" s="100">
        <v>0</v>
      </c>
      <c r="AV328" s="100">
        <v>0</v>
      </c>
      <c r="AW328" s="100">
        <v>0</v>
      </c>
      <c r="AX328" s="100">
        <v>0</v>
      </c>
      <c r="AY328" s="100">
        <v>0</v>
      </c>
      <c r="AZ328" s="100">
        <v>0</v>
      </c>
      <c r="BA328" s="100">
        <v>0</v>
      </c>
      <c r="BB328" s="100">
        <v>0</v>
      </c>
      <c r="BC328" s="100">
        <v>0</v>
      </c>
      <c r="BD328" s="100">
        <v>0</v>
      </c>
      <c r="BE328" s="100">
        <v>0</v>
      </c>
      <c r="BF328" s="100">
        <v>1</v>
      </c>
      <c r="BG328" s="100">
        <v>0</v>
      </c>
      <c r="BH328" s="100">
        <v>0</v>
      </c>
      <c r="BI328" s="100">
        <v>0</v>
      </c>
      <c r="BJ328" s="100">
        <v>1</v>
      </c>
      <c r="BK328" s="100">
        <v>0</v>
      </c>
      <c r="BL328" s="100">
        <v>0</v>
      </c>
      <c r="BM328" s="100">
        <v>0</v>
      </c>
      <c r="BN328" s="100">
        <v>0</v>
      </c>
      <c r="BO328" s="100">
        <v>0</v>
      </c>
      <c r="BP328" s="100">
        <v>0</v>
      </c>
      <c r="BQ328" s="100">
        <v>0</v>
      </c>
      <c r="BR328" s="100">
        <v>0</v>
      </c>
      <c r="BS328" s="100">
        <v>0</v>
      </c>
      <c r="BT328" s="100">
        <v>0</v>
      </c>
      <c r="BU328" s="100">
        <v>0</v>
      </c>
      <c r="BV328" s="100">
        <v>1</v>
      </c>
      <c r="BW328" s="100">
        <v>0</v>
      </c>
      <c r="BX328" s="100">
        <v>1</v>
      </c>
      <c r="BY328" s="100">
        <v>0</v>
      </c>
      <c r="BZ328" s="100">
        <v>0</v>
      </c>
      <c r="CA328" s="100">
        <v>0</v>
      </c>
      <c r="CB328" s="100" t="s">
        <v>2090</v>
      </c>
      <c r="CC328" s="100">
        <v>0</v>
      </c>
      <c r="CD328" s="100">
        <v>1</v>
      </c>
      <c r="CE328" s="100">
        <v>0</v>
      </c>
      <c r="CF328" s="100">
        <v>0</v>
      </c>
      <c r="CG328" s="103">
        <v>94513.102140000003</v>
      </c>
      <c r="CH328" s="103">
        <v>5.03</v>
      </c>
      <c r="CI328" s="103">
        <v>1386681.9168400001</v>
      </c>
      <c r="CJ328" s="103">
        <v>18.68</v>
      </c>
      <c r="CK328" s="103">
        <f t="shared" si="20"/>
        <v>93.960400000000007</v>
      </c>
      <c r="CL328" s="103">
        <v>218741.2</v>
      </c>
      <c r="CM328" s="103">
        <v>737633.3</v>
      </c>
      <c r="CN328" s="104">
        <v>0.29654463810134385</v>
      </c>
      <c r="CO328" s="103">
        <v>53639.866300000002</v>
      </c>
      <c r="CP328" s="103">
        <v>2.4</v>
      </c>
      <c r="CQ328" s="103">
        <v>1081232.1602</v>
      </c>
      <c r="CR328" s="103">
        <v>13.66</v>
      </c>
      <c r="CS328" s="103">
        <f t="shared" si="21"/>
        <v>32.783999999999999</v>
      </c>
      <c r="CT328" s="103">
        <v>168656.6</v>
      </c>
      <c r="CU328" s="103">
        <v>505373.4</v>
      </c>
      <c r="CV328" s="104">
        <v>0.33372670583770336</v>
      </c>
      <c r="CW328" s="103">
        <v>1582802.0407199999</v>
      </c>
      <c r="CX328" s="103">
        <v>57.16</v>
      </c>
      <c r="CY328" s="103">
        <v>4450828.1109600002</v>
      </c>
      <c r="CZ328" s="103">
        <v>42.040907069808803</v>
      </c>
      <c r="DA328" s="103">
        <f t="shared" si="22"/>
        <v>2403.0582481102711</v>
      </c>
      <c r="DB328" s="103">
        <v>130154.5</v>
      </c>
      <c r="DC328" s="103">
        <v>108609.9</v>
      </c>
      <c r="DD328" s="104">
        <v>1.1983668155481222</v>
      </c>
      <c r="DE328" s="103">
        <v>273351.98009999999</v>
      </c>
      <c r="DF328" s="103">
        <v>14.98</v>
      </c>
      <c r="DG328" s="103">
        <v>2552494.2473900001</v>
      </c>
      <c r="DH328" s="103">
        <v>32.35</v>
      </c>
      <c r="DI328" s="103">
        <f t="shared" si="23"/>
        <v>484.60300000000001</v>
      </c>
      <c r="DJ328" s="103">
        <v>348407.8</v>
      </c>
      <c r="DK328" s="103">
        <v>689204.9</v>
      </c>
      <c r="DL328" s="104">
        <v>0.50552136236988443</v>
      </c>
    </row>
    <row r="329" spans="1:116" s="15" customFormat="1" ht="216.2" customHeight="1" x14ac:dyDescent="0.25">
      <c r="A329" s="100" t="s">
        <v>414</v>
      </c>
      <c r="B329" s="100" t="s">
        <v>2750</v>
      </c>
      <c r="C329" s="100" t="s">
        <v>279</v>
      </c>
      <c r="D329" s="101" t="str">
        <f>"Chemistry 155"</f>
        <v>Chemistry 155</v>
      </c>
      <c r="E329" s="102" t="s">
        <v>2751</v>
      </c>
      <c r="F329" s="100">
        <v>12</v>
      </c>
      <c r="G329" s="100">
        <v>6</v>
      </c>
      <c r="H329" s="100">
        <v>0.5</v>
      </c>
      <c r="I329" s="100">
        <v>16</v>
      </c>
      <c r="J329" s="100">
        <v>4</v>
      </c>
      <c r="K329" s="100">
        <v>4</v>
      </c>
      <c r="L329" s="100">
        <v>1</v>
      </c>
      <c r="M329" s="100">
        <v>1</v>
      </c>
      <c r="N329" s="100">
        <v>3</v>
      </c>
      <c r="O329" s="100">
        <v>1</v>
      </c>
      <c r="P329" s="100">
        <v>0.7</v>
      </c>
      <c r="Q329" s="100">
        <v>46.17</v>
      </c>
      <c r="R329" s="100">
        <v>2</v>
      </c>
      <c r="S329" s="100">
        <v>0</v>
      </c>
      <c r="T329" s="100">
        <v>1</v>
      </c>
      <c r="U329" s="100">
        <v>0</v>
      </c>
      <c r="V329" s="100">
        <v>0</v>
      </c>
      <c r="W329" s="100">
        <v>0</v>
      </c>
      <c r="X329" s="100">
        <v>1</v>
      </c>
      <c r="Y329" s="100">
        <v>0</v>
      </c>
      <c r="Z329" s="100">
        <v>1</v>
      </c>
      <c r="AA329" s="100">
        <v>0</v>
      </c>
      <c r="AB329" s="100">
        <v>0</v>
      </c>
      <c r="AC329" s="100">
        <v>1</v>
      </c>
      <c r="AD329" s="100">
        <v>0</v>
      </c>
      <c r="AE329" s="100">
        <v>0</v>
      </c>
      <c r="AF329" s="100">
        <v>1</v>
      </c>
      <c r="AG329" s="100">
        <v>0</v>
      </c>
      <c r="AH329" s="100">
        <v>0</v>
      </c>
      <c r="AI329" s="100">
        <v>1</v>
      </c>
      <c r="AJ329" s="100">
        <v>0</v>
      </c>
      <c r="AK329" s="100">
        <v>0</v>
      </c>
      <c r="AL329" s="100">
        <v>0</v>
      </c>
      <c r="AM329" s="100">
        <v>0</v>
      </c>
      <c r="AN329" s="100">
        <v>0</v>
      </c>
      <c r="AO329" s="100">
        <v>0</v>
      </c>
      <c r="AP329" s="100">
        <v>0</v>
      </c>
      <c r="AQ329" s="100">
        <v>0</v>
      </c>
      <c r="AR329" s="100">
        <v>0</v>
      </c>
      <c r="AS329" s="100">
        <v>0</v>
      </c>
      <c r="AT329" s="100">
        <v>0</v>
      </c>
      <c r="AU329" s="100">
        <v>0</v>
      </c>
      <c r="AV329" s="100">
        <v>0</v>
      </c>
      <c r="AW329" s="100">
        <v>0</v>
      </c>
      <c r="AX329" s="100">
        <v>0</v>
      </c>
      <c r="AY329" s="100">
        <v>0</v>
      </c>
      <c r="AZ329" s="100">
        <v>0</v>
      </c>
      <c r="BA329" s="100">
        <v>0</v>
      </c>
      <c r="BB329" s="100">
        <v>0</v>
      </c>
      <c r="BC329" s="100">
        <v>0</v>
      </c>
      <c r="BD329" s="100">
        <v>0</v>
      </c>
      <c r="BE329" s="100">
        <v>0</v>
      </c>
      <c r="BF329" s="100">
        <v>0</v>
      </c>
      <c r="BG329" s="100">
        <v>1</v>
      </c>
      <c r="BH329" s="100">
        <v>0</v>
      </c>
      <c r="BI329" s="100">
        <v>0</v>
      </c>
      <c r="BJ329" s="100">
        <v>1</v>
      </c>
      <c r="BK329" s="100">
        <v>0</v>
      </c>
      <c r="BL329" s="100">
        <v>0</v>
      </c>
      <c r="BM329" s="100">
        <v>0</v>
      </c>
      <c r="BN329" s="100">
        <v>0</v>
      </c>
      <c r="BO329" s="100">
        <v>0</v>
      </c>
      <c r="BP329" s="100">
        <v>0</v>
      </c>
      <c r="BQ329" s="100">
        <v>0</v>
      </c>
      <c r="BR329" s="100">
        <v>0</v>
      </c>
      <c r="BS329" s="100">
        <v>0</v>
      </c>
      <c r="BT329" s="100">
        <v>0</v>
      </c>
      <c r="BU329" s="100">
        <v>0</v>
      </c>
      <c r="BV329" s="100">
        <v>0</v>
      </c>
      <c r="BW329" s="100">
        <v>1</v>
      </c>
      <c r="BX329" s="100">
        <v>0</v>
      </c>
      <c r="BY329" s="100">
        <v>0</v>
      </c>
      <c r="BZ329" s="100">
        <v>0</v>
      </c>
      <c r="CA329" s="100">
        <v>1</v>
      </c>
      <c r="CB329" s="100" t="s">
        <v>2090</v>
      </c>
      <c r="CC329" s="100">
        <v>0</v>
      </c>
      <c r="CD329" s="100">
        <v>0</v>
      </c>
      <c r="CE329" s="100">
        <v>0</v>
      </c>
      <c r="CF329" s="100">
        <v>0</v>
      </c>
      <c r="CG329" s="103">
        <v>414437.92317999998</v>
      </c>
      <c r="CH329" s="103">
        <v>25.42</v>
      </c>
      <c r="CI329" s="103">
        <v>3331300.0096499999</v>
      </c>
      <c r="CJ329" s="103">
        <v>46.79</v>
      </c>
      <c r="CK329" s="103">
        <f t="shared" si="20"/>
        <v>1189.4018000000001</v>
      </c>
      <c r="CL329" s="103">
        <v>528159.9</v>
      </c>
      <c r="CM329" s="103">
        <v>690355</v>
      </c>
      <c r="CN329" s="104">
        <v>0.7650555149162388</v>
      </c>
      <c r="CO329" s="103">
        <v>30004.530780000001</v>
      </c>
      <c r="CP329" s="103">
        <v>1.79</v>
      </c>
      <c r="CQ329" s="103">
        <v>1008411.93623</v>
      </c>
      <c r="CR329" s="103">
        <v>17.61</v>
      </c>
      <c r="CS329" s="103">
        <f t="shared" si="21"/>
        <v>31.521899999999999</v>
      </c>
      <c r="CT329" s="103">
        <v>109838</v>
      </c>
      <c r="CU329" s="103">
        <v>495921.9</v>
      </c>
      <c r="CV329" s="104">
        <v>0.22148245520111129</v>
      </c>
      <c r="CW329" s="103">
        <v>1025510.07595</v>
      </c>
      <c r="CX329" s="103">
        <v>50.85</v>
      </c>
      <c r="CY329" s="103">
        <v>4387345.2072900003</v>
      </c>
      <c r="CZ329" s="103">
        <v>51.552067471008549</v>
      </c>
      <c r="DA329" s="103">
        <f t="shared" si="22"/>
        <v>2621.422630900785</v>
      </c>
      <c r="DB329" s="103">
        <v>507966.2</v>
      </c>
      <c r="DC329" s="103">
        <v>407152.2</v>
      </c>
      <c r="DD329" s="104">
        <v>1.247607651389333</v>
      </c>
      <c r="DE329" s="103">
        <v>179097.65062</v>
      </c>
      <c r="DF329" s="103">
        <v>9.66</v>
      </c>
      <c r="DG329" s="103">
        <v>2357741.5327099999</v>
      </c>
      <c r="DH329" s="103">
        <v>32.840000000000003</v>
      </c>
      <c r="DI329" s="103">
        <f t="shared" si="23"/>
        <v>317.23440000000005</v>
      </c>
      <c r="DJ329" s="103">
        <v>368480.9</v>
      </c>
      <c r="DK329" s="103">
        <v>660045.1</v>
      </c>
      <c r="DL329" s="104">
        <v>0.55826624574593464</v>
      </c>
    </row>
    <row r="330" spans="1:116" s="15" customFormat="1" ht="149.44999999999999" customHeight="1" x14ac:dyDescent="0.25">
      <c r="A330" s="100" t="s">
        <v>415</v>
      </c>
      <c r="B330" s="100" t="s">
        <v>2752</v>
      </c>
      <c r="C330" s="100" t="s">
        <v>279</v>
      </c>
      <c r="D330" s="101" t="str">
        <f>"Chemistry 170"</f>
        <v>Chemistry 170</v>
      </c>
      <c r="E330" s="102" t="s">
        <v>2753</v>
      </c>
      <c r="F330" s="100">
        <v>6</v>
      </c>
      <c r="G330" s="100">
        <v>6</v>
      </c>
      <c r="H330" s="100">
        <v>1</v>
      </c>
      <c r="I330" s="100">
        <v>8</v>
      </c>
      <c r="J330" s="100">
        <v>2</v>
      </c>
      <c r="K330" s="100">
        <v>2</v>
      </c>
      <c r="L330" s="100">
        <v>1</v>
      </c>
      <c r="M330" s="100">
        <v>0</v>
      </c>
      <c r="N330" s="100">
        <v>2</v>
      </c>
      <c r="O330" s="100">
        <v>1</v>
      </c>
      <c r="P330" s="100">
        <v>-0.44</v>
      </c>
      <c r="Q330" s="100">
        <v>21.26</v>
      </c>
      <c r="R330" s="100">
        <v>1</v>
      </c>
      <c r="S330" s="100">
        <v>0</v>
      </c>
      <c r="T330" s="100">
        <v>0</v>
      </c>
      <c r="U330" s="100">
        <v>1</v>
      </c>
      <c r="V330" s="100">
        <v>0</v>
      </c>
      <c r="W330" s="100">
        <v>0</v>
      </c>
      <c r="X330" s="100">
        <v>1</v>
      </c>
      <c r="Y330" s="100">
        <v>0</v>
      </c>
      <c r="Z330" s="100">
        <v>1</v>
      </c>
      <c r="AA330" s="100">
        <v>0</v>
      </c>
      <c r="AB330" s="100">
        <v>0</v>
      </c>
      <c r="AC330" s="100">
        <v>1</v>
      </c>
      <c r="AD330" s="100">
        <v>0</v>
      </c>
      <c r="AE330" s="100">
        <v>1</v>
      </c>
      <c r="AF330" s="100">
        <v>0</v>
      </c>
      <c r="AG330" s="100">
        <v>0</v>
      </c>
      <c r="AH330" s="100">
        <v>1</v>
      </c>
      <c r="AI330" s="100">
        <v>0</v>
      </c>
      <c r="AJ330" s="100">
        <v>0</v>
      </c>
      <c r="AK330" s="100">
        <v>0</v>
      </c>
      <c r="AL330" s="100">
        <v>0</v>
      </c>
      <c r="AM330" s="100">
        <v>0</v>
      </c>
      <c r="AN330" s="100">
        <v>0</v>
      </c>
      <c r="AO330" s="100">
        <v>0</v>
      </c>
      <c r="AP330" s="100">
        <v>0</v>
      </c>
      <c r="AQ330" s="100">
        <v>0</v>
      </c>
      <c r="AR330" s="100">
        <v>0</v>
      </c>
      <c r="AS330" s="100">
        <v>0</v>
      </c>
      <c r="AT330" s="100">
        <v>0</v>
      </c>
      <c r="AU330" s="100">
        <v>0</v>
      </c>
      <c r="AV330" s="100">
        <v>0</v>
      </c>
      <c r="AW330" s="100">
        <v>0</v>
      </c>
      <c r="AX330" s="100">
        <v>0</v>
      </c>
      <c r="AY330" s="100">
        <v>0</v>
      </c>
      <c r="AZ330" s="100">
        <v>0</v>
      </c>
      <c r="BA330" s="100">
        <v>0</v>
      </c>
      <c r="BB330" s="100">
        <v>0</v>
      </c>
      <c r="BC330" s="100">
        <v>0</v>
      </c>
      <c r="BD330" s="100">
        <v>0</v>
      </c>
      <c r="BE330" s="100">
        <v>0</v>
      </c>
      <c r="BF330" s="100">
        <v>0</v>
      </c>
      <c r="BG330" s="100">
        <v>0</v>
      </c>
      <c r="BH330" s="100">
        <v>0</v>
      </c>
      <c r="BI330" s="100">
        <v>0</v>
      </c>
      <c r="BJ330" s="100">
        <v>0</v>
      </c>
      <c r="BK330" s="100">
        <v>0</v>
      </c>
      <c r="BL330" s="100">
        <v>0</v>
      </c>
      <c r="BM330" s="100">
        <v>0</v>
      </c>
      <c r="BN330" s="100">
        <v>0</v>
      </c>
      <c r="BO330" s="100">
        <v>0</v>
      </c>
      <c r="BP330" s="100">
        <v>0</v>
      </c>
      <c r="BQ330" s="100">
        <v>0</v>
      </c>
      <c r="BR330" s="100">
        <v>0</v>
      </c>
      <c r="BS330" s="100">
        <v>0</v>
      </c>
      <c r="BT330" s="100">
        <v>0</v>
      </c>
      <c r="BU330" s="100">
        <v>0</v>
      </c>
      <c r="BV330" s="100">
        <v>0</v>
      </c>
      <c r="BW330" s="100">
        <v>1</v>
      </c>
      <c r="BX330" s="100">
        <v>0</v>
      </c>
      <c r="BY330" s="100">
        <v>0</v>
      </c>
      <c r="BZ330" s="100">
        <v>0</v>
      </c>
      <c r="CA330" s="100">
        <v>1</v>
      </c>
      <c r="CB330" s="100" t="s">
        <v>2090</v>
      </c>
      <c r="CC330" s="100">
        <v>0</v>
      </c>
      <c r="CD330" s="100">
        <v>0</v>
      </c>
      <c r="CE330" s="100">
        <v>0</v>
      </c>
      <c r="CF330" s="100">
        <v>0</v>
      </c>
      <c r="CG330" s="103">
        <v>477478.74952000001</v>
      </c>
      <c r="CH330" s="103">
        <v>28.61</v>
      </c>
      <c r="CI330" s="103">
        <v>4084919.3426299999</v>
      </c>
      <c r="CJ330" s="103">
        <v>46.73</v>
      </c>
      <c r="CK330" s="103">
        <f t="shared" si="20"/>
        <v>1336.9452999999999</v>
      </c>
      <c r="CL330" s="103">
        <v>156498.1</v>
      </c>
      <c r="CM330" s="103">
        <v>153991.20000000001</v>
      </c>
      <c r="CN330" s="104">
        <v>1.0162795016858106</v>
      </c>
      <c r="CO330" s="103">
        <v>481695.04139999999</v>
      </c>
      <c r="CP330" s="103">
        <v>24.87</v>
      </c>
      <c r="CQ330" s="103">
        <v>4316158.4493100001</v>
      </c>
      <c r="CR330" s="103">
        <v>34.770000000000003</v>
      </c>
      <c r="CS330" s="103">
        <f t="shared" si="21"/>
        <v>864.72990000000016</v>
      </c>
      <c r="CT330" s="103">
        <v>113155.7</v>
      </c>
      <c r="CU330" s="103">
        <v>80850.399999999994</v>
      </c>
      <c r="CV330" s="104">
        <v>1.3995688333019998</v>
      </c>
      <c r="CW330" s="103">
        <v>806781.58912000002</v>
      </c>
      <c r="CX330" s="103">
        <v>47.69</v>
      </c>
      <c r="CY330" s="103">
        <v>5158945.0671199998</v>
      </c>
      <c r="CZ330" s="103">
        <v>61.650605386706196</v>
      </c>
      <c r="DA330" s="103">
        <f t="shared" si="22"/>
        <v>2940.1173708920182</v>
      </c>
      <c r="DB330" s="103">
        <v>466485</v>
      </c>
      <c r="DC330" s="103">
        <v>196576.9</v>
      </c>
      <c r="DD330" s="104">
        <v>2.3730407794608626</v>
      </c>
      <c r="DE330" s="103">
        <v>572538.88129000005</v>
      </c>
      <c r="DF330" s="103">
        <v>30.96</v>
      </c>
      <c r="DG330" s="103">
        <v>4080589.4866399998</v>
      </c>
      <c r="DH330" s="103">
        <v>35.020000000000003</v>
      </c>
      <c r="DI330" s="103">
        <f t="shared" si="23"/>
        <v>1084.2192000000002</v>
      </c>
      <c r="DJ330" s="103">
        <v>297577.90000000002</v>
      </c>
      <c r="DK330" s="103">
        <v>228099.8</v>
      </c>
      <c r="DL330" s="104">
        <v>1.3045951815827985</v>
      </c>
    </row>
    <row r="331" spans="1:116" s="15" customFormat="1" ht="158.44999999999999" customHeight="1" x14ac:dyDescent="0.25">
      <c r="A331" s="100" t="s">
        <v>416</v>
      </c>
      <c r="B331" s="100" t="s">
        <v>2754</v>
      </c>
      <c r="C331" s="100" t="s">
        <v>279</v>
      </c>
      <c r="D331" s="101" t="str">
        <f>"Chemistry 65"</f>
        <v>Chemistry 65</v>
      </c>
      <c r="E331" s="102" t="s">
        <v>2755</v>
      </c>
      <c r="F331" s="100">
        <v>13</v>
      </c>
      <c r="G331" s="100">
        <v>6</v>
      </c>
      <c r="H331" s="100">
        <v>0.46</v>
      </c>
      <c r="I331" s="100">
        <v>17</v>
      </c>
      <c r="J331" s="100">
        <v>4</v>
      </c>
      <c r="K331" s="100">
        <v>4</v>
      </c>
      <c r="L331" s="100">
        <v>2</v>
      </c>
      <c r="M331" s="100">
        <v>1</v>
      </c>
      <c r="N331" s="100">
        <v>3</v>
      </c>
      <c r="O331" s="100">
        <v>1</v>
      </c>
      <c r="P331" s="100">
        <v>3.01</v>
      </c>
      <c r="Q331" s="100">
        <v>41.57</v>
      </c>
      <c r="R331" s="100">
        <v>3</v>
      </c>
      <c r="S331" s="100">
        <v>0</v>
      </c>
      <c r="T331" s="100">
        <v>1</v>
      </c>
      <c r="U331" s="100">
        <v>0</v>
      </c>
      <c r="V331" s="100">
        <v>0</v>
      </c>
      <c r="W331" s="100">
        <v>1</v>
      </c>
      <c r="X331" s="100">
        <v>0</v>
      </c>
      <c r="Y331" s="100">
        <v>0</v>
      </c>
      <c r="Z331" s="100">
        <v>1</v>
      </c>
      <c r="AA331" s="100">
        <v>0</v>
      </c>
      <c r="AB331" s="100">
        <v>0</v>
      </c>
      <c r="AC331" s="100">
        <v>1</v>
      </c>
      <c r="AD331" s="100">
        <v>0</v>
      </c>
      <c r="AE331" s="100">
        <v>0</v>
      </c>
      <c r="AF331" s="100">
        <v>0</v>
      </c>
      <c r="AG331" s="100">
        <v>1</v>
      </c>
      <c r="AH331" s="100">
        <v>0</v>
      </c>
      <c r="AI331" s="100">
        <v>1</v>
      </c>
      <c r="AJ331" s="100">
        <v>0</v>
      </c>
      <c r="AK331" s="100">
        <v>0</v>
      </c>
      <c r="AL331" s="100">
        <v>0</v>
      </c>
      <c r="AM331" s="100">
        <v>0</v>
      </c>
      <c r="AN331" s="100">
        <v>0</v>
      </c>
      <c r="AO331" s="100">
        <v>0</v>
      </c>
      <c r="AP331" s="100">
        <v>0</v>
      </c>
      <c r="AQ331" s="100">
        <v>0</v>
      </c>
      <c r="AR331" s="100">
        <v>0</v>
      </c>
      <c r="AS331" s="100">
        <v>0</v>
      </c>
      <c r="AT331" s="100">
        <v>0</v>
      </c>
      <c r="AU331" s="100">
        <v>0</v>
      </c>
      <c r="AV331" s="100">
        <v>1</v>
      </c>
      <c r="AW331" s="100">
        <v>0</v>
      </c>
      <c r="AX331" s="100">
        <v>0</v>
      </c>
      <c r="AY331" s="100">
        <v>0</v>
      </c>
      <c r="AZ331" s="100">
        <v>0</v>
      </c>
      <c r="BA331" s="100">
        <v>0</v>
      </c>
      <c r="BB331" s="100">
        <v>0</v>
      </c>
      <c r="BC331" s="100">
        <v>0</v>
      </c>
      <c r="BD331" s="100">
        <v>0</v>
      </c>
      <c r="BE331" s="100">
        <v>0</v>
      </c>
      <c r="BF331" s="100">
        <v>0</v>
      </c>
      <c r="BG331" s="100">
        <v>0</v>
      </c>
      <c r="BH331" s="100">
        <v>0</v>
      </c>
      <c r="BI331" s="100">
        <v>0</v>
      </c>
      <c r="BJ331" s="100">
        <v>1</v>
      </c>
      <c r="BK331" s="100">
        <v>0</v>
      </c>
      <c r="BL331" s="100">
        <v>0</v>
      </c>
      <c r="BM331" s="100">
        <v>0</v>
      </c>
      <c r="BN331" s="100">
        <v>0</v>
      </c>
      <c r="BO331" s="100">
        <v>0</v>
      </c>
      <c r="BP331" s="100">
        <v>0</v>
      </c>
      <c r="BQ331" s="100">
        <v>0</v>
      </c>
      <c r="BR331" s="100">
        <v>0</v>
      </c>
      <c r="BS331" s="100">
        <v>0</v>
      </c>
      <c r="BT331" s="100">
        <v>0</v>
      </c>
      <c r="BU331" s="100">
        <v>0</v>
      </c>
      <c r="BV331" s="100">
        <v>0</v>
      </c>
      <c r="BW331" s="100">
        <v>0</v>
      </c>
      <c r="BX331" s="100">
        <v>1</v>
      </c>
      <c r="BY331" s="100">
        <v>0</v>
      </c>
      <c r="BZ331" s="100">
        <v>1</v>
      </c>
      <c r="CA331" s="100">
        <v>0</v>
      </c>
      <c r="CB331" s="100" t="s">
        <v>2090</v>
      </c>
      <c r="CC331" s="100">
        <v>0</v>
      </c>
      <c r="CD331" s="100">
        <v>1</v>
      </c>
      <c r="CE331" s="100">
        <v>0</v>
      </c>
      <c r="CF331" s="100">
        <v>0</v>
      </c>
      <c r="CG331" s="103">
        <v>48461.059780000003</v>
      </c>
      <c r="CH331" s="103">
        <v>3.03</v>
      </c>
      <c r="CI331" s="103">
        <v>1412239.7268099999</v>
      </c>
      <c r="CJ331" s="103">
        <v>13.19</v>
      </c>
      <c r="CK331" s="103">
        <f t="shared" si="20"/>
        <v>39.965699999999998</v>
      </c>
      <c r="CL331" s="103">
        <v>53804.4</v>
      </c>
      <c r="CM331" s="103">
        <v>383135.1</v>
      </c>
      <c r="CN331" s="104">
        <v>0.14043192597076071</v>
      </c>
      <c r="CO331" s="103">
        <v>61344.768750000003</v>
      </c>
      <c r="CP331" s="103">
        <v>3.63</v>
      </c>
      <c r="CQ331" s="103">
        <v>1408272.69389</v>
      </c>
      <c r="CR331" s="103">
        <v>11.99</v>
      </c>
      <c r="CS331" s="103">
        <f t="shared" si="21"/>
        <v>43.523699999999998</v>
      </c>
      <c r="CT331" s="103">
        <v>218258.1</v>
      </c>
      <c r="CU331" s="103">
        <v>595238.80000000005</v>
      </c>
      <c r="CV331" s="104">
        <v>0.36667317385896214</v>
      </c>
      <c r="CW331" s="103">
        <v>760670.54593999998</v>
      </c>
      <c r="CX331" s="103">
        <v>47.21</v>
      </c>
      <c r="CY331" s="103">
        <v>4373161.3396399999</v>
      </c>
      <c r="CZ331" s="103">
        <v>46.289220794257261</v>
      </c>
      <c r="DA331" s="103">
        <f t="shared" si="22"/>
        <v>2185.3141136968852</v>
      </c>
      <c r="DB331" s="103">
        <v>288542.7</v>
      </c>
      <c r="DC331" s="103">
        <v>182556.79999999999</v>
      </c>
      <c r="DD331" s="104">
        <v>1.5805639669407003</v>
      </c>
      <c r="DE331" s="103">
        <v>139099.81688999999</v>
      </c>
      <c r="DF331" s="103">
        <v>8.81</v>
      </c>
      <c r="DG331" s="103">
        <v>2160674.6310999999</v>
      </c>
      <c r="DH331" s="103">
        <v>18.78</v>
      </c>
      <c r="DI331" s="103">
        <f t="shared" si="23"/>
        <v>165.45180000000002</v>
      </c>
      <c r="DJ331" s="103">
        <v>117009.2</v>
      </c>
      <c r="DK331" s="103">
        <v>281067.59999999998</v>
      </c>
      <c r="DL331" s="104">
        <v>0.41630269728705838</v>
      </c>
    </row>
    <row r="332" spans="1:116" s="15" customFormat="1" ht="222.95" customHeight="1" x14ac:dyDescent="0.25">
      <c r="A332" s="100" t="s">
        <v>417</v>
      </c>
      <c r="B332" s="100" t="s">
        <v>2756</v>
      </c>
      <c r="C332" s="100" t="s">
        <v>279</v>
      </c>
      <c r="D332" s="101" t="str">
        <f>"Chemistry 125"</f>
        <v>Chemistry 125</v>
      </c>
      <c r="E332" s="102" t="s">
        <v>1985</v>
      </c>
      <c r="F332" s="100">
        <v>11</v>
      </c>
      <c r="G332" s="100">
        <v>9</v>
      </c>
      <c r="H332" s="100">
        <v>0.82</v>
      </c>
      <c r="I332" s="100">
        <v>17</v>
      </c>
      <c r="J332" s="100">
        <v>6</v>
      </c>
      <c r="K332" s="100">
        <v>6</v>
      </c>
      <c r="L332" s="100">
        <v>2</v>
      </c>
      <c r="M332" s="100">
        <v>0</v>
      </c>
      <c r="N332" s="100">
        <v>5</v>
      </c>
      <c r="O332" s="100">
        <v>1</v>
      </c>
      <c r="P332" s="100">
        <v>1.6</v>
      </c>
      <c r="Q332" s="100">
        <v>67.87</v>
      </c>
      <c r="R332" s="100">
        <v>4</v>
      </c>
      <c r="S332" s="100">
        <v>0</v>
      </c>
      <c r="T332" s="100">
        <v>1</v>
      </c>
      <c r="U332" s="100">
        <v>0</v>
      </c>
      <c r="V332" s="100">
        <v>0</v>
      </c>
      <c r="W332" s="100">
        <v>0</v>
      </c>
      <c r="X332" s="100">
        <v>0</v>
      </c>
      <c r="Y332" s="100">
        <v>0</v>
      </c>
      <c r="Z332" s="100">
        <v>1</v>
      </c>
      <c r="AA332" s="100">
        <v>0</v>
      </c>
      <c r="AB332" s="100">
        <v>1</v>
      </c>
      <c r="AC332" s="100">
        <v>0</v>
      </c>
      <c r="AD332" s="100">
        <v>0</v>
      </c>
      <c r="AE332" s="100">
        <v>0</v>
      </c>
      <c r="AF332" s="100">
        <v>1</v>
      </c>
      <c r="AG332" s="100">
        <v>0</v>
      </c>
      <c r="AH332" s="100">
        <v>0</v>
      </c>
      <c r="AI332" s="100">
        <v>0</v>
      </c>
      <c r="AJ332" s="100">
        <v>1</v>
      </c>
      <c r="AK332" s="100">
        <v>0</v>
      </c>
      <c r="AL332" s="100">
        <v>0</v>
      </c>
      <c r="AM332" s="100">
        <v>0</v>
      </c>
      <c r="AN332" s="100">
        <v>0</v>
      </c>
      <c r="AO332" s="100">
        <v>0</v>
      </c>
      <c r="AP332" s="100">
        <v>0</v>
      </c>
      <c r="AQ332" s="100">
        <v>0</v>
      </c>
      <c r="AR332" s="100">
        <v>0</v>
      </c>
      <c r="AS332" s="100">
        <v>0</v>
      </c>
      <c r="AT332" s="100">
        <v>0</v>
      </c>
      <c r="AU332" s="100">
        <v>0</v>
      </c>
      <c r="AV332" s="100">
        <v>1</v>
      </c>
      <c r="AW332" s="100">
        <v>0</v>
      </c>
      <c r="AX332" s="100">
        <v>1</v>
      </c>
      <c r="AY332" s="100">
        <v>0</v>
      </c>
      <c r="AZ332" s="100">
        <v>0</v>
      </c>
      <c r="BA332" s="100">
        <v>0</v>
      </c>
      <c r="BB332" s="100">
        <v>0</v>
      </c>
      <c r="BC332" s="100">
        <v>0</v>
      </c>
      <c r="BD332" s="100">
        <v>0</v>
      </c>
      <c r="BE332" s="100">
        <v>0</v>
      </c>
      <c r="BF332" s="100">
        <v>0</v>
      </c>
      <c r="BG332" s="100">
        <v>0</v>
      </c>
      <c r="BH332" s="100">
        <v>0</v>
      </c>
      <c r="BI332" s="100">
        <v>0</v>
      </c>
      <c r="BJ332" s="100">
        <v>2</v>
      </c>
      <c r="BK332" s="100">
        <v>0</v>
      </c>
      <c r="BL332" s="100">
        <v>0</v>
      </c>
      <c r="BM332" s="100">
        <v>0</v>
      </c>
      <c r="BN332" s="100">
        <v>0</v>
      </c>
      <c r="BO332" s="100">
        <v>0</v>
      </c>
      <c r="BP332" s="100">
        <v>0</v>
      </c>
      <c r="BQ332" s="100">
        <v>0</v>
      </c>
      <c r="BR332" s="100">
        <v>0</v>
      </c>
      <c r="BS332" s="100">
        <v>0</v>
      </c>
      <c r="BT332" s="100">
        <v>0</v>
      </c>
      <c r="BU332" s="100">
        <v>0</v>
      </c>
      <c r="BV332" s="100">
        <v>0</v>
      </c>
      <c r="BW332" s="100">
        <v>0</v>
      </c>
      <c r="BX332" s="100">
        <v>1</v>
      </c>
      <c r="BY332" s="100">
        <v>0</v>
      </c>
      <c r="BZ332" s="100">
        <v>1</v>
      </c>
      <c r="CA332" s="100">
        <v>0</v>
      </c>
      <c r="CB332" s="100" t="s">
        <v>2090</v>
      </c>
      <c r="CC332" s="100">
        <v>0</v>
      </c>
      <c r="CD332" s="100">
        <v>1</v>
      </c>
      <c r="CE332" s="100">
        <v>0</v>
      </c>
      <c r="CF332" s="100">
        <v>0</v>
      </c>
      <c r="CG332" s="103">
        <v>247004.46721999999</v>
      </c>
      <c r="CH332" s="103">
        <v>16.27</v>
      </c>
      <c r="CI332" s="103">
        <v>1247806.8513</v>
      </c>
      <c r="CJ332" s="103">
        <v>16.510000000000002</v>
      </c>
      <c r="CK332" s="103">
        <f t="shared" si="20"/>
        <v>268.61770000000001</v>
      </c>
      <c r="CL332" s="103">
        <v>71002.600000000006</v>
      </c>
      <c r="CM332" s="103">
        <v>804092.4</v>
      </c>
      <c r="CN332" s="104">
        <v>8.8301543454458717E-2</v>
      </c>
      <c r="CO332" s="103">
        <v>61134.07185</v>
      </c>
      <c r="CP332" s="103">
        <v>3.73</v>
      </c>
      <c r="CQ332" s="103">
        <v>1487848.96838</v>
      </c>
      <c r="CR332" s="103">
        <v>13.1</v>
      </c>
      <c r="CS332" s="103">
        <f t="shared" si="21"/>
        <v>48.863</v>
      </c>
      <c r="CT332" s="103">
        <v>176244.2</v>
      </c>
      <c r="CU332" s="103">
        <v>800441.3</v>
      </c>
      <c r="CV332" s="104">
        <v>0.22018379111622552</v>
      </c>
      <c r="CW332" s="103">
        <v>794656.01213000005</v>
      </c>
      <c r="CX332" s="103">
        <v>48.85</v>
      </c>
      <c r="CY332" s="103">
        <v>4383367.1934399996</v>
      </c>
      <c r="CZ332" s="103">
        <v>47.300430606160987</v>
      </c>
      <c r="DA332" s="103">
        <f t="shared" si="22"/>
        <v>2310.6260351109645</v>
      </c>
      <c r="DB332" s="103">
        <v>886651</v>
      </c>
      <c r="DC332" s="103">
        <v>815276.9</v>
      </c>
      <c r="DD332" s="104">
        <v>1.0875458387205623</v>
      </c>
      <c r="DE332" s="103">
        <v>161170.25237</v>
      </c>
      <c r="DF332" s="103">
        <v>10.32</v>
      </c>
      <c r="DG332" s="103">
        <v>2555845.0002899999</v>
      </c>
      <c r="DH332" s="103">
        <v>18.809999999999999</v>
      </c>
      <c r="DI332" s="103">
        <f t="shared" si="23"/>
        <v>194.11919999999998</v>
      </c>
      <c r="DJ332" s="103">
        <v>252806.7</v>
      </c>
      <c r="DK332" s="103">
        <v>770944.8</v>
      </c>
      <c r="DL332" s="104">
        <v>0.327918029928991</v>
      </c>
    </row>
    <row r="333" spans="1:116" s="15" customFormat="1" ht="216.2" customHeight="1" x14ac:dyDescent="0.25">
      <c r="A333" s="100" t="s">
        <v>418</v>
      </c>
      <c r="B333" s="100" t="s">
        <v>2757</v>
      </c>
      <c r="C333" s="100" t="s">
        <v>279</v>
      </c>
      <c r="D333" s="101" t="str">
        <f>"Chemistry 30"</f>
        <v>Chemistry 30</v>
      </c>
      <c r="E333" s="102" t="s">
        <v>2758</v>
      </c>
      <c r="F333" s="100">
        <v>8</v>
      </c>
      <c r="G333" s="100">
        <v>7</v>
      </c>
      <c r="H333" s="100">
        <v>0.88</v>
      </c>
      <c r="I333" s="100">
        <v>11</v>
      </c>
      <c r="J333" s="100">
        <v>3</v>
      </c>
      <c r="K333" s="100">
        <v>3</v>
      </c>
      <c r="L333" s="100">
        <v>1</v>
      </c>
      <c r="M333" s="100">
        <v>0</v>
      </c>
      <c r="N333" s="100">
        <v>3</v>
      </c>
      <c r="O333" s="100">
        <v>1</v>
      </c>
      <c r="P333" s="100">
        <v>0.41</v>
      </c>
      <c r="Q333" s="100">
        <v>38.33</v>
      </c>
      <c r="R333" s="100">
        <v>3</v>
      </c>
      <c r="S333" s="100">
        <v>0</v>
      </c>
      <c r="T333" s="100">
        <v>0</v>
      </c>
      <c r="U333" s="100">
        <v>1</v>
      </c>
      <c r="V333" s="100">
        <v>0</v>
      </c>
      <c r="W333" s="100">
        <v>0</v>
      </c>
      <c r="X333" s="100">
        <v>1</v>
      </c>
      <c r="Y333" s="100">
        <v>0</v>
      </c>
      <c r="Z333" s="100">
        <v>1</v>
      </c>
      <c r="AA333" s="100">
        <v>0</v>
      </c>
      <c r="AB333" s="100">
        <v>0</v>
      </c>
      <c r="AC333" s="100">
        <v>1</v>
      </c>
      <c r="AD333" s="100">
        <v>0</v>
      </c>
      <c r="AE333" s="100">
        <v>0</v>
      </c>
      <c r="AF333" s="100">
        <v>1</v>
      </c>
      <c r="AG333" s="100">
        <v>0</v>
      </c>
      <c r="AH333" s="100">
        <v>0</v>
      </c>
      <c r="AI333" s="100">
        <v>1</v>
      </c>
      <c r="AJ333" s="100">
        <v>0</v>
      </c>
      <c r="AK333" s="100">
        <v>0</v>
      </c>
      <c r="AL333" s="100">
        <v>0</v>
      </c>
      <c r="AM333" s="100">
        <v>0</v>
      </c>
      <c r="AN333" s="100">
        <v>0</v>
      </c>
      <c r="AO333" s="100">
        <v>0</v>
      </c>
      <c r="AP333" s="100">
        <v>0</v>
      </c>
      <c r="AQ333" s="100">
        <v>0</v>
      </c>
      <c r="AR333" s="100">
        <v>0</v>
      </c>
      <c r="AS333" s="100">
        <v>0</v>
      </c>
      <c r="AT333" s="100">
        <v>0</v>
      </c>
      <c r="AU333" s="100">
        <v>0</v>
      </c>
      <c r="AV333" s="100">
        <v>0</v>
      </c>
      <c r="AW333" s="100">
        <v>0</v>
      </c>
      <c r="AX333" s="100">
        <v>1</v>
      </c>
      <c r="AY333" s="100">
        <v>0</v>
      </c>
      <c r="AZ333" s="100">
        <v>0</v>
      </c>
      <c r="BA333" s="100">
        <v>0</v>
      </c>
      <c r="BB333" s="100">
        <v>0</v>
      </c>
      <c r="BC333" s="100">
        <v>0</v>
      </c>
      <c r="BD333" s="100">
        <v>0</v>
      </c>
      <c r="BE333" s="100">
        <v>0</v>
      </c>
      <c r="BF333" s="100">
        <v>0</v>
      </c>
      <c r="BG333" s="100">
        <v>0</v>
      </c>
      <c r="BH333" s="100">
        <v>0</v>
      </c>
      <c r="BI333" s="100">
        <v>0</v>
      </c>
      <c r="BJ333" s="100">
        <v>1</v>
      </c>
      <c r="BK333" s="100">
        <v>0</v>
      </c>
      <c r="BL333" s="100">
        <v>0</v>
      </c>
      <c r="BM333" s="100">
        <v>0</v>
      </c>
      <c r="BN333" s="100">
        <v>0</v>
      </c>
      <c r="BO333" s="100">
        <v>0</v>
      </c>
      <c r="BP333" s="100">
        <v>0</v>
      </c>
      <c r="BQ333" s="100">
        <v>0</v>
      </c>
      <c r="BR333" s="100">
        <v>0</v>
      </c>
      <c r="BS333" s="100">
        <v>0</v>
      </c>
      <c r="BT333" s="100">
        <v>0</v>
      </c>
      <c r="BU333" s="100">
        <v>0</v>
      </c>
      <c r="BV333" s="100">
        <v>0</v>
      </c>
      <c r="BW333" s="100">
        <v>1</v>
      </c>
      <c r="BX333" s="100">
        <v>0</v>
      </c>
      <c r="BY333" s="100">
        <v>0</v>
      </c>
      <c r="BZ333" s="100">
        <v>0</v>
      </c>
      <c r="CA333" s="100">
        <v>1</v>
      </c>
      <c r="CB333" s="100" t="s">
        <v>2090</v>
      </c>
      <c r="CC333" s="100">
        <v>0</v>
      </c>
      <c r="CD333" s="100">
        <v>0</v>
      </c>
      <c r="CE333" s="100">
        <v>0</v>
      </c>
      <c r="CF333" s="100">
        <v>0</v>
      </c>
      <c r="CG333" s="103">
        <v>422016.20458000002</v>
      </c>
      <c r="CH333" s="103">
        <v>24.94</v>
      </c>
      <c r="CI333" s="103">
        <v>4106933.1000999999</v>
      </c>
      <c r="CJ333" s="103">
        <v>41.09</v>
      </c>
      <c r="CK333" s="103">
        <f t="shared" si="20"/>
        <v>1024.7846000000002</v>
      </c>
      <c r="CL333" s="103">
        <v>20988.9</v>
      </c>
      <c r="CM333" s="103">
        <v>48613.7</v>
      </c>
      <c r="CN333" s="104">
        <v>0.43174866344260987</v>
      </c>
      <c r="CO333" s="103">
        <v>16416.274239999999</v>
      </c>
      <c r="CP333" s="103">
        <v>1.06</v>
      </c>
      <c r="CQ333" s="103">
        <v>905445.35765999998</v>
      </c>
      <c r="CR333" s="103">
        <v>15.48</v>
      </c>
      <c r="CS333" s="103">
        <f t="shared" si="21"/>
        <v>16.408800000000003</v>
      </c>
      <c r="CT333" s="103">
        <v>228687.8</v>
      </c>
      <c r="CU333" s="103">
        <v>437481.9</v>
      </c>
      <c r="CV333" s="104">
        <v>0.52273659778838844</v>
      </c>
      <c r="CW333" s="103">
        <v>387247.58244000003</v>
      </c>
      <c r="CX333" s="103">
        <v>25.93</v>
      </c>
      <c r="CY333" s="103">
        <v>4385047.7415899998</v>
      </c>
      <c r="CZ333" s="103">
        <v>58.185328185328181</v>
      </c>
      <c r="DA333" s="103">
        <f t="shared" si="22"/>
        <v>1508.7455598455597</v>
      </c>
      <c r="DB333" s="103">
        <v>184342.7</v>
      </c>
      <c r="DC333" s="103">
        <v>95459.7</v>
      </c>
      <c r="DD333" s="104">
        <v>1.9311049584274831</v>
      </c>
      <c r="DE333" s="103">
        <v>8180.2081399999997</v>
      </c>
      <c r="DF333" s="103">
        <v>0.62</v>
      </c>
      <c r="DG333" s="103">
        <v>568609.25283999997</v>
      </c>
      <c r="DH333" s="103">
        <v>11.09</v>
      </c>
      <c r="DI333" s="103">
        <f t="shared" si="23"/>
        <v>6.8757999999999999</v>
      </c>
      <c r="DJ333" s="103">
        <v>16488</v>
      </c>
      <c r="DK333" s="103">
        <v>360554.7</v>
      </c>
      <c r="DL333" s="104">
        <v>4.5729538402910844E-2</v>
      </c>
    </row>
    <row r="334" spans="1:116" s="15" customFormat="1" ht="265.7" customHeight="1" x14ac:dyDescent="0.25">
      <c r="A334" s="100" t="s">
        <v>419</v>
      </c>
      <c r="B334" s="100" t="s">
        <v>2759</v>
      </c>
      <c r="C334" s="100" t="s">
        <v>279</v>
      </c>
      <c r="D334" s="101" t="str">
        <f>"Chemistry 6"</f>
        <v>Chemistry 6</v>
      </c>
      <c r="E334" s="102" t="s">
        <v>2760</v>
      </c>
      <c r="F334" s="100">
        <v>14</v>
      </c>
      <c r="G334" s="100">
        <v>7</v>
      </c>
      <c r="H334" s="100">
        <v>0.5</v>
      </c>
      <c r="I334" s="100">
        <v>19</v>
      </c>
      <c r="J334" s="100">
        <v>5</v>
      </c>
      <c r="K334" s="100">
        <v>5</v>
      </c>
      <c r="L334" s="100">
        <v>3</v>
      </c>
      <c r="M334" s="100">
        <v>1</v>
      </c>
      <c r="N334" s="100">
        <v>4</v>
      </c>
      <c r="O334" s="100">
        <v>2</v>
      </c>
      <c r="P334" s="100">
        <v>1.55</v>
      </c>
      <c r="Q334" s="100">
        <v>53.6</v>
      </c>
      <c r="R334" s="100">
        <v>6</v>
      </c>
      <c r="S334" s="100">
        <v>1</v>
      </c>
      <c r="T334" s="100">
        <v>0</v>
      </c>
      <c r="U334" s="100">
        <v>0</v>
      </c>
      <c r="V334" s="100">
        <v>0</v>
      </c>
      <c r="W334" s="100">
        <v>0</v>
      </c>
      <c r="X334" s="100">
        <v>0</v>
      </c>
      <c r="Y334" s="100">
        <v>1</v>
      </c>
      <c r="Z334" s="100">
        <v>0</v>
      </c>
      <c r="AA334" s="100">
        <v>0</v>
      </c>
      <c r="AB334" s="100">
        <v>1</v>
      </c>
      <c r="AC334" s="100">
        <v>0</v>
      </c>
      <c r="AD334" s="100">
        <v>0</v>
      </c>
      <c r="AE334" s="100">
        <v>0</v>
      </c>
      <c r="AF334" s="100">
        <v>1</v>
      </c>
      <c r="AG334" s="100">
        <v>0</v>
      </c>
      <c r="AH334" s="100">
        <v>0</v>
      </c>
      <c r="AI334" s="100">
        <v>0</v>
      </c>
      <c r="AJ334" s="100">
        <v>1</v>
      </c>
      <c r="AK334" s="100">
        <v>0</v>
      </c>
      <c r="AL334" s="100">
        <v>0</v>
      </c>
      <c r="AM334" s="100">
        <v>0</v>
      </c>
      <c r="AN334" s="100">
        <v>0</v>
      </c>
      <c r="AO334" s="100">
        <v>0</v>
      </c>
      <c r="AP334" s="100">
        <v>0</v>
      </c>
      <c r="AQ334" s="100">
        <v>0</v>
      </c>
      <c r="AR334" s="100">
        <v>0</v>
      </c>
      <c r="AS334" s="100">
        <v>0</v>
      </c>
      <c r="AT334" s="100">
        <v>0</v>
      </c>
      <c r="AU334" s="100">
        <v>0</v>
      </c>
      <c r="AV334" s="100">
        <v>1</v>
      </c>
      <c r="AW334" s="100">
        <v>0</v>
      </c>
      <c r="AX334" s="100">
        <v>0</v>
      </c>
      <c r="AY334" s="100">
        <v>0</v>
      </c>
      <c r="AZ334" s="100">
        <v>0</v>
      </c>
      <c r="BA334" s="100">
        <v>0</v>
      </c>
      <c r="BB334" s="100">
        <v>0</v>
      </c>
      <c r="BC334" s="100">
        <v>0</v>
      </c>
      <c r="BD334" s="100">
        <v>0</v>
      </c>
      <c r="BE334" s="100">
        <v>0</v>
      </c>
      <c r="BF334" s="100">
        <v>0</v>
      </c>
      <c r="BG334" s="100">
        <v>0</v>
      </c>
      <c r="BH334" s="100">
        <v>1</v>
      </c>
      <c r="BI334" s="100">
        <v>0</v>
      </c>
      <c r="BJ334" s="100">
        <v>2</v>
      </c>
      <c r="BK334" s="100">
        <v>0</v>
      </c>
      <c r="BL334" s="100">
        <v>0</v>
      </c>
      <c r="BM334" s="100">
        <v>0</v>
      </c>
      <c r="BN334" s="100">
        <v>0</v>
      </c>
      <c r="BO334" s="100">
        <v>0</v>
      </c>
      <c r="BP334" s="100">
        <v>0</v>
      </c>
      <c r="BQ334" s="100">
        <v>0</v>
      </c>
      <c r="BR334" s="100">
        <v>0</v>
      </c>
      <c r="BS334" s="100">
        <v>0</v>
      </c>
      <c r="BT334" s="100">
        <v>0</v>
      </c>
      <c r="BU334" s="100">
        <v>0</v>
      </c>
      <c r="BV334" s="100">
        <v>0</v>
      </c>
      <c r="BW334" s="100">
        <v>1</v>
      </c>
      <c r="BX334" s="100">
        <v>0</v>
      </c>
      <c r="BY334" s="100">
        <v>0</v>
      </c>
      <c r="BZ334" s="100">
        <v>0</v>
      </c>
      <c r="CA334" s="100">
        <v>0</v>
      </c>
      <c r="CB334" s="100" t="s">
        <v>2090</v>
      </c>
      <c r="CC334" s="100">
        <v>1</v>
      </c>
      <c r="CD334" s="100">
        <v>0</v>
      </c>
      <c r="CE334" s="100">
        <v>0</v>
      </c>
      <c r="CF334" s="100">
        <v>0</v>
      </c>
      <c r="CG334" s="103">
        <v>0</v>
      </c>
      <c r="CH334" s="103">
        <v>0</v>
      </c>
      <c r="CI334" s="103">
        <v>319182.00057999999</v>
      </c>
      <c r="CJ334" s="103">
        <v>4.78</v>
      </c>
      <c r="CK334" s="103">
        <f t="shared" si="20"/>
        <v>0</v>
      </c>
      <c r="CL334" s="103">
        <v>19766.400000000001</v>
      </c>
      <c r="CM334" s="103">
        <v>809578.6</v>
      </c>
      <c r="CN334" s="104">
        <v>2.4415665137393704E-2</v>
      </c>
      <c r="CO334" s="103">
        <v>0</v>
      </c>
      <c r="CP334" s="103">
        <v>0</v>
      </c>
      <c r="CQ334" s="103">
        <v>21902.678489999998</v>
      </c>
      <c r="CR334" s="103">
        <v>0</v>
      </c>
      <c r="CS334" s="103">
        <f t="shared" si="21"/>
        <v>0</v>
      </c>
      <c r="CT334" s="103">
        <v>15371.7</v>
      </c>
      <c r="CU334" s="103">
        <v>881233.1</v>
      </c>
      <c r="CV334" s="104">
        <v>1.7443398347156958E-2</v>
      </c>
      <c r="CW334" s="103">
        <v>136300.52213</v>
      </c>
      <c r="CX334" s="103">
        <v>10.14</v>
      </c>
      <c r="CY334" s="103">
        <v>2425095.1266700001</v>
      </c>
      <c r="CZ334" s="103">
        <v>25.710900473933645</v>
      </c>
      <c r="DA334" s="103">
        <f t="shared" si="22"/>
        <v>260.70853080568719</v>
      </c>
      <c r="DB334" s="103">
        <v>283369.59999999998</v>
      </c>
      <c r="DC334" s="103">
        <v>386966.8</v>
      </c>
      <c r="DD334" s="104">
        <v>0.7322840098943888</v>
      </c>
      <c r="DE334" s="103">
        <v>0</v>
      </c>
      <c r="DF334" s="103">
        <v>0</v>
      </c>
      <c r="DG334" s="103">
        <v>736.14072999999996</v>
      </c>
      <c r="DH334" s="103">
        <v>0</v>
      </c>
      <c r="DI334" s="103">
        <f t="shared" si="23"/>
        <v>0</v>
      </c>
      <c r="DJ334" s="103">
        <v>4288.8</v>
      </c>
      <c r="DK334" s="103">
        <v>643970.6</v>
      </c>
      <c r="DL334" s="104">
        <v>6.6599313695376782E-3</v>
      </c>
    </row>
    <row r="335" spans="1:116" s="15" customFormat="1" ht="219.2" customHeight="1" x14ac:dyDescent="0.25">
      <c r="A335" s="100" t="s">
        <v>420</v>
      </c>
      <c r="B335" s="100" t="s">
        <v>2761</v>
      </c>
      <c r="C335" s="100" t="s">
        <v>279</v>
      </c>
      <c r="D335" s="101" t="str">
        <f>"Chemistry 61"</f>
        <v>Chemistry 61</v>
      </c>
      <c r="E335" s="102" t="s">
        <v>2762</v>
      </c>
      <c r="F335" s="100">
        <v>11</v>
      </c>
      <c r="G335" s="100">
        <v>3</v>
      </c>
      <c r="H335" s="100">
        <v>0.27</v>
      </c>
      <c r="I335" s="100">
        <v>14</v>
      </c>
      <c r="J335" s="100">
        <v>3</v>
      </c>
      <c r="K335" s="100">
        <v>3</v>
      </c>
      <c r="L335" s="100">
        <v>2</v>
      </c>
      <c r="M335" s="100">
        <v>2</v>
      </c>
      <c r="N335" s="100">
        <v>1</v>
      </c>
      <c r="O335" s="100">
        <v>1</v>
      </c>
      <c r="P335" s="100">
        <v>1.65</v>
      </c>
      <c r="Q335" s="100">
        <v>16.96</v>
      </c>
      <c r="R335" s="100">
        <v>1</v>
      </c>
      <c r="S335" s="100">
        <v>0</v>
      </c>
      <c r="T335" s="100">
        <v>1</v>
      </c>
      <c r="U335" s="100">
        <v>0</v>
      </c>
      <c r="V335" s="100">
        <v>0</v>
      </c>
      <c r="W335" s="100">
        <v>1</v>
      </c>
      <c r="X335" s="100">
        <v>0</v>
      </c>
      <c r="Y335" s="100">
        <v>0</v>
      </c>
      <c r="Z335" s="100">
        <v>1</v>
      </c>
      <c r="AA335" s="100">
        <v>0</v>
      </c>
      <c r="AB335" s="100">
        <v>0</v>
      </c>
      <c r="AC335" s="100">
        <v>1</v>
      </c>
      <c r="AD335" s="100">
        <v>0</v>
      </c>
      <c r="AE335" s="100">
        <v>0</v>
      </c>
      <c r="AF335" s="100">
        <v>1</v>
      </c>
      <c r="AG335" s="100">
        <v>0</v>
      </c>
      <c r="AH335" s="100">
        <v>1</v>
      </c>
      <c r="AI335" s="100">
        <v>0</v>
      </c>
      <c r="AJ335" s="100">
        <v>0</v>
      </c>
      <c r="AK335" s="100">
        <v>1</v>
      </c>
      <c r="AL335" s="100">
        <v>1</v>
      </c>
      <c r="AM335" s="100">
        <v>0</v>
      </c>
      <c r="AN335" s="100">
        <v>1</v>
      </c>
      <c r="AO335" s="100">
        <v>0</v>
      </c>
      <c r="AP335" s="100">
        <v>0</v>
      </c>
      <c r="AQ335" s="100">
        <v>0</v>
      </c>
      <c r="AR335" s="100">
        <v>0</v>
      </c>
      <c r="AS335" s="100">
        <v>0</v>
      </c>
      <c r="AT335" s="100">
        <v>0</v>
      </c>
      <c r="AU335" s="100">
        <v>0</v>
      </c>
      <c r="AV335" s="100">
        <v>0</v>
      </c>
      <c r="AW335" s="100">
        <v>0</v>
      </c>
      <c r="AX335" s="100">
        <v>0</v>
      </c>
      <c r="AY335" s="100">
        <v>0</v>
      </c>
      <c r="AZ335" s="100">
        <v>0</v>
      </c>
      <c r="BA335" s="100">
        <v>0</v>
      </c>
      <c r="BB335" s="100">
        <v>0</v>
      </c>
      <c r="BC335" s="100">
        <v>0</v>
      </c>
      <c r="BD335" s="100">
        <v>0</v>
      </c>
      <c r="BE335" s="100">
        <v>0</v>
      </c>
      <c r="BF335" s="100">
        <v>0</v>
      </c>
      <c r="BG335" s="100">
        <v>0</v>
      </c>
      <c r="BH335" s="100">
        <v>0</v>
      </c>
      <c r="BI335" s="100">
        <v>0</v>
      </c>
      <c r="BJ335" s="100">
        <v>0</v>
      </c>
      <c r="BK335" s="100">
        <v>0</v>
      </c>
      <c r="BL335" s="100">
        <v>0</v>
      </c>
      <c r="BM335" s="100">
        <v>0</v>
      </c>
      <c r="BN335" s="100">
        <v>0</v>
      </c>
      <c r="BO335" s="100">
        <v>0</v>
      </c>
      <c r="BP335" s="100">
        <v>0</v>
      </c>
      <c r="BQ335" s="100">
        <v>0</v>
      </c>
      <c r="BR335" s="100">
        <v>0</v>
      </c>
      <c r="BS335" s="100">
        <v>0</v>
      </c>
      <c r="BT335" s="100">
        <v>0</v>
      </c>
      <c r="BU335" s="100">
        <v>0</v>
      </c>
      <c r="BV335" s="100">
        <v>1</v>
      </c>
      <c r="BW335" s="100">
        <v>0</v>
      </c>
      <c r="BX335" s="100">
        <v>1</v>
      </c>
      <c r="BY335" s="100">
        <v>0</v>
      </c>
      <c r="BZ335" s="100">
        <v>1</v>
      </c>
      <c r="CA335" s="100">
        <v>0</v>
      </c>
      <c r="CB335" s="100" t="s">
        <v>2090</v>
      </c>
      <c r="CC335" s="100">
        <v>0</v>
      </c>
      <c r="CD335" s="100">
        <v>0</v>
      </c>
      <c r="CE335" s="100">
        <v>1</v>
      </c>
      <c r="CF335" s="100">
        <v>0</v>
      </c>
      <c r="CG335" s="103">
        <v>0</v>
      </c>
      <c r="CH335" s="103">
        <v>0</v>
      </c>
      <c r="CI335" s="103">
        <v>236473.23115000001</v>
      </c>
      <c r="CJ335" s="103">
        <v>2.34</v>
      </c>
      <c r="CK335" s="103">
        <f t="shared" si="20"/>
        <v>0</v>
      </c>
      <c r="CL335" s="103">
        <v>4342.8999999999996</v>
      </c>
      <c r="CM335" s="103">
        <v>267417.09999999998</v>
      </c>
      <c r="CN335" s="104">
        <v>1.6240173122810769E-2</v>
      </c>
      <c r="CO335" s="103">
        <v>0</v>
      </c>
      <c r="CP335" s="103">
        <v>0</v>
      </c>
      <c r="CQ335" s="103">
        <v>10166.40576</v>
      </c>
      <c r="CR335" s="103">
        <v>0</v>
      </c>
      <c r="CS335" s="103">
        <f t="shared" si="21"/>
        <v>0</v>
      </c>
      <c r="CT335" s="103">
        <v>618.5</v>
      </c>
      <c r="CU335" s="103">
        <v>108640.2</v>
      </c>
      <c r="CV335" s="104">
        <v>5.6931043941377138E-3</v>
      </c>
      <c r="CW335" s="103">
        <v>0</v>
      </c>
      <c r="CX335" s="103">
        <v>0</v>
      </c>
      <c r="CY335" s="103">
        <v>266020.22298000002</v>
      </c>
      <c r="CZ335" s="103">
        <v>2.4817518248175179</v>
      </c>
      <c r="DA335" s="103">
        <f t="shared" si="22"/>
        <v>0</v>
      </c>
      <c r="DB335" s="103">
        <v>714.1</v>
      </c>
      <c r="DC335" s="103">
        <v>34851.599999999999</v>
      </c>
      <c r="DD335" s="104">
        <v>2.0489733613377865E-2</v>
      </c>
      <c r="DE335" s="103">
        <v>0</v>
      </c>
      <c r="DF335" s="103">
        <v>0</v>
      </c>
      <c r="DG335" s="103">
        <v>0</v>
      </c>
      <c r="DH335" s="103">
        <v>0</v>
      </c>
      <c r="DI335" s="103">
        <f t="shared" si="23"/>
        <v>0</v>
      </c>
      <c r="DJ335" s="103">
        <v>2191.5</v>
      </c>
      <c r="DK335" s="103">
        <v>137654.1</v>
      </c>
      <c r="DL335" s="104">
        <v>1.5920339459558414E-2</v>
      </c>
    </row>
    <row r="336" spans="1:116" s="15" customFormat="1" ht="160.69999999999999" customHeight="1" x14ac:dyDescent="0.25">
      <c r="A336" s="100" t="s">
        <v>421</v>
      </c>
      <c r="B336" s="100" t="s">
        <v>2763</v>
      </c>
      <c r="C336" s="100" t="s">
        <v>279</v>
      </c>
      <c r="D336" s="101" t="str">
        <f>"Chemistry 132"</f>
        <v>Chemistry 132</v>
      </c>
      <c r="E336" s="102" t="s">
        <v>2764</v>
      </c>
      <c r="F336" s="100">
        <v>8</v>
      </c>
      <c r="G336" s="100">
        <v>5</v>
      </c>
      <c r="H336" s="100">
        <v>0.63</v>
      </c>
      <c r="I336" s="100">
        <v>15</v>
      </c>
      <c r="J336" s="100">
        <v>7</v>
      </c>
      <c r="K336" s="100">
        <v>7</v>
      </c>
      <c r="L336" s="100">
        <v>4</v>
      </c>
      <c r="M336" s="100">
        <v>1</v>
      </c>
      <c r="N336" s="100">
        <v>4</v>
      </c>
      <c r="O336" s="100">
        <v>1</v>
      </c>
      <c r="P336" s="100">
        <v>-0.45</v>
      </c>
      <c r="Q336" s="100">
        <v>67.23</v>
      </c>
      <c r="R336" s="100">
        <v>2</v>
      </c>
      <c r="S336" s="100">
        <v>0</v>
      </c>
      <c r="T336" s="100">
        <v>1</v>
      </c>
      <c r="U336" s="100">
        <v>0</v>
      </c>
      <c r="V336" s="100">
        <v>1</v>
      </c>
      <c r="W336" s="100">
        <v>0</v>
      </c>
      <c r="X336" s="100">
        <v>0</v>
      </c>
      <c r="Y336" s="100">
        <v>0</v>
      </c>
      <c r="Z336" s="100">
        <v>1</v>
      </c>
      <c r="AA336" s="100">
        <v>0</v>
      </c>
      <c r="AB336" s="100">
        <v>1</v>
      </c>
      <c r="AC336" s="100">
        <v>0</v>
      </c>
      <c r="AD336" s="100">
        <v>0</v>
      </c>
      <c r="AE336" s="100">
        <v>1</v>
      </c>
      <c r="AF336" s="100">
        <v>0</v>
      </c>
      <c r="AG336" s="100">
        <v>0</v>
      </c>
      <c r="AH336" s="100">
        <v>0</v>
      </c>
      <c r="AI336" s="100">
        <v>0</v>
      </c>
      <c r="AJ336" s="100">
        <v>1</v>
      </c>
      <c r="AK336" s="100">
        <v>0</v>
      </c>
      <c r="AL336" s="100">
        <v>0</v>
      </c>
      <c r="AM336" s="100">
        <v>0</v>
      </c>
      <c r="AN336" s="100">
        <v>1</v>
      </c>
      <c r="AO336" s="100">
        <v>0</v>
      </c>
      <c r="AP336" s="100">
        <v>0</v>
      </c>
      <c r="AQ336" s="100">
        <v>0</v>
      </c>
      <c r="AR336" s="100">
        <v>0</v>
      </c>
      <c r="AS336" s="100">
        <v>0</v>
      </c>
      <c r="AT336" s="100">
        <v>0</v>
      </c>
      <c r="AU336" s="100">
        <v>0</v>
      </c>
      <c r="AV336" s="100">
        <v>0</v>
      </c>
      <c r="AW336" s="100">
        <v>0</v>
      </c>
      <c r="AX336" s="100">
        <v>0</v>
      </c>
      <c r="AY336" s="100">
        <v>0</v>
      </c>
      <c r="AZ336" s="100">
        <v>0</v>
      </c>
      <c r="BA336" s="100">
        <v>0</v>
      </c>
      <c r="BB336" s="100">
        <v>0</v>
      </c>
      <c r="BC336" s="100">
        <v>0</v>
      </c>
      <c r="BD336" s="100">
        <v>0</v>
      </c>
      <c r="BE336" s="100">
        <v>0</v>
      </c>
      <c r="BF336" s="100">
        <v>1</v>
      </c>
      <c r="BG336" s="100">
        <v>0</v>
      </c>
      <c r="BH336" s="100">
        <v>0</v>
      </c>
      <c r="BI336" s="100">
        <v>0</v>
      </c>
      <c r="BJ336" s="100">
        <v>1</v>
      </c>
      <c r="BK336" s="100">
        <v>0</v>
      </c>
      <c r="BL336" s="100">
        <v>0</v>
      </c>
      <c r="BM336" s="100">
        <v>0</v>
      </c>
      <c r="BN336" s="100">
        <v>0</v>
      </c>
      <c r="BO336" s="100">
        <v>0</v>
      </c>
      <c r="BP336" s="100">
        <v>0</v>
      </c>
      <c r="BQ336" s="100">
        <v>0</v>
      </c>
      <c r="BR336" s="100">
        <v>0</v>
      </c>
      <c r="BS336" s="100">
        <v>0</v>
      </c>
      <c r="BT336" s="100">
        <v>0</v>
      </c>
      <c r="BU336" s="100">
        <v>0</v>
      </c>
      <c r="BV336" s="100">
        <v>1</v>
      </c>
      <c r="BW336" s="100">
        <v>0</v>
      </c>
      <c r="BX336" s="100">
        <v>1</v>
      </c>
      <c r="BY336" s="100">
        <v>0</v>
      </c>
      <c r="BZ336" s="100">
        <v>0</v>
      </c>
      <c r="CA336" s="100">
        <v>0</v>
      </c>
      <c r="CB336" s="100" t="s">
        <v>2090</v>
      </c>
      <c r="CC336" s="100">
        <v>0</v>
      </c>
      <c r="CD336" s="100">
        <v>1</v>
      </c>
      <c r="CE336" s="100">
        <v>0</v>
      </c>
      <c r="CF336" s="100">
        <v>0</v>
      </c>
      <c r="CG336" s="103">
        <v>57871.051829999997</v>
      </c>
      <c r="CH336" s="103">
        <v>3.75</v>
      </c>
      <c r="CI336" s="103">
        <v>1118955.9839399999</v>
      </c>
      <c r="CJ336" s="103">
        <v>21.31</v>
      </c>
      <c r="CK336" s="103">
        <f t="shared" si="20"/>
        <v>79.912499999999994</v>
      </c>
      <c r="CL336" s="103">
        <v>172016.9</v>
      </c>
      <c r="CM336" s="103">
        <v>592547.80000000005</v>
      </c>
      <c r="CN336" s="104">
        <v>0.29030046183615899</v>
      </c>
      <c r="CO336" s="103">
        <v>243052.62122</v>
      </c>
      <c r="CP336" s="103">
        <v>14.66</v>
      </c>
      <c r="CQ336" s="103">
        <v>2224258.05149</v>
      </c>
      <c r="CR336" s="103">
        <v>35.49</v>
      </c>
      <c r="CS336" s="103">
        <f t="shared" si="21"/>
        <v>520.28340000000003</v>
      </c>
      <c r="CT336" s="103">
        <v>258447.9</v>
      </c>
      <c r="CU336" s="103">
        <v>404273.2</v>
      </c>
      <c r="CV336" s="104">
        <v>0.63929021265817276</v>
      </c>
      <c r="CW336" s="103">
        <v>1212592.19353</v>
      </c>
      <c r="CX336" s="103">
        <v>65.42</v>
      </c>
      <c r="CY336" s="103">
        <v>3847192.49957</v>
      </c>
      <c r="CZ336" s="103">
        <v>69.556451612903231</v>
      </c>
      <c r="DA336" s="103">
        <f t="shared" si="22"/>
        <v>4550.3830645161297</v>
      </c>
      <c r="DB336" s="103">
        <v>514275.6</v>
      </c>
      <c r="DC336" s="103">
        <v>298239.09999999998</v>
      </c>
      <c r="DD336" s="104">
        <v>1.7243734976399809</v>
      </c>
      <c r="DE336" s="103">
        <v>749119.8713</v>
      </c>
      <c r="DF336" s="103">
        <v>40.22</v>
      </c>
      <c r="DG336" s="103">
        <v>3215573.7483100002</v>
      </c>
      <c r="DH336" s="103">
        <v>42.36</v>
      </c>
      <c r="DI336" s="103">
        <f t="shared" si="23"/>
        <v>1703.7192</v>
      </c>
      <c r="DJ336" s="103">
        <v>447526</v>
      </c>
      <c r="DK336" s="103">
        <v>485709.8</v>
      </c>
      <c r="DL336" s="104">
        <v>0.92138556809024652</v>
      </c>
    </row>
    <row r="337" spans="1:116" s="15" customFormat="1" ht="194.45" customHeight="1" x14ac:dyDescent="0.25">
      <c r="A337" s="100" t="s">
        <v>422</v>
      </c>
      <c r="B337" s="100" t="s">
        <v>2765</v>
      </c>
      <c r="C337" s="100" t="s">
        <v>279</v>
      </c>
      <c r="D337" s="115" t="str">
        <f>"Chemistry 143"</f>
        <v>Chemistry 143</v>
      </c>
      <c r="E337" s="102" t="s">
        <v>1991</v>
      </c>
      <c r="F337" s="100">
        <v>18</v>
      </c>
      <c r="G337" s="100">
        <v>9</v>
      </c>
      <c r="H337" s="100">
        <v>0.5</v>
      </c>
      <c r="I337" s="100">
        <v>23</v>
      </c>
      <c r="J337" s="100">
        <v>5</v>
      </c>
      <c r="K337" s="100">
        <v>5</v>
      </c>
      <c r="L337" s="100">
        <v>3</v>
      </c>
      <c r="M337" s="100">
        <v>2</v>
      </c>
      <c r="N337" s="100">
        <v>3</v>
      </c>
      <c r="O337" s="100">
        <v>2</v>
      </c>
      <c r="P337" s="100">
        <v>3.64</v>
      </c>
      <c r="Q337" s="100">
        <v>57.36</v>
      </c>
      <c r="R337" s="100">
        <v>4</v>
      </c>
      <c r="S337" s="100">
        <v>1</v>
      </c>
      <c r="T337" s="100">
        <v>0</v>
      </c>
      <c r="U337" s="100">
        <v>0</v>
      </c>
      <c r="V337" s="100">
        <v>0</v>
      </c>
      <c r="W337" s="100">
        <v>1</v>
      </c>
      <c r="X337" s="100">
        <v>0</v>
      </c>
      <c r="Y337" s="100">
        <v>1</v>
      </c>
      <c r="Z337" s="100">
        <v>0</v>
      </c>
      <c r="AA337" s="100">
        <v>0</v>
      </c>
      <c r="AB337" s="100">
        <v>0</v>
      </c>
      <c r="AC337" s="100">
        <v>1</v>
      </c>
      <c r="AD337" s="100">
        <v>0</v>
      </c>
      <c r="AE337" s="100">
        <v>0</v>
      </c>
      <c r="AF337" s="100">
        <v>0</v>
      </c>
      <c r="AG337" s="100">
        <v>1</v>
      </c>
      <c r="AH337" s="100">
        <v>0</v>
      </c>
      <c r="AI337" s="100">
        <v>0</v>
      </c>
      <c r="AJ337" s="100">
        <v>1</v>
      </c>
      <c r="AK337" s="100">
        <v>0</v>
      </c>
      <c r="AL337" s="100">
        <v>0</v>
      </c>
      <c r="AM337" s="100">
        <v>0</v>
      </c>
      <c r="AN337" s="100">
        <v>1</v>
      </c>
      <c r="AO337" s="100">
        <v>0</v>
      </c>
      <c r="AP337" s="100">
        <v>0</v>
      </c>
      <c r="AQ337" s="100">
        <v>0</v>
      </c>
      <c r="AR337" s="100">
        <v>0</v>
      </c>
      <c r="AS337" s="100">
        <v>0</v>
      </c>
      <c r="AT337" s="100">
        <v>0</v>
      </c>
      <c r="AU337" s="100">
        <v>0</v>
      </c>
      <c r="AV337" s="100">
        <v>1</v>
      </c>
      <c r="AW337" s="100">
        <v>0</v>
      </c>
      <c r="AX337" s="100">
        <v>0</v>
      </c>
      <c r="AY337" s="100">
        <v>0</v>
      </c>
      <c r="AZ337" s="100">
        <v>0</v>
      </c>
      <c r="BA337" s="100">
        <v>0</v>
      </c>
      <c r="BB337" s="100">
        <v>0</v>
      </c>
      <c r="BC337" s="100">
        <v>0</v>
      </c>
      <c r="BD337" s="100">
        <v>0</v>
      </c>
      <c r="BE337" s="100">
        <v>0</v>
      </c>
      <c r="BF337" s="100">
        <v>0</v>
      </c>
      <c r="BG337" s="100">
        <v>0</v>
      </c>
      <c r="BH337" s="100">
        <v>0</v>
      </c>
      <c r="BI337" s="100">
        <v>0</v>
      </c>
      <c r="BJ337" s="100">
        <v>1</v>
      </c>
      <c r="BK337" s="100">
        <v>0</v>
      </c>
      <c r="BL337" s="100">
        <v>0</v>
      </c>
      <c r="BM337" s="100">
        <v>0</v>
      </c>
      <c r="BN337" s="100">
        <v>0</v>
      </c>
      <c r="BO337" s="100">
        <v>0</v>
      </c>
      <c r="BP337" s="100">
        <v>0</v>
      </c>
      <c r="BQ337" s="100">
        <v>0</v>
      </c>
      <c r="BR337" s="100">
        <v>1</v>
      </c>
      <c r="BS337" s="100">
        <v>1</v>
      </c>
      <c r="BT337" s="100">
        <v>0</v>
      </c>
      <c r="BU337" s="100">
        <v>0</v>
      </c>
      <c r="BV337" s="100">
        <v>0</v>
      </c>
      <c r="BW337" s="100">
        <v>0</v>
      </c>
      <c r="BX337" s="100">
        <v>1</v>
      </c>
      <c r="BY337" s="100">
        <v>0</v>
      </c>
      <c r="BZ337" s="100">
        <v>1</v>
      </c>
      <c r="CA337" s="100">
        <v>0</v>
      </c>
      <c r="CB337" s="100" t="s">
        <v>2090</v>
      </c>
      <c r="CC337" s="100">
        <v>0</v>
      </c>
      <c r="CD337" s="100">
        <v>1</v>
      </c>
      <c r="CE337" s="100">
        <v>0</v>
      </c>
      <c r="CF337" s="100">
        <v>0</v>
      </c>
      <c r="CG337" s="103">
        <v>50990.558969999998</v>
      </c>
      <c r="CH337" s="103">
        <v>1.38</v>
      </c>
      <c r="CI337" s="103">
        <v>984153.45837000001</v>
      </c>
      <c r="CJ337" s="103">
        <v>6.72</v>
      </c>
      <c r="CK337" s="103">
        <f t="shared" si="20"/>
        <v>9.2735999999999983</v>
      </c>
      <c r="CL337" s="103">
        <v>116032.5</v>
      </c>
      <c r="CM337" s="103">
        <v>740254.6</v>
      </c>
      <c r="CN337" s="104">
        <v>0.15674674632214378</v>
      </c>
      <c r="CO337" s="103">
        <v>94610.840769999995</v>
      </c>
      <c r="CP337" s="103">
        <v>2.09</v>
      </c>
      <c r="CQ337" s="103">
        <v>1362304.2006900001</v>
      </c>
      <c r="CR337" s="103">
        <v>6.92</v>
      </c>
      <c r="CS337" s="103">
        <f t="shared" si="21"/>
        <v>14.4628</v>
      </c>
      <c r="CT337" s="103">
        <v>86680.8</v>
      </c>
      <c r="CU337" s="103">
        <v>467614.6</v>
      </c>
      <c r="CV337" s="104">
        <v>0.18536803598518953</v>
      </c>
      <c r="CW337" s="103">
        <v>311661.15771</v>
      </c>
      <c r="CX337" s="103">
        <v>14.21</v>
      </c>
      <c r="CY337" s="103">
        <v>2545568.4013800002</v>
      </c>
      <c r="CZ337" s="103">
        <v>22.562432138979375</v>
      </c>
      <c r="DA337" s="103">
        <f t="shared" si="22"/>
        <v>320.61216069489694</v>
      </c>
      <c r="DB337" s="103">
        <v>139780.6</v>
      </c>
      <c r="DC337" s="103">
        <v>252650.5</v>
      </c>
      <c r="DD337" s="104">
        <v>0.55325677170636911</v>
      </c>
      <c r="DE337" s="103">
        <v>207589.71528</v>
      </c>
      <c r="DF337" s="103">
        <v>5.05</v>
      </c>
      <c r="DG337" s="103">
        <v>1860427.0789999999</v>
      </c>
      <c r="DH337" s="103">
        <v>10.45</v>
      </c>
      <c r="DI337" s="103">
        <f t="shared" si="23"/>
        <v>52.772499999999994</v>
      </c>
      <c r="DJ337" s="103">
        <v>70261.2</v>
      </c>
      <c r="DK337" s="103">
        <v>468730.7</v>
      </c>
      <c r="DL337" s="104">
        <v>0.14989673174810184</v>
      </c>
    </row>
    <row r="338" spans="1:116" s="15" customFormat="1" ht="181.7" customHeight="1" x14ac:dyDescent="0.25">
      <c r="A338" s="100" t="s">
        <v>423</v>
      </c>
      <c r="B338" s="100" t="s">
        <v>2766</v>
      </c>
      <c r="C338" s="100" t="s">
        <v>279</v>
      </c>
      <c r="D338" s="101" t="str">
        <f>"Chemistry 134"</f>
        <v>Chemistry 134</v>
      </c>
      <c r="E338" s="102" t="s">
        <v>2767</v>
      </c>
      <c r="F338" s="100">
        <v>6</v>
      </c>
      <c r="G338" s="100">
        <v>6</v>
      </c>
      <c r="H338" s="100">
        <v>1</v>
      </c>
      <c r="I338" s="100">
        <v>12</v>
      </c>
      <c r="J338" s="100">
        <v>6</v>
      </c>
      <c r="K338" s="100">
        <v>6</v>
      </c>
      <c r="L338" s="100">
        <v>3</v>
      </c>
      <c r="M338" s="100">
        <v>0</v>
      </c>
      <c r="N338" s="100">
        <v>3</v>
      </c>
      <c r="O338" s="100">
        <v>1</v>
      </c>
      <c r="P338" s="100">
        <v>-0.39</v>
      </c>
      <c r="Q338" s="100">
        <v>52.65</v>
      </c>
      <c r="R338" s="100">
        <v>2</v>
      </c>
      <c r="S338" s="100">
        <v>0</v>
      </c>
      <c r="T338" s="100">
        <v>0</v>
      </c>
      <c r="U338" s="100">
        <v>1</v>
      </c>
      <c r="V338" s="100">
        <v>0</v>
      </c>
      <c r="W338" s="100">
        <v>1</v>
      </c>
      <c r="X338" s="100">
        <v>0</v>
      </c>
      <c r="Y338" s="100">
        <v>0</v>
      </c>
      <c r="Z338" s="100">
        <v>1</v>
      </c>
      <c r="AA338" s="100">
        <v>0</v>
      </c>
      <c r="AB338" s="100">
        <v>0</v>
      </c>
      <c r="AC338" s="100">
        <v>1</v>
      </c>
      <c r="AD338" s="100">
        <v>0</v>
      </c>
      <c r="AE338" s="100">
        <v>1</v>
      </c>
      <c r="AF338" s="100">
        <v>0</v>
      </c>
      <c r="AG338" s="100">
        <v>0</v>
      </c>
      <c r="AH338" s="100">
        <v>0</v>
      </c>
      <c r="AI338" s="100">
        <v>0</v>
      </c>
      <c r="AJ338" s="100">
        <v>1</v>
      </c>
      <c r="AK338" s="100">
        <v>0</v>
      </c>
      <c r="AL338" s="100">
        <v>0</v>
      </c>
      <c r="AM338" s="100">
        <v>0</v>
      </c>
      <c r="AN338" s="100">
        <v>0</v>
      </c>
      <c r="AO338" s="100">
        <v>0</v>
      </c>
      <c r="AP338" s="100">
        <v>0</v>
      </c>
      <c r="AQ338" s="100">
        <v>0</v>
      </c>
      <c r="AR338" s="100">
        <v>0</v>
      </c>
      <c r="AS338" s="100">
        <v>0</v>
      </c>
      <c r="AT338" s="100">
        <v>0</v>
      </c>
      <c r="AU338" s="100">
        <v>0</v>
      </c>
      <c r="AV338" s="100">
        <v>0</v>
      </c>
      <c r="AW338" s="100">
        <v>0</v>
      </c>
      <c r="AX338" s="100">
        <v>0</v>
      </c>
      <c r="AY338" s="100">
        <v>0</v>
      </c>
      <c r="AZ338" s="100">
        <v>0</v>
      </c>
      <c r="BA338" s="100">
        <v>0</v>
      </c>
      <c r="BB338" s="100">
        <v>0</v>
      </c>
      <c r="BC338" s="100">
        <v>0</v>
      </c>
      <c r="BD338" s="100">
        <v>0</v>
      </c>
      <c r="BE338" s="100">
        <v>0</v>
      </c>
      <c r="BF338" s="100">
        <v>1</v>
      </c>
      <c r="BG338" s="100">
        <v>0</v>
      </c>
      <c r="BH338" s="100">
        <v>0</v>
      </c>
      <c r="BI338" s="100">
        <v>0</v>
      </c>
      <c r="BJ338" s="100">
        <v>1</v>
      </c>
      <c r="BK338" s="100">
        <v>0</v>
      </c>
      <c r="BL338" s="100">
        <v>0</v>
      </c>
      <c r="BM338" s="100">
        <v>0</v>
      </c>
      <c r="BN338" s="100">
        <v>0</v>
      </c>
      <c r="BO338" s="100">
        <v>0</v>
      </c>
      <c r="BP338" s="100">
        <v>0</v>
      </c>
      <c r="BQ338" s="100">
        <v>0</v>
      </c>
      <c r="BR338" s="100">
        <v>0</v>
      </c>
      <c r="BS338" s="100">
        <v>0</v>
      </c>
      <c r="BT338" s="100">
        <v>0</v>
      </c>
      <c r="BU338" s="100">
        <v>0</v>
      </c>
      <c r="BV338" s="100">
        <v>0</v>
      </c>
      <c r="BW338" s="100">
        <v>0</v>
      </c>
      <c r="BX338" s="100">
        <v>1</v>
      </c>
      <c r="BY338" s="100">
        <v>0</v>
      </c>
      <c r="BZ338" s="100">
        <v>0</v>
      </c>
      <c r="CA338" s="100">
        <v>0</v>
      </c>
      <c r="CB338" s="100" t="s">
        <v>2090</v>
      </c>
      <c r="CC338" s="100">
        <v>0</v>
      </c>
      <c r="CD338" s="100">
        <v>1</v>
      </c>
      <c r="CE338" s="100">
        <v>0</v>
      </c>
      <c r="CF338" s="100">
        <v>0</v>
      </c>
      <c r="CG338" s="103">
        <v>139079.13167</v>
      </c>
      <c r="CH338" s="103">
        <v>10.57</v>
      </c>
      <c r="CI338" s="103">
        <v>1502700.11733</v>
      </c>
      <c r="CJ338" s="103">
        <v>20.53</v>
      </c>
      <c r="CK338" s="103">
        <f t="shared" si="20"/>
        <v>217.00210000000001</v>
      </c>
      <c r="CL338" s="103">
        <v>140111.70000000001</v>
      </c>
      <c r="CM338" s="103">
        <v>561525.19999999995</v>
      </c>
      <c r="CN338" s="104">
        <v>0.24951987907221265</v>
      </c>
      <c r="CO338" s="103">
        <v>168688.93992</v>
      </c>
      <c r="CP338" s="103">
        <v>11.17</v>
      </c>
      <c r="CQ338" s="103">
        <v>1826078.88692</v>
      </c>
      <c r="CR338" s="103">
        <v>37.69</v>
      </c>
      <c r="CS338" s="103">
        <f t="shared" si="21"/>
        <v>420.9973</v>
      </c>
      <c r="CT338" s="103">
        <v>146753.5</v>
      </c>
      <c r="CU338" s="103">
        <v>271823.3</v>
      </c>
      <c r="CV338" s="104">
        <v>0.53988565365809338</v>
      </c>
      <c r="CW338" s="103">
        <v>1206588.23731</v>
      </c>
      <c r="CX338" s="103">
        <v>65.7</v>
      </c>
      <c r="CY338" s="103">
        <v>3948943.03412</v>
      </c>
      <c r="CZ338" s="103">
        <v>66.769632885826312</v>
      </c>
      <c r="DA338" s="103">
        <f t="shared" si="22"/>
        <v>4386.7648805987892</v>
      </c>
      <c r="DB338" s="103">
        <v>925107.1</v>
      </c>
      <c r="DC338" s="103">
        <v>603055.69999999995</v>
      </c>
      <c r="DD338" s="104">
        <v>1.5340325943358135</v>
      </c>
      <c r="DE338" s="103">
        <v>360846.81552</v>
      </c>
      <c r="DF338" s="103">
        <v>24.96</v>
      </c>
      <c r="DG338" s="103">
        <v>2694433.1674600001</v>
      </c>
      <c r="DH338" s="103">
        <v>42.08</v>
      </c>
      <c r="DI338" s="103">
        <f t="shared" si="23"/>
        <v>1050.3168000000001</v>
      </c>
      <c r="DJ338" s="103">
        <v>412565.4</v>
      </c>
      <c r="DK338" s="103">
        <v>574070</v>
      </c>
      <c r="DL338" s="104">
        <v>0.71866740989774769</v>
      </c>
    </row>
    <row r="339" spans="1:116" s="15" customFormat="1" ht="158.44999999999999" customHeight="1" x14ac:dyDescent="0.25">
      <c r="A339" s="100" t="s">
        <v>424</v>
      </c>
      <c r="B339" s="100" t="s">
        <v>2768</v>
      </c>
      <c r="C339" s="100" t="s">
        <v>279</v>
      </c>
      <c r="D339" s="101" t="str">
        <f>"Chemistry 157"</f>
        <v>Chemistry 157</v>
      </c>
      <c r="E339" s="102" t="s">
        <v>2769</v>
      </c>
      <c r="F339" s="100">
        <v>9</v>
      </c>
      <c r="G339" s="100">
        <v>9</v>
      </c>
      <c r="H339" s="100">
        <v>1</v>
      </c>
      <c r="I339" s="100">
        <v>15</v>
      </c>
      <c r="J339" s="100">
        <v>6</v>
      </c>
      <c r="K339" s="100">
        <v>6</v>
      </c>
      <c r="L339" s="100">
        <v>3</v>
      </c>
      <c r="M339" s="100">
        <v>0</v>
      </c>
      <c r="N339" s="100">
        <v>3</v>
      </c>
      <c r="O339" s="100">
        <v>1</v>
      </c>
      <c r="P339" s="100">
        <v>0.69</v>
      </c>
      <c r="Q339" s="100">
        <v>52.65</v>
      </c>
      <c r="R339" s="100">
        <v>2</v>
      </c>
      <c r="S339" s="100">
        <v>0</v>
      </c>
      <c r="T339" s="100">
        <v>1</v>
      </c>
      <c r="U339" s="100">
        <v>0</v>
      </c>
      <c r="V339" s="100">
        <v>0</v>
      </c>
      <c r="W339" s="100">
        <v>1</v>
      </c>
      <c r="X339" s="100">
        <v>0</v>
      </c>
      <c r="Y339" s="100">
        <v>0</v>
      </c>
      <c r="Z339" s="100">
        <v>1</v>
      </c>
      <c r="AA339" s="100">
        <v>0</v>
      </c>
      <c r="AB339" s="100">
        <v>0</v>
      </c>
      <c r="AC339" s="100">
        <v>1</v>
      </c>
      <c r="AD339" s="100">
        <v>0</v>
      </c>
      <c r="AE339" s="100">
        <v>0</v>
      </c>
      <c r="AF339" s="100">
        <v>1</v>
      </c>
      <c r="AG339" s="100">
        <v>0</v>
      </c>
      <c r="AH339" s="100">
        <v>0</v>
      </c>
      <c r="AI339" s="100">
        <v>0</v>
      </c>
      <c r="AJ339" s="100">
        <v>1</v>
      </c>
      <c r="AK339" s="100">
        <v>0</v>
      </c>
      <c r="AL339" s="100">
        <v>0</v>
      </c>
      <c r="AM339" s="100">
        <v>0</v>
      </c>
      <c r="AN339" s="100">
        <v>0</v>
      </c>
      <c r="AO339" s="100">
        <v>0</v>
      </c>
      <c r="AP339" s="100">
        <v>0</v>
      </c>
      <c r="AQ339" s="100">
        <v>0</v>
      </c>
      <c r="AR339" s="100">
        <v>0</v>
      </c>
      <c r="AS339" s="100">
        <v>0</v>
      </c>
      <c r="AT339" s="100">
        <v>0</v>
      </c>
      <c r="AU339" s="100">
        <v>0</v>
      </c>
      <c r="AV339" s="100">
        <v>0</v>
      </c>
      <c r="AW339" s="100">
        <v>0</v>
      </c>
      <c r="AX339" s="100">
        <v>0</v>
      </c>
      <c r="AY339" s="100">
        <v>0</v>
      </c>
      <c r="AZ339" s="100">
        <v>0</v>
      </c>
      <c r="BA339" s="100">
        <v>0</v>
      </c>
      <c r="BB339" s="100">
        <v>0</v>
      </c>
      <c r="BC339" s="100">
        <v>0</v>
      </c>
      <c r="BD339" s="100">
        <v>0</v>
      </c>
      <c r="BE339" s="100">
        <v>0</v>
      </c>
      <c r="BF339" s="100">
        <v>1</v>
      </c>
      <c r="BG339" s="100">
        <v>0</v>
      </c>
      <c r="BH339" s="100">
        <v>0</v>
      </c>
      <c r="BI339" s="100">
        <v>0</v>
      </c>
      <c r="BJ339" s="100">
        <v>1</v>
      </c>
      <c r="BK339" s="100">
        <v>0</v>
      </c>
      <c r="BL339" s="100">
        <v>0</v>
      </c>
      <c r="BM339" s="100">
        <v>0</v>
      </c>
      <c r="BN339" s="100">
        <v>0</v>
      </c>
      <c r="BO339" s="100">
        <v>0</v>
      </c>
      <c r="BP339" s="100">
        <v>0</v>
      </c>
      <c r="BQ339" s="100">
        <v>0</v>
      </c>
      <c r="BR339" s="100">
        <v>0</v>
      </c>
      <c r="BS339" s="100">
        <v>0</v>
      </c>
      <c r="BT339" s="100">
        <v>0</v>
      </c>
      <c r="BU339" s="100">
        <v>0</v>
      </c>
      <c r="BV339" s="100">
        <v>0</v>
      </c>
      <c r="BW339" s="100">
        <v>0</v>
      </c>
      <c r="BX339" s="100">
        <v>1</v>
      </c>
      <c r="BY339" s="100">
        <v>0</v>
      </c>
      <c r="BZ339" s="100">
        <v>0</v>
      </c>
      <c r="CA339" s="100">
        <v>0</v>
      </c>
      <c r="CB339" s="100" t="s">
        <v>2090</v>
      </c>
      <c r="CC339" s="100">
        <v>0</v>
      </c>
      <c r="CD339" s="100">
        <v>1</v>
      </c>
      <c r="CE339" s="100">
        <v>0</v>
      </c>
      <c r="CF339" s="100">
        <v>0</v>
      </c>
      <c r="CG339" s="103">
        <v>81274.895489999995</v>
      </c>
      <c r="CH339" s="103">
        <v>6.14</v>
      </c>
      <c r="CI339" s="103">
        <v>1938753.8357299999</v>
      </c>
      <c r="CJ339" s="103">
        <v>18.73</v>
      </c>
      <c r="CK339" s="103">
        <f t="shared" si="20"/>
        <v>115.0022</v>
      </c>
      <c r="CL339" s="103">
        <v>309370.7</v>
      </c>
      <c r="CM339" s="103">
        <v>614549.5</v>
      </c>
      <c r="CN339" s="104">
        <v>0.50341054707554067</v>
      </c>
      <c r="CO339" s="103">
        <v>69008.915859999994</v>
      </c>
      <c r="CP339" s="103">
        <v>4.6100000000000003</v>
      </c>
      <c r="CQ339" s="103">
        <v>1923336.6412899999</v>
      </c>
      <c r="CR339" s="103">
        <v>14.35</v>
      </c>
      <c r="CS339" s="103">
        <f t="shared" si="21"/>
        <v>66.153500000000008</v>
      </c>
      <c r="CT339" s="103">
        <v>350104.6</v>
      </c>
      <c r="CU339" s="103">
        <v>504837</v>
      </c>
      <c r="CV339" s="104">
        <v>0.69350027830765171</v>
      </c>
      <c r="CW339" s="103">
        <v>863705.75843000005</v>
      </c>
      <c r="CX339" s="103">
        <v>65.56</v>
      </c>
      <c r="CY339" s="103">
        <v>4215755.7297700001</v>
      </c>
      <c r="CZ339" s="103">
        <v>52.989190381645713</v>
      </c>
      <c r="DA339" s="103">
        <f t="shared" si="22"/>
        <v>3473.9713214206931</v>
      </c>
      <c r="DB339" s="103">
        <v>899865.5</v>
      </c>
      <c r="DC339" s="103">
        <v>767421.1</v>
      </c>
      <c r="DD339" s="104">
        <v>1.1725837353181976</v>
      </c>
      <c r="DE339" s="103">
        <v>333211.64886000002</v>
      </c>
      <c r="DF339" s="103">
        <v>41.89</v>
      </c>
      <c r="DG339" s="103">
        <v>3089605.0113499998</v>
      </c>
      <c r="DH339" s="103">
        <v>20.010000000000002</v>
      </c>
      <c r="DI339" s="103">
        <f t="shared" si="23"/>
        <v>838.21890000000008</v>
      </c>
      <c r="DJ339" s="103">
        <v>356725.5</v>
      </c>
      <c r="DK339" s="103">
        <v>347279.9</v>
      </c>
      <c r="DL339" s="104">
        <v>1.0271988099512812</v>
      </c>
    </row>
    <row r="340" spans="1:116" s="15" customFormat="1" ht="199.7" customHeight="1" x14ac:dyDescent="0.25">
      <c r="A340" s="100" t="s">
        <v>425</v>
      </c>
      <c r="B340" s="100" t="s">
        <v>2770</v>
      </c>
      <c r="C340" s="100" t="s">
        <v>279</v>
      </c>
      <c r="D340" s="101" t="str">
        <f>"Chemistry 104"</f>
        <v>Chemistry 104</v>
      </c>
      <c r="E340" s="102" t="s">
        <v>2771</v>
      </c>
      <c r="F340" s="100">
        <v>9</v>
      </c>
      <c r="G340" s="100">
        <v>8</v>
      </c>
      <c r="H340" s="100">
        <v>0.89</v>
      </c>
      <c r="I340" s="100">
        <v>12</v>
      </c>
      <c r="J340" s="100">
        <v>3</v>
      </c>
      <c r="K340" s="100">
        <v>3</v>
      </c>
      <c r="L340" s="100">
        <v>2</v>
      </c>
      <c r="M340" s="100">
        <v>0</v>
      </c>
      <c r="N340" s="100">
        <v>2</v>
      </c>
      <c r="O340" s="100">
        <v>1</v>
      </c>
      <c r="P340" s="100">
        <v>0.41</v>
      </c>
      <c r="Q340" s="100">
        <v>32.340000000000003</v>
      </c>
      <c r="R340" s="100">
        <v>1</v>
      </c>
      <c r="S340" s="100">
        <v>0</v>
      </c>
      <c r="T340" s="100">
        <v>0</v>
      </c>
      <c r="U340" s="100">
        <v>1</v>
      </c>
      <c r="V340" s="100">
        <v>0</v>
      </c>
      <c r="W340" s="100">
        <v>1</v>
      </c>
      <c r="X340" s="100">
        <v>0</v>
      </c>
      <c r="Y340" s="100">
        <v>0</v>
      </c>
      <c r="Z340" s="100">
        <v>1</v>
      </c>
      <c r="AA340" s="100">
        <v>0</v>
      </c>
      <c r="AB340" s="100">
        <v>0</v>
      </c>
      <c r="AC340" s="100">
        <v>1</v>
      </c>
      <c r="AD340" s="100">
        <v>0</v>
      </c>
      <c r="AE340" s="100">
        <v>0</v>
      </c>
      <c r="AF340" s="100">
        <v>1</v>
      </c>
      <c r="AG340" s="100">
        <v>0</v>
      </c>
      <c r="AH340" s="100">
        <v>0</v>
      </c>
      <c r="AI340" s="100">
        <v>1</v>
      </c>
      <c r="AJ340" s="100">
        <v>0</v>
      </c>
      <c r="AK340" s="100">
        <v>0</v>
      </c>
      <c r="AL340" s="100">
        <v>0</v>
      </c>
      <c r="AM340" s="100">
        <v>0</v>
      </c>
      <c r="AN340" s="100">
        <v>0</v>
      </c>
      <c r="AO340" s="100">
        <v>0</v>
      </c>
      <c r="AP340" s="100">
        <v>0</v>
      </c>
      <c r="AQ340" s="100">
        <v>0</v>
      </c>
      <c r="AR340" s="100">
        <v>0</v>
      </c>
      <c r="AS340" s="100">
        <v>0</v>
      </c>
      <c r="AT340" s="100">
        <v>1</v>
      </c>
      <c r="AU340" s="100">
        <v>0</v>
      </c>
      <c r="AV340" s="100">
        <v>0</v>
      </c>
      <c r="AW340" s="100">
        <v>0</v>
      </c>
      <c r="AX340" s="100">
        <v>0</v>
      </c>
      <c r="AY340" s="100">
        <v>0</v>
      </c>
      <c r="AZ340" s="100">
        <v>0</v>
      </c>
      <c r="BA340" s="100">
        <v>0</v>
      </c>
      <c r="BB340" s="100">
        <v>0</v>
      </c>
      <c r="BC340" s="100">
        <v>0</v>
      </c>
      <c r="BD340" s="100">
        <v>0</v>
      </c>
      <c r="BE340" s="100">
        <v>0</v>
      </c>
      <c r="BF340" s="100">
        <v>0</v>
      </c>
      <c r="BG340" s="100">
        <v>0</v>
      </c>
      <c r="BH340" s="100">
        <v>0</v>
      </c>
      <c r="BI340" s="100">
        <v>0</v>
      </c>
      <c r="BJ340" s="100">
        <v>1</v>
      </c>
      <c r="BK340" s="100">
        <v>0</v>
      </c>
      <c r="BL340" s="100">
        <v>0</v>
      </c>
      <c r="BM340" s="100">
        <v>0</v>
      </c>
      <c r="BN340" s="100">
        <v>0</v>
      </c>
      <c r="BO340" s="100">
        <v>0</v>
      </c>
      <c r="BP340" s="100">
        <v>0</v>
      </c>
      <c r="BQ340" s="100">
        <v>0</v>
      </c>
      <c r="BR340" s="100">
        <v>0</v>
      </c>
      <c r="BS340" s="100">
        <v>0</v>
      </c>
      <c r="BT340" s="100">
        <v>0</v>
      </c>
      <c r="BU340" s="100">
        <v>0</v>
      </c>
      <c r="BV340" s="100">
        <v>0</v>
      </c>
      <c r="BW340" s="100">
        <v>0</v>
      </c>
      <c r="BX340" s="100">
        <v>1</v>
      </c>
      <c r="BY340" s="100">
        <v>0</v>
      </c>
      <c r="BZ340" s="100">
        <v>0</v>
      </c>
      <c r="CA340" s="100">
        <v>0</v>
      </c>
      <c r="CB340" s="100" t="s">
        <v>2090</v>
      </c>
      <c r="CC340" s="100">
        <v>0</v>
      </c>
      <c r="CD340" s="100">
        <v>1</v>
      </c>
      <c r="CE340" s="100">
        <v>0</v>
      </c>
      <c r="CF340" s="100">
        <v>0</v>
      </c>
      <c r="CG340" s="103">
        <v>305000.21266000002</v>
      </c>
      <c r="CH340" s="103">
        <v>20.37</v>
      </c>
      <c r="CI340" s="103">
        <v>2817673.7290699999</v>
      </c>
      <c r="CJ340" s="103">
        <v>40.69</v>
      </c>
      <c r="CK340" s="103">
        <f t="shared" si="20"/>
        <v>828.85529999999994</v>
      </c>
      <c r="CL340" s="103">
        <v>84731.1</v>
      </c>
      <c r="CM340" s="103">
        <v>167729.1</v>
      </c>
      <c r="CN340" s="104">
        <v>0.50516636648023516</v>
      </c>
      <c r="CO340" s="103">
        <v>763344.47855999996</v>
      </c>
      <c r="CP340" s="103">
        <v>38.96</v>
      </c>
      <c r="CQ340" s="103">
        <v>4090378.2708700001</v>
      </c>
      <c r="CR340" s="103">
        <v>35.93</v>
      </c>
      <c r="CS340" s="103">
        <f t="shared" si="21"/>
        <v>1399.8327999999999</v>
      </c>
      <c r="CT340" s="103">
        <v>412166.9</v>
      </c>
      <c r="CU340" s="103">
        <v>389706.6</v>
      </c>
      <c r="CV340" s="104">
        <v>1.0576338712251732</v>
      </c>
      <c r="CW340" s="103">
        <v>1212765.46686</v>
      </c>
      <c r="CX340" s="103">
        <v>66.8</v>
      </c>
      <c r="CY340" s="103">
        <v>4493046.2307599997</v>
      </c>
      <c r="CZ340" s="103">
        <v>61.260639521509091</v>
      </c>
      <c r="DA340" s="103">
        <f t="shared" si="22"/>
        <v>4092.2107200368073</v>
      </c>
      <c r="DB340" s="103">
        <v>142800.5</v>
      </c>
      <c r="DC340" s="103">
        <v>79981.899999999994</v>
      </c>
      <c r="DD340" s="104">
        <v>1.7854101990575368</v>
      </c>
      <c r="DE340" s="103">
        <v>996390.54041999998</v>
      </c>
      <c r="DF340" s="103">
        <v>48.04</v>
      </c>
      <c r="DG340" s="103">
        <v>4130203.2331400001</v>
      </c>
      <c r="DH340" s="103">
        <v>37.21</v>
      </c>
      <c r="DI340" s="103">
        <f t="shared" si="23"/>
        <v>1787.5684000000001</v>
      </c>
      <c r="DJ340" s="103">
        <v>218691.20000000001</v>
      </c>
      <c r="DK340" s="103">
        <v>193338</v>
      </c>
      <c r="DL340" s="104">
        <v>1.1311340760740258</v>
      </c>
    </row>
    <row r="341" spans="1:116" s="15" customFormat="1" ht="180.2" customHeight="1" x14ac:dyDescent="0.25">
      <c r="A341" s="100" t="s">
        <v>426</v>
      </c>
      <c r="B341" s="100" t="s">
        <v>2772</v>
      </c>
      <c r="C341" s="100" t="s">
        <v>279</v>
      </c>
      <c r="D341" s="101" t="str">
        <f>"Chemistry 167"</f>
        <v>Chemistry 167</v>
      </c>
      <c r="E341" s="102" t="s">
        <v>1996</v>
      </c>
      <c r="F341" s="100">
        <v>8</v>
      </c>
      <c r="G341" s="100">
        <v>7</v>
      </c>
      <c r="H341" s="100">
        <v>0.88</v>
      </c>
      <c r="I341" s="100">
        <v>11</v>
      </c>
      <c r="J341" s="100">
        <v>3</v>
      </c>
      <c r="K341" s="100">
        <v>3</v>
      </c>
      <c r="L341" s="100">
        <v>2</v>
      </c>
      <c r="M341" s="100">
        <v>0</v>
      </c>
      <c r="N341" s="100">
        <v>2</v>
      </c>
      <c r="O341" s="100">
        <v>1</v>
      </c>
      <c r="P341" s="100">
        <v>0.01</v>
      </c>
      <c r="Q341" s="100">
        <v>32.340000000000003</v>
      </c>
      <c r="R341" s="100">
        <v>1</v>
      </c>
      <c r="S341" s="100">
        <v>0</v>
      </c>
      <c r="T341" s="100">
        <v>0</v>
      </c>
      <c r="U341" s="100">
        <v>1</v>
      </c>
      <c r="V341" s="100">
        <v>0</v>
      </c>
      <c r="W341" s="100">
        <v>1</v>
      </c>
      <c r="X341" s="100">
        <v>0</v>
      </c>
      <c r="Y341" s="100">
        <v>0</v>
      </c>
      <c r="Z341" s="100">
        <v>1</v>
      </c>
      <c r="AA341" s="100">
        <v>0</v>
      </c>
      <c r="AB341" s="100">
        <v>0</v>
      </c>
      <c r="AC341" s="100">
        <v>1</v>
      </c>
      <c r="AD341" s="100">
        <v>0</v>
      </c>
      <c r="AE341" s="100">
        <v>1</v>
      </c>
      <c r="AF341" s="100">
        <v>0</v>
      </c>
      <c r="AG341" s="100">
        <v>0</v>
      </c>
      <c r="AH341" s="100">
        <v>0</v>
      </c>
      <c r="AI341" s="100">
        <v>1</v>
      </c>
      <c r="AJ341" s="100">
        <v>0</v>
      </c>
      <c r="AK341" s="100">
        <v>0</v>
      </c>
      <c r="AL341" s="100">
        <v>0</v>
      </c>
      <c r="AM341" s="100">
        <v>0</v>
      </c>
      <c r="AN341" s="100">
        <v>0</v>
      </c>
      <c r="AO341" s="100">
        <v>0</v>
      </c>
      <c r="AP341" s="100">
        <v>0</v>
      </c>
      <c r="AQ341" s="100">
        <v>0</v>
      </c>
      <c r="AR341" s="100">
        <v>0</v>
      </c>
      <c r="AS341" s="100">
        <v>0</v>
      </c>
      <c r="AT341" s="100">
        <v>1</v>
      </c>
      <c r="AU341" s="100">
        <v>0</v>
      </c>
      <c r="AV341" s="100">
        <v>0</v>
      </c>
      <c r="AW341" s="100">
        <v>0</v>
      </c>
      <c r="AX341" s="100">
        <v>0</v>
      </c>
      <c r="AY341" s="100">
        <v>0</v>
      </c>
      <c r="AZ341" s="100">
        <v>0</v>
      </c>
      <c r="BA341" s="100">
        <v>0</v>
      </c>
      <c r="BB341" s="100">
        <v>0</v>
      </c>
      <c r="BC341" s="100">
        <v>0</v>
      </c>
      <c r="BD341" s="100">
        <v>0</v>
      </c>
      <c r="BE341" s="100">
        <v>0</v>
      </c>
      <c r="BF341" s="100">
        <v>0</v>
      </c>
      <c r="BG341" s="100">
        <v>0</v>
      </c>
      <c r="BH341" s="100">
        <v>0</v>
      </c>
      <c r="BI341" s="100">
        <v>0</v>
      </c>
      <c r="BJ341" s="100">
        <v>1</v>
      </c>
      <c r="BK341" s="100">
        <v>0</v>
      </c>
      <c r="BL341" s="100">
        <v>0</v>
      </c>
      <c r="BM341" s="100">
        <v>0</v>
      </c>
      <c r="BN341" s="100">
        <v>0</v>
      </c>
      <c r="BO341" s="100">
        <v>0</v>
      </c>
      <c r="BP341" s="100">
        <v>0</v>
      </c>
      <c r="BQ341" s="100">
        <v>0</v>
      </c>
      <c r="BR341" s="100">
        <v>0</v>
      </c>
      <c r="BS341" s="100">
        <v>0</v>
      </c>
      <c r="BT341" s="100">
        <v>0</v>
      </c>
      <c r="BU341" s="100">
        <v>0</v>
      </c>
      <c r="BV341" s="100">
        <v>0</v>
      </c>
      <c r="BW341" s="100">
        <v>0</v>
      </c>
      <c r="BX341" s="100">
        <v>1</v>
      </c>
      <c r="BY341" s="100">
        <v>0</v>
      </c>
      <c r="BZ341" s="100">
        <v>0</v>
      </c>
      <c r="CA341" s="100">
        <v>0</v>
      </c>
      <c r="CB341" s="100" t="s">
        <v>2090</v>
      </c>
      <c r="CC341" s="100">
        <v>0</v>
      </c>
      <c r="CD341" s="100">
        <v>1</v>
      </c>
      <c r="CE341" s="100">
        <v>0</v>
      </c>
      <c r="CF341" s="100">
        <v>0</v>
      </c>
      <c r="CG341" s="103">
        <v>291469.29531000002</v>
      </c>
      <c r="CH341" s="103">
        <v>19.5</v>
      </c>
      <c r="CI341" s="103">
        <v>2625020.0213199998</v>
      </c>
      <c r="CJ341" s="103">
        <v>39.24</v>
      </c>
      <c r="CK341" s="103">
        <f t="shared" si="20"/>
        <v>765.18000000000006</v>
      </c>
      <c r="CL341" s="103">
        <v>278037.5</v>
      </c>
      <c r="CM341" s="103">
        <v>509390.7</v>
      </c>
      <c r="CN341" s="104">
        <v>0.54582366737358967</v>
      </c>
      <c r="CO341" s="103">
        <v>832190.78682000004</v>
      </c>
      <c r="CP341" s="103">
        <v>42.47</v>
      </c>
      <c r="CQ341" s="103">
        <v>3802014.3418700001</v>
      </c>
      <c r="CR341" s="103">
        <v>48.25</v>
      </c>
      <c r="CS341" s="103">
        <f t="shared" si="21"/>
        <v>2049.1774999999998</v>
      </c>
      <c r="CT341" s="103">
        <v>22638.3</v>
      </c>
      <c r="CU341" s="103">
        <v>26729.4</v>
      </c>
      <c r="CV341" s="104">
        <v>0.84694381467597468</v>
      </c>
      <c r="CW341" s="103">
        <v>556972.07388000004</v>
      </c>
      <c r="CX341" s="103">
        <v>39.159999999999997</v>
      </c>
      <c r="CY341" s="103">
        <v>3272007.0765999998</v>
      </c>
      <c r="CZ341" s="103">
        <v>62.895391541286585</v>
      </c>
      <c r="DA341" s="103">
        <f t="shared" si="22"/>
        <v>2462.9835327567826</v>
      </c>
      <c r="DB341" s="103">
        <v>677832.3</v>
      </c>
      <c r="DC341" s="103">
        <v>685316.8</v>
      </c>
      <c r="DD341" s="104">
        <v>0.98907877349570306</v>
      </c>
      <c r="DE341" s="103">
        <v>1267625.3900599999</v>
      </c>
      <c r="DF341" s="103">
        <v>58.07</v>
      </c>
      <c r="DG341" s="103">
        <v>4049177.3843800002</v>
      </c>
      <c r="DH341" s="103">
        <v>44.14</v>
      </c>
      <c r="DI341" s="103">
        <f t="shared" si="23"/>
        <v>2563.2098000000001</v>
      </c>
      <c r="DJ341" s="103">
        <v>181430.6</v>
      </c>
      <c r="DK341" s="103">
        <v>275053.90000000002</v>
      </c>
      <c r="DL341" s="104">
        <v>0.65961835116680767</v>
      </c>
    </row>
    <row r="342" spans="1:116" s="15" customFormat="1" ht="177.95" customHeight="1" x14ac:dyDescent="0.25">
      <c r="A342" s="100" t="s">
        <v>427</v>
      </c>
      <c r="B342" s="100" t="s">
        <v>2773</v>
      </c>
      <c r="C342" s="100" t="s">
        <v>279</v>
      </c>
      <c r="D342" s="101" t="str">
        <f>"Chemistry 188"</f>
        <v>Chemistry 188</v>
      </c>
      <c r="E342" s="102" t="s">
        <v>1994</v>
      </c>
      <c r="F342" s="100">
        <v>7</v>
      </c>
      <c r="G342" s="100">
        <v>6</v>
      </c>
      <c r="H342" s="100">
        <v>0.86</v>
      </c>
      <c r="I342" s="100">
        <v>10</v>
      </c>
      <c r="J342" s="100">
        <v>3</v>
      </c>
      <c r="K342" s="100">
        <v>3</v>
      </c>
      <c r="L342" s="100">
        <v>2</v>
      </c>
      <c r="M342" s="100">
        <v>0</v>
      </c>
      <c r="N342" s="100">
        <v>2</v>
      </c>
      <c r="O342" s="100">
        <v>1</v>
      </c>
      <c r="P342" s="100">
        <v>-0.3</v>
      </c>
      <c r="Q342" s="100">
        <v>32.340000000000003</v>
      </c>
      <c r="R342" s="100">
        <v>1</v>
      </c>
      <c r="S342" s="100">
        <v>0</v>
      </c>
      <c r="T342" s="100">
        <v>0</v>
      </c>
      <c r="U342" s="100">
        <v>1</v>
      </c>
      <c r="V342" s="100">
        <v>0</v>
      </c>
      <c r="W342" s="100">
        <v>1</v>
      </c>
      <c r="X342" s="100">
        <v>0</v>
      </c>
      <c r="Y342" s="100">
        <v>0</v>
      </c>
      <c r="Z342" s="100">
        <v>1</v>
      </c>
      <c r="AA342" s="100">
        <v>0</v>
      </c>
      <c r="AB342" s="100">
        <v>0</v>
      </c>
      <c r="AC342" s="100">
        <v>1</v>
      </c>
      <c r="AD342" s="100">
        <v>0</v>
      </c>
      <c r="AE342" s="100">
        <v>1</v>
      </c>
      <c r="AF342" s="100">
        <v>0</v>
      </c>
      <c r="AG342" s="100">
        <v>0</v>
      </c>
      <c r="AH342" s="100">
        <v>0</v>
      </c>
      <c r="AI342" s="100">
        <v>1</v>
      </c>
      <c r="AJ342" s="100">
        <v>0</v>
      </c>
      <c r="AK342" s="100">
        <v>0</v>
      </c>
      <c r="AL342" s="100">
        <v>0</v>
      </c>
      <c r="AM342" s="100">
        <v>0</v>
      </c>
      <c r="AN342" s="100">
        <v>0</v>
      </c>
      <c r="AO342" s="100">
        <v>0</v>
      </c>
      <c r="AP342" s="100">
        <v>0</v>
      </c>
      <c r="AQ342" s="100">
        <v>0</v>
      </c>
      <c r="AR342" s="100">
        <v>0</v>
      </c>
      <c r="AS342" s="100">
        <v>0</v>
      </c>
      <c r="AT342" s="100">
        <v>1</v>
      </c>
      <c r="AU342" s="100">
        <v>0</v>
      </c>
      <c r="AV342" s="100">
        <v>0</v>
      </c>
      <c r="AW342" s="100">
        <v>0</v>
      </c>
      <c r="AX342" s="100">
        <v>0</v>
      </c>
      <c r="AY342" s="100">
        <v>0</v>
      </c>
      <c r="AZ342" s="100">
        <v>0</v>
      </c>
      <c r="BA342" s="100">
        <v>0</v>
      </c>
      <c r="BB342" s="100">
        <v>0</v>
      </c>
      <c r="BC342" s="100">
        <v>0</v>
      </c>
      <c r="BD342" s="100">
        <v>0</v>
      </c>
      <c r="BE342" s="100">
        <v>0</v>
      </c>
      <c r="BF342" s="100">
        <v>0</v>
      </c>
      <c r="BG342" s="100">
        <v>0</v>
      </c>
      <c r="BH342" s="100">
        <v>0</v>
      </c>
      <c r="BI342" s="100">
        <v>0</v>
      </c>
      <c r="BJ342" s="100">
        <v>1</v>
      </c>
      <c r="BK342" s="100">
        <v>0</v>
      </c>
      <c r="BL342" s="100">
        <v>0</v>
      </c>
      <c r="BM342" s="100">
        <v>0</v>
      </c>
      <c r="BN342" s="100">
        <v>0</v>
      </c>
      <c r="BO342" s="100">
        <v>0</v>
      </c>
      <c r="BP342" s="100">
        <v>0</v>
      </c>
      <c r="BQ342" s="100">
        <v>0</v>
      </c>
      <c r="BR342" s="100">
        <v>0</v>
      </c>
      <c r="BS342" s="100">
        <v>0</v>
      </c>
      <c r="BT342" s="100">
        <v>0</v>
      </c>
      <c r="BU342" s="100">
        <v>0</v>
      </c>
      <c r="BV342" s="100">
        <v>0</v>
      </c>
      <c r="BW342" s="100">
        <v>0</v>
      </c>
      <c r="BX342" s="100">
        <v>1</v>
      </c>
      <c r="BY342" s="100">
        <v>0</v>
      </c>
      <c r="BZ342" s="100">
        <v>0</v>
      </c>
      <c r="CA342" s="100">
        <v>0</v>
      </c>
      <c r="CB342" s="100" t="s">
        <v>2090</v>
      </c>
      <c r="CC342" s="100">
        <v>0</v>
      </c>
      <c r="CD342" s="100">
        <v>1</v>
      </c>
      <c r="CE342" s="100">
        <v>0</v>
      </c>
      <c r="CF342" s="100">
        <v>0</v>
      </c>
      <c r="CG342" s="103">
        <v>302271.09172999999</v>
      </c>
      <c r="CH342" s="103">
        <v>21.08</v>
      </c>
      <c r="CI342" s="103">
        <v>2529495.5291300002</v>
      </c>
      <c r="CJ342" s="103">
        <v>39.93</v>
      </c>
      <c r="CK342" s="103">
        <f t="shared" si="20"/>
        <v>841.72439999999995</v>
      </c>
      <c r="CL342" s="103">
        <v>237447.5</v>
      </c>
      <c r="CM342" s="103">
        <v>485440.8</v>
      </c>
      <c r="CN342" s="104">
        <v>0.48913791341807283</v>
      </c>
      <c r="CO342" s="103">
        <v>1017874.67576</v>
      </c>
      <c r="CP342" s="103">
        <v>48.59</v>
      </c>
      <c r="CQ342" s="103">
        <v>3795711.4108699998</v>
      </c>
      <c r="CR342" s="103">
        <v>46.82</v>
      </c>
      <c r="CS342" s="103">
        <f t="shared" si="21"/>
        <v>2274.9838</v>
      </c>
      <c r="CT342" s="103">
        <v>671798.8</v>
      </c>
      <c r="CU342" s="103">
        <v>581925.4</v>
      </c>
      <c r="CV342" s="104">
        <v>1.1544414455873553</v>
      </c>
      <c r="CW342" s="103">
        <v>1453455.1584099999</v>
      </c>
      <c r="CX342" s="103">
        <v>68.97</v>
      </c>
      <c r="CY342" s="103">
        <v>4353265.6644000001</v>
      </c>
      <c r="CZ342" s="103">
        <v>71.059205595803149</v>
      </c>
      <c r="DA342" s="103">
        <f t="shared" si="22"/>
        <v>4900.9534099425427</v>
      </c>
      <c r="DB342" s="103">
        <v>609535.4</v>
      </c>
      <c r="DC342" s="103">
        <v>416717.8</v>
      </c>
      <c r="DD342" s="104">
        <v>1.4627054567863433</v>
      </c>
      <c r="DE342" s="103">
        <v>1088851.48043</v>
      </c>
      <c r="DF342" s="103">
        <v>53.12</v>
      </c>
      <c r="DG342" s="103">
        <v>3669100.3852499998</v>
      </c>
      <c r="DH342" s="103">
        <v>40.11</v>
      </c>
      <c r="DI342" s="103">
        <f t="shared" si="23"/>
        <v>2130.6432</v>
      </c>
      <c r="DJ342" s="103">
        <v>394414.3</v>
      </c>
      <c r="DK342" s="103">
        <v>341974.6</v>
      </c>
      <c r="DL342" s="104">
        <v>1.1533438448352598</v>
      </c>
    </row>
    <row r="343" spans="1:116" s="15" customFormat="1" ht="141.19999999999999" customHeight="1" x14ac:dyDescent="0.25">
      <c r="A343" s="100" t="s">
        <v>428</v>
      </c>
      <c r="B343" s="100" t="s">
        <v>2774</v>
      </c>
      <c r="C343" s="100" t="s">
        <v>279</v>
      </c>
      <c r="D343" s="101" t="str">
        <f>"Chemistry 42"</f>
        <v>Chemistry 42</v>
      </c>
      <c r="E343" s="102" t="s">
        <v>2775</v>
      </c>
      <c r="F343" s="100">
        <v>6</v>
      </c>
      <c r="G343" s="100">
        <v>5</v>
      </c>
      <c r="H343" s="100">
        <v>0.83</v>
      </c>
      <c r="I343" s="100">
        <v>8</v>
      </c>
      <c r="J343" s="100">
        <v>2</v>
      </c>
      <c r="K343" s="100">
        <v>2</v>
      </c>
      <c r="L343" s="100">
        <v>2</v>
      </c>
      <c r="M343" s="100">
        <v>0</v>
      </c>
      <c r="N343" s="100">
        <v>2</v>
      </c>
      <c r="O343" s="100">
        <v>1</v>
      </c>
      <c r="P343" s="100">
        <v>-0.78</v>
      </c>
      <c r="Q343" s="100">
        <v>35.82</v>
      </c>
      <c r="R343" s="100">
        <v>0</v>
      </c>
      <c r="S343" s="100">
        <v>0</v>
      </c>
      <c r="T343" s="100">
        <v>0</v>
      </c>
      <c r="U343" s="100">
        <v>1</v>
      </c>
      <c r="V343" s="100">
        <v>0</v>
      </c>
      <c r="W343" s="100">
        <v>1</v>
      </c>
      <c r="X343" s="100">
        <v>0</v>
      </c>
      <c r="Y343" s="100">
        <v>0</v>
      </c>
      <c r="Z343" s="100">
        <v>1</v>
      </c>
      <c r="AA343" s="100">
        <v>0</v>
      </c>
      <c r="AB343" s="100">
        <v>0</v>
      </c>
      <c r="AC343" s="100">
        <v>1</v>
      </c>
      <c r="AD343" s="100">
        <v>0</v>
      </c>
      <c r="AE343" s="100">
        <v>1</v>
      </c>
      <c r="AF343" s="100">
        <v>0</v>
      </c>
      <c r="AG343" s="100">
        <v>0</v>
      </c>
      <c r="AH343" s="100">
        <v>0</v>
      </c>
      <c r="AI343" s="100">
        <v>1</v>
      </c>
      <c r="AJ343" s="100">
        <v>0</v>
      </c>
      <c r="AK343" s="100">
        <v>0</v>
      </c>
      <c r="AL343" s="100">
        <v>0</v>
      </c>
      <c r="AM343" s="100">
        <v>0</v>
      </c>
      <c r="AN343" s="100">
        <v>0</v>
      </c>
      <c r="AO343" s="100">
        <v>0</v>
      </c>
      <c r="AP343" s="100">
        <v>0</v>
      </c>
      <c r="AQ343" s="100">
        <v>0</v>
      </c>
      <c r="AR343" s="100">
        <v>0</v>
      </c>
      <c r="AS343" s="100">
        <v>0</v>
      </c>
      <c r="AT343" s="100">
        <v>0</v>
      </c>
      <c r="AU343" s="100">
        <v>0</v>
      </c>
      <c r="AV343" s="100">
        <v>0</v>
      </c>
      <c r="AW343" s="100">
        <v>0</v>
      </c>
      <c r="AX343" s="100">
        <v>0</v>
      </c>
      <c r="AY343" s="100">
        <v>0</v>
      </c>
      <c r="AZ343" s="100">
        <v>0</v>
      </c>
      <c r="BA343" s="100">
        <v>0</v>
      </c>
      <c r="BB343" s="100">
        <v>1</v>
      </c>
      <c r="BC343" s="100">
        <v>0</v>
      </c>
      <c r="BD343" s="100">
        <v>0</v>
      </c>
      <c r="BE343" s="100">
        <v>0</v>
      </c>
      <c r="BF343" s="100">
        <v>0</v>
      </c>
      <c r="BG343" s="100">
        <v>0</v>
      </c>
      <c r="BH343" s="100">
        <v>0</v>
      </c>
      <c r="BI343" s="100">
        <v>0</v>
      </c>
      <c r="BJ343" s="100">
        <v>1</v>
      </c>
      <c r="BK343" s="100">
        <v>0</v>
      </c>
      <c r="BL343" s="100">
        <v>0</v>
      </c>
      <c r="BM343" s="100">
        <v>0</v>
      </c>
      <c r="BN343" s="100">
        <v>0</v>
      </c>
      <c r="BO343" s="100">
        <v>0</v>
      </c>
      <c r="BP343" s="100">
        <v>0</v>
      </c>
      <c r="BQ343" s="100">
        <v>0</v>
      </c>
      <c r="BR343" s="100">
        <v>0</v>
      </c>
      <c r="BS343" s="100">
        <v>0</v>
      </c>
      <c r="BT343" s="100">
        <v>0</v>
      </c>
      <c r="BU343" s="100">
        <v>0</v>
      </c>
      <c r="BV343" s="100">
        <v>0</v>
      </c>
      <c r="BW343" s="100">
        <v>1</v>
      </c>
      <c r="BX343" s="100">
        <v>0</v>
      </c>
      <c r="BY343" s="100">
        <v>0</v>
      </c>
      <c r="BZ343" s="100">
        <v>0</v>
      </c>
      <c r="CA343" s="100">
        <v>1</v>
      </c>
      <c r="CB343" s="100" t="s">
        <v>2090</v>
      </c>
      <c r="CC343" s="100">
        <v>0</v>
      </c>
      <c r="CD343" s="100">
        <v>0</v>
      </c>
      <c r="CE343" s="100">
        <v>0</v>
      </c>
      <c r="CF343" s="100">
        <v>0</v>
      </c>
      <c r="CG343" s="103">
        <v>27526.818200000002</v>
      </c>
      <c r="CH343" s="103">
        <v>2.0299999999999998</v>
      </c>
      <c r="CI343" s="103">
        <v>835966.96719</v>
      </c>
      <c r="CJ343" s="103">
        <v>17.739999999999998</v>
      </c>
      <c r="CK343" s="103">
        <f t="shared" si="20"/>
        <v>36.012199999999993</v>
      </c>
      <c r="CL343" s="103">
        <v>9221.2999999999993</v>
      </c>
      <c r="CM343" s="103">
        <v>319511.40000000002</v>
      </c>
      <c r="CN343" s="104">
        <v>2.8860629073015856E-2</v>
      </c>
      <c r="CO343" s="103">
        <v>0</v>
      </c>
      <c r="CP343" s="103">
        <v>0</v>
      </c>
      <c r="CQ343" s="103">
        <v>0</v>
      </c>
      <c r="CR343" s="103">
        <v>0</v>
      </c>
      <c r="CS343" s="103">
        <f t="shared" si="21"/>
        <v>0</v>
      </c>
      <c r="CT343" s="103">
        <v>4529.3</v>
      </c>
      <c r="CU343" s="103">
        <v>495273.8</v>
      </c>
      <c r="CV343" s="104">
        <v>9.1450426006786552E-3</v>
      </c>
      <c r="CW343" s="103">
        <v>1013279.81834</v>
      </c>
      <c r="CX343" s="103">
        <v>62.88</v>
      </c>
      <c r="CY343" s="103">
        <v>4218463.9869200001</v>
      </c>
      <c r="CZ343" s="103">
        <v>67.648141332351855</v>
      </c>
      <c r="DA343" s="103">
        <f t="shared" si="22"/>
        <v>4253.7151269782844</v>
      </c>
      <c r="DB343" s="103">
        <v>510430.9</v>
      </c>
      <c r="DC343" s="103">
        <v>410207.2</v>
      </c>
      <c r="DD343" s="104">
        <v>1.2443245754828292</v>
      </c>
      <c r="DE343" s="103">
        <v>279950.18108000001</v>
      </c>
      <c r="DF343" s="103">
        <v>16.010000000000002</v>
      </c>
      <c r="DG343" s="103">
        <v>2437185.3191200001</v>
      </c>
      <c r="DH343" s="103">
        <v>38.909999999999997</v>
      </c>
      <c r="DI343" s="103">
        <f t="shared" si="23"/>
        <v>622.94910000000004</v>
      </c>
      <c r="DJ343" s="103">
        <v>37690</v>
      </c>
      <c r="DK343" s="103">
        <v>89131.7</v>
      </c>
      <c r="DL343" s="104">
        <v>0.42285741212161332</v>
      </c>
    </row>
    <row r="344" spans="1:116" s="15" customFormat="1" ht="175.7" customHeight="1" x14ac:dyDescent="0.25">
      <c r="A344" s="100" t="s">
        <v>429</v>
      </c>
      <c r="B344" s="100" t="s">
        <v>2776</v>
      </c>
      <c r="C344" s="100" t="s">
        <v>279</v>
      </c>
      <c r="D344" s="101" t="str">
        <f>"Chemistry 100"</f>
        <v>Chemistry 100</v>
      </c>
      <c r="E344" s="102" t="s">
        <v>2777</v>
      </c>
      <c r="F344" s="100">
        <v>13</v>
      </c>
      <c r="G344" s="100">
        <v>7</v>
      </c>
      <c r="H344" s="100">
        <v>0.54</v>
      </c>
      <c r="I344" s="100">
        <v>14</v>
      </c>
      <c r="J344" s="100">
        <v>1</v>
      </c>
      <c r="K344" s="100">
        <v>1</v>
      </c>
      <c r="L344" s="100">
        <v>1</v>
      </c>
      <c r="M344" s="100">
        <v>1</v>
      </c>
      <c r="N344" s="100">
        <v>1</v>
      </c>
      <c r="O344" s="100">
        <v>1</v>
      </c>
      <c r="P344" s="100">
        <v>3.4</v>
      </c>
      <c r="Q344" s="100">
        <v>12.03</v>
      </c>
      <c r="R344" s="100">
        <v>3</v>
      </c>
      <c r="S344" s="100">
        <v>0</v>
      </c>
      <c r="T344" s="100">
        <v>0</v>
      </c>
      <c r="U344" s="100">
        <v>1</v>
      </c>
      <c r="V344" s="100">
        <v>0</v>
      </c>
      <c r="W344" s="100">
        <v>0</v>
      </c>
      <c r="X344" s="100">
        <v>1</v>
      </c>
      <c r="Y344" s="100">
        <v>0</v>
      </c>
      <c r="Z344" s="100">
        <v>1</v>
      </c>
      <c r="AA344" s="100">
        <v>0</v>
      </c>
      <c r="AB344" s="100">
        <v>0</v>
      </c>
      <c r="AC344" s="100">
        <v>1</v>
      </c>
      <c r="AD344" s="100">
        <v>0</v>
      </c>
      <c r="AE344" s="100">
        <v>0</v>
      </c>
      <c r="AF344" s="100">
        <v>0</v>
      </c>
      <c r="AG344" s="100">
        <v>1</v>
      </c>
      <c r="AH344" s="100">
        <v>1</v>
      </c>
      <c r="AI344" s="100">
        <v>0</v>
      </c>
      <c r="AJ344" s="100">
        <v>0</v>
      </c>
      <c r="AK344" s="100">
        <v>0</v>
      </c>
      <c r="AL344" s="100">
        <v>0</v>
      </c>
      <c r="AM344" s="100">
        <v>0</v>
      </c>
      <c r="AN344" s="100">
        <v>0</v>
      </c>
      <c r="AO344" s="100">
        <v>0</v>
      </c>
      <c r="AP344" s="100">
        <v>0</v>
      </c>
      <c r="AQ344" s="100">
        <v>0</v>
      </c>
      <c r="AR344" s="100">
        <v>0</v>
      </c>
      <c r="AS344" s="100">
        <v>0</v>
      </c>
      <c r="AT344" s="100">
        <v>0</v>
      </c>
      <c r="AU344" s="100">
        <v>0</v>
      </c>
      <c r="AV344" s="100">
        <v>0</v>
      </c>
      <c r="AW344" s="100">
        <v>0</v>
      </c>
      <c r="AX344" s="100">
        <v>0</v>
      </c>
      <c r="AY344" s="100">
        <v>0</v>
      </c>
      <c r="AZ344" s="100">
        <v>0</v>
      </c>
      <c r="BA344" s="100">
        <v>0</v>
      </c>
      <c r="BB344" s="100">
        <v>0</v>
      </c>
      <c r="BC344" s="100">
        <v>0</v>
      </c>
      <c r="BD344" s="100">
        <v>0</v>
      </c>
      <c r="BE344" s="100">
        <v>0</v>
      </c>
      <c r="BF344" s="100">
        <v>0</v>
      </c>
      <c r="BG344" s="100">
        <v>0</v>
      </c>
      <c r="BH344" s="100">
        <v>0</v>
      </c>
      <c r="BI344" s="100">
        <v>0</v>
      </c>
      <c r="BJ344" s="100">
        <v>0</v>
      </c>
      <c r="BK344" s="100">
        <v>0</v>
      </c>
      <c r="BL344" s="100">
        <v>0</v>
      </c>
      <c r="BM344" s="100">
        <v>0</v>
      </c>
      <c r="BN344" s="100">
        <v>0</v>
      </c>
      <c r="BO344" s="100">
        <v>0</v>
      </c>
      <c r="BP344" s="100">
        <v>0</v>
      </c>
      <c r="BQ344" s="100">
        <v>0</v>
      </c>
      <c r="BR344" s="100">
        <v>0</v>
      </c>
      <c r="BS344" s="100">
        <v>0</v>
      </c>
      <c r="BT344" s="100">
        <v>0</v>
      </c>
      <c r="BU344" s="100">
        <v>0</v>
      </c>
      <c r="BV344" s="100">
        <v>0</v>
      </c>
      <c r="BW344" s="100">
        <v>1</v>
      </c>
      <c r="BX344" s="100">
        <v>0</v>
      </c>
      <c r="BY344" s="100">
        <v>0</v>
      </c>
      <c r="BZ344" s="100">
        <v>0</v>
      </c>
      <c r="CA344" s="100">
        <v>1</v>
      </c>
      <c r="CB344" s="100" t="s">
        <v>2090</v>
      </c>
      <c r="CC344" s="100">
        <v>0</v>
      </c>
      <c r="CD344" s="100">
        <v>0</v>
      </c>
      <c r="CE344" s="100">
        <v>0</v>
      </c>
      <c r="CF344" s="100">
        <v>0</v>
      </c>
      <c r="CG344" s="103">
        <v>245193.4834</v>
      </c>
      <c r="CH344" s="103">
        <v>17.82</v>
      </c>
      <c r="CI344" s="103">
        <v>3961699.6996200001</v>
      </c>
      <c r="CJ344" s="103">
        <v>26.61</v>
      </c>
      <c r="CK344" s="103">
        <f t="shared" si="20"/>
        <v>474.1902</v>
      </c>
      <c r="CL344" s="103">
        <v>456893.6</v>
      </c>
      <c r="CM344" s="103">
        <v>548350.30000000005</v>
      </c>
      <c r="CN344" s="104">
        <v>0.83321482636190758</v>
      </c>
      <c r="CO344" s="103">
        <v>50372.572070000002</v>
      </c>
      <c r="CP344" s="103">
        <v>3.15</v>
      </c>
      <c r="CQ344" s="103">
        <v>2294233.3533800002</v>
      </c>
      <c r="CR344" s="103">
        <v>13.56</v>
      </c>
      <c r="CS344" s="103">
        <f t="shared" si="21"/>
        <v>42.713999999999999</v>
      </c>
      <c r="CT344" s="103">
        <v>62346.3</v>
      </c>
      <c r="CU344" s="103">
        <v>75946.8</v>
      </c>
      <c r="CV344" s="104">
        <v>0.82092069711956261</v>
      </c>
      <c r="CW344" s="103">
        <v>394533.36242999998</v>
      </c>
      <c r="CX344" s="103">
        <v>29.24</v>
      </c>
      <c r="CY344" s="103">
        <v>5354675.83916</v>
      </c>
      <c r="CZ344" s="103">
        <v>35.785953177257525</v>
      </c>
      <c r="DA344" s="103">
        <f t="shared" si="22"/>
        <v>1046.3812709030101</v>
      </c>
      <c r="DB344" s="103">
        <v>112264.8</v>
      </c>
      <c r="DC344" s="103">
        <v>50087.199999999997</v>
      </c>
      <c r="DD344" s="104">
        <v>2.2413870210353144</v>
      </c>
      <c r="DE344" s="103">
        <v>67001.660900000003</v>
      </c>
      <c r="DF344" s="103">
        <v>4.33</v>
      </c>
      <c r="DG344" s="103">
        <v>2528101.3318599998</v>
      </c>
      <c r="DH344" s="103">
        <v>15.42</v>
      </c>
      <c r="DI344" s="103">
        <f t="shared" si="23"/>
        <v>66.768600000000006</v>
      </c>
      <c r="DJ344" s="103">
        <v>221171.4</v>
      </c>
      <c r="DK344" s="103">
        <v>391523.3</v>
      </c>
      <c r="DL344" s="104">
        <v>0.56489971350364077</v>
      </c>
    </row>
    <row r="345" spans="1:116" s="15" customFormat="1" ht="250.7" customHeight="1" x14ac:dyDescent="0.25">
      <c r="A345" s="100" t="s">
        <v>430</v>
      </c>
      <c r="B345" s="100" t="s">
        <v>2778</v>
      </c>
      <c r="C345" s="100" t="s">
        <v>279</v>
      </c>
      <c r="D345" s="101" t="str">
        <f>"Chemistry 156"</f>
        <v>Chemistry 156</v>
      </c>
      <c r="E345" s="102" t="s">
        <v>2779</v>
      </c>
      <c r="F345" s="100">
        <v>13</v>
      </c>
      <c r="G345" s="100">
        <v>7</v>
      </c>
      <c r="H345" s="100">
        <v>0.54</v>
      </c>
      <c r="I345" s="100">
        <v>14</v>
      </c>
      <c r="J345" s="100">
        <v>1</v>
      </c>
      <c r="K345" s="100">
        <v>1</v>
      </c>
      <c r="L345" s="100">
        <v>1</v>
      </c>
      <c r="M345" s="100">
        <v>1</v>
      </c>
      <c r="N345" s="100">
        <v>1</v>
      </c>
      <c r="O345" s="100">
        <v>1</v>
      </c>
      <c r="P345" s="100">
        <v>3.37</v>
      </c>
      <c r="Q345" s="100">
        <v>12.03</v>
      </c>
      <c r="R345" s="100">
        <v>2</v>
      </c>
      <c r="S345" s="100">
        <v>0</v>
      </c>
      <c r="T345" s="100">
        <v>0</v>
      </c>
      <c r="U345" s="100">
        <v>1</v>
      </c>
      <c r="V345" s="100">
        <v>0</v>
      </c>
      <c r="W345" s="100">
        <v>0</v>
      </c>
      <c r="X345" s="100">
        <v>1</v>
      </c>
      <c r="Y345" s="100">
        <v>0</v>
      </c>
      <c r="Z345" s="100">
        <v>1</v>
      </c>
      <c r="AA345" s="100">
        <v>0</v>
      </c>
      <c r="AB345" s="100">
        <v>0</v>
      </c>
      <c r="AC345" s="100">
        <v>1</v>
      </c>
      <c r="AD345" s="100">
        <v>0</v>
      </c>
      <c r="AE345" s="100">
        <v>0</v>
      </c>
      <c r="AF345" s="100">
        <v>0</v>
      </c>
      <c r="AG345" s="100">
        <v>1</v>
      </c>
      <c r="AH345" s="100">
        <v>1</v>
      </c>
      <c r="AI345" s="100">
        <v>0</v>
      </c>
      <c r="AJ345" s="100">
        <v>0</v>
      </c>
      <c r="AK345" s="100">
        <v>0</v>
      </c>
      <c r="AL345" s="100">
        <v>0</v>
      </c>
      <c r="AM345" s="100">
        <v>0</v>
      </c>
      <c r="AN345" s="100">
        <v>0</v>
      </c>
      <c r="AO345" s="100">
        <v>0</v>
      </c>
      <c r="AP345" s="100">
        <v>0</v>
      </c>
      <c r="AQ345" s="100">
        <v>0</v>
      </c>
      <c r="AR345" s="100">
        <v>0</v>
      </c>
      <c r="AS345" s="100">
        <v>0</v>
      </c>
      <c r="AT345" s="100">
        <v>0</v>
      </c>
      <c r="AU345" s="100">
        <v>0</v>
      </c>
      <c r="AV345" s="100">
        <v>0</v>
      </c>
      <c r="AW345" s="100">
        <v>0</v>
      </c>
      <c r="AX345" s="100">
        <v>0</v>
      </c>
      <c r="AY345" s="100">
        <v>0</v>
      </c>
      <c r="AZ345" s="100">
        <v>0</v>
      </c>
      <c r="BA345" s="100">
        <v>0</v>
      </c>
      <c r="BB345" s="100">
        <v>0</v>
      </c>
      <c r="BC345" s="100">
        <v>0</v>
      </c>
      <c r="BD345" s="100">
        <v>0</v>
      </c>
      <c r="BE345" s="100">
        <v>0</v>
      </c>
      <c r="BF345" s="100">
        <v>0</v>
      </c>
      <c r="BG345" s="100">
        <v>0</v>
      </c>
      <c r="BH345" s="100">
        <v>0</v>
      </c>
      <c r="BI345" s="100">
        <v>0</v>
      </c>
      <c r="BJ345" s="100">
        <v>0</v>
      </c>
      <c r="BK345" s="100">
        <v>0</v>
      </c>
      <c r="BL345" s="100">
        <v>0</v>
      </c>
      <c r="BM345" s="100">
        <v>0</v>
      </c>
      <c r="BN345" s="100">
        <v>0</v>
      </c>
      <c r="BO345" s="100">
        <v>0</v>
      </c>
      <c r="BP345" s="100">
        <v>0</v>
      </c>
      <c r="BQ345" s="100">
        <v>0</v>
      </c>
      <c r="BR345" s="100">
        <v>0</v>
      </c>
      <c r="BS345" s="100">
        <v>0</v>
      </c>
      <c r="BT345" s="100">
        <v>0</v>
      </c>
      <c r="BU345" s="100">
        <v>0</v>
      </c>
      <c r="BV345" s="100">
        <v>0</v>
      </c>
      <c r="BW345" s="100">
        <v>1</v>
      </c>
      <c r="BX345" s="100">
        <v>0</v>
      </c>
      <c r="BY345" s="100">
        <v>0</v>
      </c>
      <c r="BZ345" s="100">
        <v>1</v>
      </c>
      <c r="CA345" s="100">
        <v>0</v>
      </c>
      <c r="CB345" s="100" t="s">
        <v>2090</v>
      </c>
      <c r="CC345" s="100">
        <v>0</v>
      </c>
      <c r="CD345" s="100">
        <v>0</v>
      </c>
      <c r="CE345" s="100">
        <v>0</v>
      </c>
      <c r="CF345" s="100">
        <v>0</v>
      </c>
      <c r="CG345" s="103">
        <v>225129.50103000001</v>
      </c>
      <c r="CH345" s="103">
        <v>14.67</v>
      </c>
      <c r="CI345" s="103">
        <v>4150812.9334999998</v>
      </c>
      <c r="CJ345" s="103">
        <v>31.75</v>
      </c>
      <c r="CK345" s="103">
        <f t="shared" si="20"/>
        <v>465.77249999999998</v>
      </c>
      <c r="CL345" s="103">
        <v>531900.5</v>
      </c>
      <c r="CM345" s="103">
        <v>678243.5</v>
      </c>
      <c r="CN345" s="104">
        <v>0.78423235902739941</v>
      </c>
      <c r="CO345" s="103">
        <v>172519.20955</v>
      </c>
      <c r="CP345" s="103">
        <v>9.5</v>
      </c>
      <c r="CQ345" s="103">
        <v>3823504.6350699998</v>
      </c>
      <c r="CR345" s="103">
        <v>24.77</v>
      </c>
      <c r="CS345" s="103">
        <f t="shared" si="21"/>
        <v>235.315</v>
      </c>
      <c r="CT345" s="103">
        <v>663146.9</v>
      </c>
      <c r="CU345" s="103">
        <v>771912.4</v>
      </c>
      <c r="CV345" s="104">
        <v>0.85909605805011036</v>
      </c>
      <c r="CW345" s="103">
        <v>481112.19987000001</v>
      </c>
      <c r="CX345" s="103">
        <v>34.520000000000003</v>
      </c>
      <c r="CY345" s="103">
        <v>6638521.6761699999</v>
      </c>
      <c r="CZ345" s="103">
        <v>49.525594471125686</v>
      </c>
      <c r="DA345" s="103">
        <f t="shared" si="22"/>
        <v>1709.6235211432588</v>
      </c>
      <c r="DB345" s="103">
        <v>326080.3</v>
      </c>
      <c r="DC345" s="103">
        <v>178739.20000000001</v>
      </c>
      <c r="DD345" s="104">
        <v>1.8243356801417929</v>
      </c>
      <c r="DE345" s="103">
        <v>190843.26117000001</v>
      </c>
      <c r="DF345" s="103">
        <v>12.47</v>
      </c>
      <c r="DG345" s="103">
        <v>3785779.8690999998</v>
      </c>
      <c r="DH345" s="103">
        <v>21.98</v>
      </c>
      <c r="DI345" s="103">
        <f t="shared" si="23"/>
        <v>274.09059999999999</v>
      </c>
      <c r="DJ345" s="103">
        <v>220079.3</v>
      </c>
      <c r="DK345" s="103">
        <v>223432.1</v>
      </c>
      <c r="DL345" s="104">
        <v>0.98499409887836165</v>
      </c>
    </row>
    <row r="346" spans="1:116" s="15" customFormat="1" ht="119.45" customHeight="1" x14ac:dyDescent="0.25">
      <c r="A346" s="100" t="s">
        <v>431</v>
      </c>
      <c r="B346" s="100" t="s">
        <v>2780</v>
      </c>
      <c r="C346" s="100" t="s">
        <v>279</v>
      </c>
      <c r="D346" s="101" t="str">
        <f>"Chemistry 79"</f>
        <v>Chemistry 79</v>
      </c>
      <c r="E346" s="102" t="s">
        <v>2781</v>
      </c>
      <c r="F346" s="100">
        <v>12</v>
      </c>
      <c r="G346" s="100">
        <v>5</v>
      </c>
      <c r="H346" s="100">
        <v>0.42</v>
      </c>
      <c r="I346" s="100">
        <v>15</v>
      </c>
      <c r="J346" s="100">
        <v>3</v>
      </c>
      <c r="K346" s="100">
        <v>3</v>
      </c>
      <c r="L346" s="100">
        <v>2</v>
      </c>
      <c r="M346" s="100">
        <v>2</v>
      </c>
      <c r="N346" s="100">
        <v>2</v>
      </c>
      <c r="O346" s="100">
        <v>1</v>
      </c>
      <c r="P346" s="100">
        <v>2.4300000000000002</v>
      </c>
      <c r="Q346" s="100">
        <v>24.92</v>
      </c>
      <c r="R346" s="100">
        <v>1</v>
      </c>
      <c r="S346" s="100">
        <v>0</v>
      </c>
      <c r="T346" s="100">
        <v>1</v>
      </c>
      <c r="U346" s="100">
        <v>0</v>
      </c>
      <c r="V346" s="100">
        <v>0</v>
      </c>
      <c r="W346" s="100">
        <v>1</v>
      </c>
      <c r="X346" s="100">
        <v>0</v>
      </c>
      <c r="Y346" s="100">
        <v>0</v>
      </c>
      <c r="Z346" s="100">
        <v>1</v>
      </c>
      <c r="AA346" s="100">
        <v>0</v>
      </c>
      <c r="AB346" s="100">
        <v>0</v>
      </c>
      <c r="AC346" s="100">
        <v>1</v>
      </c>
      <c r="AD346" s="100">
        <v>0</v>
      </c>
      <c r="AE346" s="100">
        <v>0</v>
      </c>
      <c r="AF346" s="100">
        <v>0</v>
      </c>
      <c r="AG346" s="100">
        <v>1</v>
      </c>
      <c r="AH346" s="100">
        <v>1</v>
      </c>
      <c r="AI346" s="100">
        <v>0</v>
      </c>
      <c r="AJ346" s="100">
        <v>0</v>
      </c>
      <c r="AK346" s="100">
        <v>1</v>
      </c>
      <c r="AL346" s="100">
        <v>1</v>
      </c>
      <c r="AM346" s="100">
        <v>0</v>
      </c>
      <c r="AN346" s="100">
        <v>1</v>
      </c>
      <c r="AO346" s="100">
        <v>0</v>
      </c>
      <c r="AP346" s="100">
        <v>0</v>
      </c>
      <c r="AQ346" s="100">
        <v>0</v>
      </c>
      <c r="AR346" s="100">
        <v>0</v>
      </c>
      <c r="AS346" s="100">
        <v>0</v>
      </c>
      <c r="AT346" s="100">
        <v>0</v>
      </c>
      <c r="AU346" s="100">
        <v>0</v>
      </c>
      <c r="AV346" s="100">
        <v>0</v>
      </c>
      <c r="AW346" s="100">
        <v>0</v>
      </c>
      <c r="AX346" s="100">
        <v>0</v>
      </c>
      <c r="AY346" s="100">
        <v>0</v>
      </c>
      <c r="AZ346" s="100">
        <v>0</v>
      </c>
      <c r="BA346" s="100">
        <v>0</v>
      </c>
      <c r="BB346" s="100">
        <v>0</v>
      </c>
      <c r="BC346" s="100">
        <v>0</v>
      </c>
      <c r="BD346" s="100">
        <v>0</v>
      </c>
      <c r="BE346" s="100">
        <v>0</v>
      </c>
      <c r="BF346" s="100">
        <v>0</v>
      </c>
      <c r="BG346" s="100">
        <v>0</v>
      </c>
      <c r="BH346" s="100">
        <v>0</v>
      </c>
      <c r="BI346" s="100">
        <v>0</v>
      </c>
      <c r="BJ346" s="100">
        <v>0</v>
      </c>
      <c r="BK346" s="100">
        <v>0</v>
      </c>
      <c r="BL346" s="100">
        <v>0</v>
      </c>
      <c r="BM346" s="100">
        <v>0</v>
      </c>
      <c r="BN346" s="100">
        <v>0</v>
      </c>
      <c r="BO346" s="100">
        <v>0</v>
      </c>
      <c r="BP346" s="100">
        <v>0</v>
      </c>
      <c r="BQ346" s="100">
        <v>0</v>
      </c>
      <c r="BR346" s="100">
        <v>0</v>
      </c>
      <c r="BS346" s="100">
        <v>0</v>
      </c>
      <c r="BT346" s="100">
        <v>0</v>
      </c>
      <c r="BU346" s="100">
        <v>0</v>
      </c>
      <c r="BV346" s="100">
        <v>1</v>
      </c>
      <c r="BW346" s="100">
        <v>1</v>
      </c>
      <c r="BX346" s="100">
        <v>0</v>
      </c>
      <c r="BY346" s="100">
        <v>0</v>
      </c>
      <c r="BZ346" s="100">
        <v>0</v>
      </c>
      <c r="CA346" s="100">
        <v>0</v>
      </c>
      <c r="CB346" s="100" t="s">
        <v>2090</v>
      </c>
      <c r="CC346" s="100">
        <v>0</v>
      </c>
      <c r="CD346" s="100">
        <v>0</v>
      </c>
      <c r="CE346" s="100">
        <v>0</v>
      </c>
      <c r="CF346" s="100">
        <v>0</v>
      </c>
      <c r="CG346" s="103">
        <v>0</v>
      </c>
      <c r="CH346" s="103">
        <v>0</v>
      </c>
      <c r="CI346" s="103">
        <v>357886.75604000001</v>
      </c>
      <c r="CJ346" s="103">
        <v>9.49</v>
      </c>
      <c r="CK346" s="103">
        <f t="shared" si="20"/>
        <v>0</v>
      </c>
      <c r="CL346" s="103">
        <v>22199.4</v>
      </c>
      <c r="CM346" s="103">
        <v>840350.6</v>
      </c>
      <c r="CN346" s="104">
        <v>2.6416831260666681E-2</v>
      </c>
      <c r="CO346" s="103">
        <v>22947.489939999999</v>
      </c>
      <c r="CP346" s="103">
        <v>1.08</v>
      </c>
      <c r="CQ346" s="103">
        <v>949999.64852000005</v>
      </c>
      <c r="CR346" s="103">
        <v>15.14</v>
      </c>
      <c r="CS346" s="103">
        <f t="shared" si="21"/>
        <v>16.351200000000002</v>
      </c>
      <c r="CT346" s="103">
        <v>42702.1</v>
      </c>
      <c r="CU346" s="103">
        <v>478705</v>
      </c>
      <c r="CV346" s="104">
        <v>8.9203371596285816E-2</v>
      </c>
      <c r="CW346" s="103">
        <v>19175.717379999998</v>
      </c>
      <c r="CX346" s="103">
        <v>1.0900000000000001</v>
      </c>
      <c r="CY346" s="103">
        <v>1017595.01648</v>
      </c>
      <c r="CZ346" s="103">
        <v>10.168915088992177</v>
      </c>
      <c r="DA346" s="103">
        <f t="shared" si="22"/>
        <v>11.084117447001475</v>
      </c>
      <c r="DB346" s="103">
        <v>21247.200000000001</v>
      </c>
      <c r="DC346" s="103">
        <v>381979.8</v>
      </c>
      <c r="DD346" s="104">
        <v>5.5623883776053082E-2</v>
      </c>
      <c r="DE346" s="103">
        <v>110741.44261</v>
      </c>
      <c r="DF346" s="103">
        <v>5.82</v>
      </c>
      <c r="DG346" s="103">
        <v>2541101.1347400001</v>
      </c>
      <c r="DH346" s="103">
        <v>26.31</v>
      </c>
      <c r="DI346" s="103">
        <f t="shared" si="23"/>
        <v>153.1242</v>
      </c>
      <c r="DJ346" s="103">
        <v>326436.40000000002</v>
      </c>
      <c r="DK346" s="103">
        <v>781978.4</v>
      </c>
      <c r="DL346" s="104">
        <v>0.41744938223357581</v>
      </c>
    </row>
    <row r="347" spans="1:116" s="15" customFormat="1" ht="122.45" customHeight="1" x14ac:dyDescent="0.25">
      <c r="A347" s="100" t="s">
        <v>432</v>
      </c>
      <c r="B347" s="100" t="s">
        <v>2782</v>
      </c>
      <c r="C347" s="100" t="s">
        <v>279</v>
      </c>
      <c r="D347" s="101" t="str">
        <f>"Chemistry 57"</f>
        <v>Chemistry 57</v>
      </c>
      <c r="E347" s="102" t="s">
        <v>2783</v>
      </c>
      <c r="F347" s="100">
        <v>10</v>
      </c>
      <c r="G347" s="100">
        <v>10</v>
      </c>
      <c r="H347" s="100">
        <v>1</v>
      </c>
      <c r="I347" s="100">
        <v>13</v>
      </c>
      <c r="J347" s="100">
        <v>3</v>
      </c>
      <c r="K347" s="100">
        <v>3</v>
      </c>
      <c r="L347" s="100">
        <v>2</v>
      </c>
      <c r="M347" s="100">
        <v>0</v>
      </c>
      <c r="N347" s="100">
        <v>3</v>
      </c>
      <c r="O347" s="100">
        <v>1</v>
      </c>
      <c r="P347" s="100">
        <v>0.41</v>
      </c>
      <c r="Q347" s="100">
        <v>24.5</v>
      </c>
      <c r="R347" s="100">
        <v>2</v>
      </c>
      <c r="S347" s="100">
        <v>0</v>
      </c>
      <c r="T347" s="100">
        <v>0</v>
      </c>
      <c r="U347" s="100">
        <v>1</v>
      </c>
      <c r="V347" s="100">
        <v>0</v>
      </c>
      <c r="W347" s="100">
        <v>1</v>
      </c>
      <c r="X347" s="100">
        <v>0</v>
      </c>
      <c r="Y347" s="100">
        <v>0</v>
      </c>
      <c r="Z347" s="100">
        <v>1</v>
      </c>
      <c r="AA347" s="100">
        <v>0</v>
      </c>
      <c r="AB347" s="100">
        <v>0</v>
      </c>
      <c r="AC347" s="100">
        <v>1</v>
      </c>
      <c r="AD347" s="100">
        <v>0</v>
      </c>
      <c r="AE347" s="100">
        <v>0</v>
      </c>
      <c r="AF347" s="100">
        <v>1</v>
      </c>
      <c r="AG347" s="100">
        <v>0</v>
      </c>
      <c r="AH347" s="100">
        <v>1</v>
      </c>
      <c r="AI347" s="100">
        <v>0</v>
      </c>
      <c r="AJ347" s="100">
        <v>0</v>
      </c>
      <c r="AK347" s="100">
        <v>1</v>
      </c>
      <c r="AL347" s="100">
        <v>1</v>
      </c>
      <c r="AM347" s="100">
        <v>0</v>
      </c>
      <c r="AN347" s="100">
        <v>0</v>
      </c>
      <c r="AO347" s="100">
        <v>0</v>
      </c>
      <c r="AP347" s="100">
        <v>0</v>
      </c>
      <c r="AQ347" s="100">
        <v>0</v>
      </c>
      <c r="AR347" s="100">
        <v>0</v>
      </c>
      <c r="AS347" s="100">
        <v>0</v>
      </c>
      <c r="AT347" s="100">
        <v>0</v>
      </c>
      <c r="AU347" s="100">
        <v>0</v>
      </c>
      <c r="AV347" s="100">
        <v>0</v>
      </c>
      <c r="AW347" s="100">
        <v>0</v>
      </c>
      <c r="AX347" s="100">
        <v>0</v>
      </c>
      <c r="AY347" s="100">
        <v>0</v>
      </c>
      <c r="AZ347" s="100">
        <v>0</v>
      </c>
      <c r="BA347" s="100">
        <v>0</v>
      </c>
      <c r="BB347" s="100">
        <v>0</v>
      </c>
      <c r="BC347" s="100">
        <v>0</v>
      </c>
      <c r="BD347" s="100">
        <v>0</v>
      </c>
      <c r="BE347" s="100">
        <v>0</v>
      </c>
      <c r="BF347" s="100">
        <v>0</v>
      </c>
      <c r="BG347" s="100">
        <v>0</v>
      </c>
      <c r="BH347" s="100">
        <v>1</v>
      </c>
      <c r="BI347" s="100">
        <v>0</v>
      </c>
      <c r="BJ347" s="100">
        <v>1</v>
      </c>
      <c r="BK347" s="100">
        <v>0</v>
      </c>
      <c r="BL347" s="100">
        <v>0</v>
      </c>
      <c r="BM347" s="100">
        <v>0</v>
      </c>
      <c r="BN347" s="100">
        <v>0</v>
      </c>
      <c r="BO347" s="100">
        <v>0</v>
      </c>
      <c r="BP347" s="100">
        <v>0</v>
      </c>
      <c r="BQ347" s="100">
        <v>0</v>
      </c>
      <c r="BR347" s="100">
        <v>0</v>
      </c>
      <c r="BS347" s="100">
        <v>0</v>
      </c>
      <c r="BT347" s="100">
        <v>0</v>
      </c>
      <c r="BU347" s="100">
        <v>0</v>
      </c>
      <c r="BV347" s="100">
        <v>0</v>
      </c>
      <c r="BW347" s="100">
        <v>1</v>
      </c>
      <c r="BX347" s="100">
        <v>0</v>
      </c>
      <c r="BY347" s="100">
        <v>0</v>
      </c>
      <c r="BZ347" s="100">
        <v>0</v>
      </c>
      <c r="CA347" s="100">
        <v>0</v>
      </c>
      <c r="CB347" s="100" t="s">
        <v>2090</v>
      </c>
      <c r="CC347" s="100">
        <v>0</v>
      </c>
      <c r="CD347" s="100">
        <v>0</v>
      </c>
      <c r="CE347" s="100">
        <v>0</v>
      </c>
      <c r="CF347" s="100">
        <v>0</v>
      </c>
      <c r="CG347" s="103">
        <v>38739.909</v>
      </c>
      <c r="CH347" s="103">
        <v>2.85</v>
      </c>
      <c r="CI347" s="103">
        <v>707324.41081000003</v>
      </c>
      <c r="CJ347" s="103">
        <v>12.19</v>
      </c>
      <c r="CK347" s="103">
        <f t="shared" si="20"/>
        <v>34.741500000000002</v>
      </c>
      <c r="CL347" s="103">
        <v>53477.5</v>
      </c>
      <c r="CM347" s="103">
        <v>292933.5</v>
      </c>
      <c r="CN347" s="104">
        <v>0.18255849877190558</v>
      </c>
      <c r="CO347" s="103">
        <v>0</v>
      </c>
      <c r="CP347" s="103">
        <v>0</v>
      </c>
      <c r="CQ347" s="103">
        <v>54109.00589</v>
      </c>
      <c r="CR347" s="103">
        <v>1.41</v>
      </c>
      <c r="CS347" s="103">
        <f t="shared" si="21"/>
        <v>0</v>
      </c>
      <c r="CT347" s="103">
        <v>1644.5</v>
      </c>
      <c r="CU347" s="103">
        <v>95945</v>
      </c>
      <c r="CV347" s="104">
        <v>1.7140028141122518E-2</v>
      </c>
      <c r="CW347" s="103">
        <v>35178.637459999998</v>
      </c>
      <c r="CX347" s="103">
        <v>3.16</v>
      </c>
      <c r="CY347" s="103">
        <v>753120.61575999996</v>
      </c>
      <c r="CZ347" s="103">
        <v>19.715901617782457</v>
      </c>
      <c r="DA347" s="103">
        <f t="shared" si="22"/>
        <v>62.30224911219257</v>
      </c>
      <c r="DB347" s="103">
        <v>378387</v>
      </c>
      <c r="DC347" s="103">
        <v>673655.7</v>
      </c>
      <c r="DD347" s="104">
        <v>0.56169197410487293</v>
      </c>
      <c r="DE347" s="103">
        <v>10091.818079999999</v>
      </c>
      <c r="DF347" s="103">
        <v>0.72</v>
      </c>
      <c r="DG347" s="103">
        <v>60109.779399999999</v>
      </c>
      <c r="DH347" s="103">
        <v>3</v>
      </c>
      <c r="DI347" s="103">
        <f t="shared" si="23"/>
        <v>2.16</v>
      </c>
      <c r="DJ347" s="103">
        <v>16385</v>
      </c>
      <c r="DK347" s="103">
        <v>433177.3</v>
      </c>
      <c r="DL347" s="104">
        <v>3.7825158428200188E-2</v>
      </c>
    </row>
    <row r="348" spans="1:116" s="15" customFormat="1" ht="161.44999999999999" customHeight="1" x14ac:dyDescent="0.25">
      <c r="A348" s="100" t="s">
        <v>433</v>
      </c>
      <c r="B348" s="100" t="s">
        <v>2784</v>
      </c>
      <c r="C348" s="100" t="s">
        <v>279</v>
      </c>
      <c r="D348" s="101" t="str">
        <f>"Chemistry 184"</f>
        <v>Chemistry 184</v>
      </c>
      <c r="E348" s="102" t="s">
        <v>2785</v>
      </c>
      <c r="F348" s="100">
        <v>6</v>
      </c>
      <c r="G348" s="100">
        <v>5</v>
      </c>
      <c r="H348" s="100">
        <v>0.83</v>
      </c>
      <c r="I348" s="100">
        <v>9</v>
      </c>
      <c r="J348" s="100">
        <v>3</v>
      </c>
      <c r="K348" s="100">
        <v>3</v>
      </c>
      <c r="L348" s="100">
        <v>2</v>
      </c>
      <c r="M348" s="100">
        <v>0</v>
      </c>
      <c r="N348" s="100">
        <v>2</v>
      </c>
      <c r="O348" s="100">
        <v>2</v>
      </c>
      <c r="P348" s="100">
        <v>-0.3</v>
      </c>
      <c r="Q348" s="100">
        <v>55.12</v>
      </c>
      <c r="R348" s="100">
        <v>1</v>
      </c>
      <c r="S348" s="100">
        <v>0</v>
      </c>
      <c r="T348" s="100">
        <v>0</v>
      </c>
      <c r="U348" s="100">
        <v>1</v>
      </c>
      <c r="V348" s="100">
        <v>0</v>
      </c>
      <c r="W348" s="100">
        <v>1</v>
      </c>
      <c r="X348" s="100">
        <v>0</v>
      </c>
      <c r="Y348" s="100">
        <v>1</v>
      </c>
      <c r="Z348" s="100">
        <v>0</v>
      </c>
      <c r="AA348" s="100">
        <v>0</v>
      </c>
      <c r="AB348" s="100">
        <v>0</v>
      </c>
      <c r="AC348" s="100">
        <v>1</v>
      </c>
      <c r="AD348" s="100">
        <v>0</v>
      </c>
      <c r="AE348" s="100">
        <v>1</v>
      </c>
      <c r="AF348" s="100">
        <v>0</v>
      </c>
      <c r="AG348" s="100">
        <v>0</v>
      </c>
      <c r="AH348" s="100">
        <v>0</v>
      </c>
      <c r="AI348" s="100">
        <v>0</v>
      </c>
      <c r="AJ348" s="100">
        <v>1</v>
      </c>
      <c r="AK348" s="100">
        <v>1</v>
      </c>
      <c r="AL348" s="100">
        <v>1</v>
      </c>
      <c r="AM348" s="100">
        <v>0</v>
      </c>
      <c r="AN348" s="100">
        <v>0</v>
      </c>
      <c r="AO348" s="100">
        <v>0</v>
      </c>
      <c r="AP348" s="100">
        <v>0</v>
      </c>
      <c r="AQ348" s="100">
        <v>0</v>
      </c>
      <c r="AR348" s="100">
        <v>0</v>
      </c>
      <c r="AS348" s="100">
        <v>0</v>
      </c>
      <c r="AT348" s="100">
        <v>1</v>
      </c>
      <c r="AU348" s="100">
        <v>0</v>
      </c>
      <c r="AV348" s="100">
        <v>0</v>
      </c>
      <c r="AW348" s="100">
        <v>0</v>
      </c>
      <c r="AX348" s="100">
        <v>0</v>
      </c>
      <c r="AY348" s="100">
        <v>0</v>
      </c>
      <c r="AZ348" s="100">
        <v>0</v>
      </c>
      <c r="BA348" s="100">
        <v>0</v>
      </c>
      <c r="BB348" s="100">
        <v>0</v>
      </c>
      <c r="BC348" s="100">
        <v>0</v>
      </c>
      <c r="BD348" s="100">
        <v>0</v>
      </c>
      <c r="BE348" s="100">
        <v>0</v>
      </c>
      <c r="BF348" s="100">
        <v>0</v>
      </c>
      <c r="BG348" s="100">
        <v>0</v>
      </c>
      <c r="BH348" s="100">
        <v>0</v>
      </c>
      <c r="BI348" s="100">
        <v>0</v>
      </c>
      <c r="BJ348" s="100">
        <v>1</v>
      </c>
      <c r="BK348" s="100">
        <v>1</v>
      </c>
      <c r="BL348" s="100">
        <v>0</v>
      </c>
      <c r="BM348" s="100">
        <v>0</v>
      </c>
      <c r="BN348" s="100">
        <v>0</v>
      </c>
      <c r="BO348" s="100">
        <v>0</v>
      </c>
      <c r="BP348" s="100">
        <v>0</v>
      </c>
      <c r="BQ348" s="100">
        <v>0</v>
      </c>
      <c r="BR348" s="100">
        <v>0</v>
      </c>
      <c r="BS348" s="100">
        <v>0</v>
      </c>
      <c r="BT348" s="100">
        <v>0</v>
      </c>
      <c r="BU348" s="100">
        <v>0</v>
      </c>
      <c r="BV348" s="100">
        <v>0</v>
      </c>
      <c r="BW348" s="100">
        <v>1</v>
      </c>
      <c r="BX348" s="100">
        <v>0</v>
      </c>
      <c r="BY348" s="100">
        <v>0</v>
      </c>
      <c r="BZ348" s="100">
        <v>0</v>
      </c>
      <c r="CA348" s="100">
        <v>0</v>
      </c>
      <c r="CB348" s="100" t="s">
        <v>2090</v>
      </c>
      <c r="CC348" s="100">
        <v>0</v>
      </c>
      <c r="CD348" s="100">
        <v>0</v>
      </c>
      <c r="CE348" s="100">
        <v>0</v>
      </c>
      <c r="CF348" s="100">
        <v>0</v>
      </c>
      <c r="CG348" s="103">
        <v>156456.72489000001</v>
      </c>
      <c r="CH348" s="103">
        <v>10.11</v>
      </c>
      <c r="CI348" s="103">
        <v>1446427.5208999999</v>
      </c>
      <c r="CJ348" s="103">
        <v>16.55</v>
      </c>
      <c r="CK348" s="103">
        <f t="shared" si="20"/>
        <v>167.32050000000001</v>
      </c>
      <c r="CL348" s="103">
        <v>184181.5</v>
      </c>
      <c r="CM348" s="103">
        <v>698310.2</v>
      </c>
      <c r="CN348" s="104">
        <v>0.26375312862392675</v>
      </c>
      <c r="CO348" s="103">
        <v>83968.276800000007</v>
      </c>
      <c r="CP348" s="103">
        <v>5.51</v>
      </c>
      <c r="CQ348" s="103">
        <v>984543.67763000005</v>
      </c>
      <c r="CR348" s="103">
        <v>14.88</v>
      </c>
      <c r="CS348" s="103">
        <f t="shared" si="21"/>
        <v>81.988799999999998</v>
      </c>
      <c r="CT348" s="103">
        <v>284048.5</v>
      </c>
      <c r="CU348" s="103">
        <v>891536.9</v>
      </c>
      <c r="CV348" s="104">
        <v>0.31860543293272547</v>
      </c>
      <c r="CW348" s="103">
        <v>0</v>
      </c>
      <c r="CX348" s="103">
        <v>0</v>
      </c>
      <c r="CY348" s="103">
        <v>0</v>
      </c>
      <c r="CZ348" s="103">
        <v>0</v>
      </c>
      <c r="DA348" s="103">
        <f t="shared" si="22"/>
        <v>0</v>
      </c>
      <c r="DB348" s="103">
        <v>1985.7</v>
      </c>
      <c r="DC348" s="103">
        <v>833103.8</v>
      </c>
      <c r="DD348" s="104">
        <v>2.3834965102787911E-3</v>
      </c>
      <c r="DE348" s="103">
        <v>45485.715459999999</v>
      </c>
      <c r="DF348" s="103">
        <v>3.05</v>
      </c>
      <c r="DG348" s="103">
        <v>619676.81412</v>
      </c>
      <c r="DH348" s="103">
        <v>10.220000000000001</v>
      </c>
      <c r="DI348" s="103">
        <f t="shared" si="23"/>
        <v>31.170999999999999</v>
      </c>
      <c r="DJ348" s="103">
        <v>70415.600000000006</v>
      </c>
      <c r="DK348" s="103">
        <v>810468.5</v>
      </c>
      <c r="DL348" s="104">
        <v>8.6882587046874751E-2</v>
      </c>
    </row>
    <row r="349" spans="1:116" s="15" customFormat="1" ht="177.95" customHeight="1" x14ac:dyDescent="0.25">
      <c r="A349" s="100" t="s">
        <v>434</v>
      </c>
      <c r="B349" s="100" t="s">
        <v>2786</v>
      </c>
      <c r="C349" s="100" t="s">
        <v>279</v>
      </c>
      <c r="D349" s="101" t="str">
        <f>"Chemistry 63"</f>
        <v>Chemistry 63</v>
      </c>
      <c r="E349" s="102" t="s">
        <v>1995</v>
      </c>
      <c r="F349" s="100">
        <v>6</v>
      </c>
      <c r="G349" s="100">
        <v>5</v>
      </c>
      <c r="H349" s="100">
        <v>0.83</v>
      </c>
      <c r="I349" s="100">
        <v>10</v>
      </c>
      <c r="J349" s="100">
        <v>4</v>
      </c>
      <c r="K349" s="100">
        <v>4</v>
      </c>
      <c r="L349" s="100">
        <v>2</v>
      </c>
      <c r="M349" s="100">
        <v>0</v>
      </c>
      <c r="N349" s="100">
        <v>3</v>
      </c>
      <c r="O349" s="100">
        <v>1</v>
      </c>
      <c r="P349" s="100">
        <v>0.33</v>
      </c>
      <c r="Q349" s="100">
        <v>41.57</v>
      </c>
      <c r="R349" s="100">
        <v>1</v>
      </c>
      <c r="S349" s="100">
        <v>0</v>
      </c>
      <c r="T349" s="100">
        <v>0</v>
      </c>
      <c r="U349" s="100">
        <v>1</v>
      </c>
      <c r="V349" s="100">
        <v>0</v>
      </c>
      <c r="W349" s="100">
        <v>1</v>
      </c>
      <c r="X349" s="100">
        <v>0</v>
      </c>
      <c r="Y349" s="100">
        <v>0</v>
      </c>
      <c r="Z349" s="100">
        <v>1</v>
      </c>
      <c r="AA349" s="100">
        <v>0</v>
      </c>
      <c r="AB349" s="100">
        <v>0</v>
      </c>
      <c r="AC349" s="100">
        <v>1</v>
      </c>
      <c r="AD349" s="100">
        <v>0</v>
      </c>
      <c r="AE349" s="100">
        <v>1</v>
      </c>
      <c r="AF349" s="100">
        <v>0</v>
      </c>
      <c r="AG349" s="100">
        <v>0</v>
      </c>
      <c r="AH349" s="100">
        <v>0</v>
      </c>
      <c r="AI349" s="100">
        <v>1</v>
      </c>
      <c r="AJ349" s="100">
        <v>0</v>
      </c>
      <c r="AK349" s="100">
        <v>0</v>
      </c>
      <c r="AL349" s="100">
        <v>0</v>
      </c>
      <c r="AM349" s="100">
        <v>0</v>
      </c>
      <c r="AN349" s="100">
        <v>0</v>
      </c>
      <c r="AO349" s="100">
        <v>0</v>
      </c>
      <c r="AP349" s="100">
        <v>0</v>
      </c>
      <c r="AQ349" s="100">
        <v>0</v>
      </c>
      <c r="AR349" s="100">
        <v>0</v>
      </c>
      <c r="AS349" s="100">
        <v>0</v>
      </c>
      <c r="AT349" s="100">
        <v>0</v>
      </c>
      <c r="AU349" s="100">
        <v>0</v>
      </c>
      <c r="AV349" s="100">
        <v>1</v>
      </c>
      <c r="AW349" s="100">
        <v>0</v>
      </c>
      <c r="AX349" s="100">
        <v>0</v>
      </c>
      <c r="AY349" s="100">
        <v>0</v>
      </c>
      <c r="AZ349" s="100">
        <v>0</v>
      </c>
      <c r="BA349" s="100">
        <v>0</v>
      </c>
      <c r="BB349" s="100">
        <v>0</v>
      </c>
      <c r="BC349" s="100">
        <v>0</v>
      </c>
      <c r="BD349" s="100">
        <v>0</v>
      </c>
      <c r="BE349" s="100">
        <v>0</v>
      </c>
      <c r="BF349" s="100">
        <v>0</v>
      </c>
      <c r="BG349" s="100">
        <v>0</v>
      </c>
      <c r="BH349" s="100">
        <v>0</v>
      </c>
      <c r="BI349" s="100">
        <v>0</v>
      </c>
      <c r="BJ349" s="100">
        <v>1</v>
      </c>
      <c r="BK349" s="100">
        <v>0</v>
      </c>
      <c r="BL349" s="100">
        <v>0</v>
      </c>
      <c r="BM349" s="100">
        <v>0</v>
      </c>
      <c r="BN349" s="100">
        <v>0</v>
      </c>
      <c r="BO349" s="100">
        <v>0</v>
      </c>
      <c r="BP349" s="100">
        <v>0</v>
      </c>
      <c r="BQ349" s="100">
        <v>0</v>
      </c>
      <c r="BR349" s="100">
        <v>0</v>
      </c>
      <c r="BS349" s="100">
        <v>0</v>
      </c>
      <c r="BT349" s="100">
        <v>0</v>
      </c>
      <c r="BU349" s="100">
        <v>0</v>
      </c>
      <c r="BV349" s="100">
        <v>0</v>
      </c>
      <c r="BW349" s="100">
        <v>0</v>
      </c>
      <c r="BX349" s="100">
        <v>1</v>
      </c>
      <c r="BY349" s="100">
        <v>0</v>
      </c>
      <c r="BZ349" s="100">
        <v>0</v>
      </c>
      <c r="CA349" s="100">
        <v>0</v>
      </c>
      <c r="CB349" s="100" t="s">
        <v>2090</v>
      </c>
      <c r="CC349" s="100">
        <v>0</v>
      </c>
      <c r="CD349" s="100">
        <v>1</v>
      </c>
      <c r="CE349" s="100">
        <v>0</v>
      </c>
      <c r="CF349" s="100">
        <v>0</v>
      </c>
      <c r="CG349" s="103">
        <v>263986.18404999998</v>
      </c>
      <c r="CH349" s="103">
        <v>18.18</v>
      </c>
      <c r="CI349" s="103">
        <v>2730781.90595</v>
      </c>
      <c r="CJ349" s="103">
        <v>32.99</v>
      </c>
      <c r="CK349" s="103">
        <f t="shared" si="20"/>
        <v>599.75819999999999</v>
      </c>
      <c r="CL349" s="103">
        <v>340330</v>
      </c>
      <c r="CM349" s="103">
        <v>527793</v>
      </c>
      <c r="CN349" s="104">
        <v>0.64481719158836892</v>
      </c>
      <c r="CO349" s="103">
        <v>294362.41386999999</v>
      </c>
      <c r="CP349" s="103">
        <v>16.79</v>
      </c>
      <c r="CQ349" s="103">
        <v>2824289.08347</v>
      </c>
      <c r="CR349" s="103">
        <v>37.270000000000003</v>
      </c>
      <c r="CS349" s="103">
        <f t="shared" si="21"/>
        <v>625.76330000000007</v>
      </c>
      <c r="CT349" s="103">
        <v>155885.6</v>
      </c>
      <c r="CU349" s="103">
        <v>198013</v>
      </c>
      <c r="CV349" s="104">
        <v>0.78724932201421127</v>
      </c>
      <c r="CW349" s="103">
        <v>986596.46435999998</v>
      </c>
      <c r="CX349" s="103">
        <v>59.62</v>
      </c>
      <c r="CY349" s="103">
        <v>4204630.5756000001</v>
      </c>
      <c r="CZ349" s="103">
        <v>60.810810810810807</v>
      </c>
      <c r="DA349" s="103">
        <f t="shared" si="22"/>
        <v>3625.54054054054</v>
      </c>
      <c r="DB349" s="103">
        <v>802616.4</v>
      </c>
      <c r="DC349" s="103">
        <v>427039.7</v>
      </c>
      <c r="DD349" s="104">
        <v>1.8794889561790156</v>
      </c>
      <c r="DE349" s="103">
        <v>422441.65216</v>
      </c>
      <c r="DF349" s="103">
        <v>25.88</v>
      </c>
      <c r="DG349" s="103">
        <v>2966914.5930900001</v>
      </c>
      <c r="DH349" s="103">
        <v>36.26</v>
      </c>
      <c r="DI349" s="103">
        <f t="shared" si="23"/>
        <v>938.40879999999993</v>
      </c>
      <c r="DJ349" s="103">
        <v>336179.3</v>
      </c>
      <c r="DK349" s="103">
        <v>289965.3</v>
      </c>
      <c r="DL349" s="104">
        <v>1.1593776910547573</v>
      </c>
    </row>
    <row r="350" spans="1:116" s="15" customFormat="1" ht="147.94999999999999" customHeight="1" x14ac:dyDescent="0.25">
      <c r="A350" s="100" t="s">
        <v>435</v>
      </c>
      <c r="B350" s="100" t="s">
        <v>2787</v>
      </c>
      <c r="C350" s="100" t="s">
        <v>279</v>
      </c>
      <c r="D350" s="101" t="str">
        <f>"Chemistry 15"</f>
        <v>Chemistry 15</v>
      </c>
      <c r="E350" s="102" t="s">
        <v>2014</v>
      </c>
      <c r="F350" s="100">
        <v>12</v>
      </c>
      <c r="G350" s="100">
        <v>7</v>
      </c>
      <c r="H350" s="100">
        <v>0.57999999999999996</v>
      </c>
      <c r="I350" s="100">
        <v>14</v>
      </c>
      <c r="J350" s="100">
        <v>2</v>
      </c>
      <c r="K350" s="100">
        <v>2</v>
      </c>
      <c r="L350" s="100">
        <v>2</v>
      </c>
      <c r="M350" s="100">
        <v>1</v>
      </c>
      <c r="N350" s="100">
        <v>2</v>
      </c>
      <c r="O350" s="100">
        <v>1</v>
      </c>
      <c r="P350" s="100">
        <v>1.97</v>
      </c>
      <c r="Q350" s="100">
        <v>24.92</v>
      </c>
      <c r="R350" s="100">
        <v>2</v>
      </c>
      <c r="S350" s="100">
        <v>0</v>
      </c>
      <c r="T350" s="100">
        <v>0</v>
      </c>
      <c r="U350" s="100">
        <v>1</v>
      </c>
      <c r="V350" s="100">
        <v>0</v>
      </c>
      <c r="W350" s="100">
        <v>1</v>
      </c>
      <c r="X350" s="100">
        <v>0</v>
      </c>
      <c r="Y350" s="100">
        <v>0</v>
      </c>
      <c r="Z350" s="100">
        <v>1</v>
      </c>
      <c r="AA350" s="100">
        <v>0</v>
      </c>
      <c r="AB350" s="100">
        <v>0</v>
      </c>
      <c r="AC350" s="100">
        <v>1</v>
      </c>
      <c r="AD350" s="100">
        <v>0</v>
      </c>
      <c r="AE350" s="100">
        <v>0</v>
      </c>
      <c r="AF350" s="100">
        <v>0</v>
      </c>
      <c r="AG350" s="100">
        <v>1</v>
      </c>
      <c r="AH350" s="100">
        <v>1</v>
      </c>
      <c r="AI350" s="100">
        <v>0</v>
      </c>
      <c r="AJ350" s="100">
        <v>0</v>
      </c>
      <c r="AK350" s="100">
        <v>1</v>
      </c>
      <c r="AL350" s="100">
        <v>1</v>
      </c>
      <c r="AM350" s="100">
        <v>0</v>
      </c>
      <c r="AN350" s="100">
        <v>0</v>
      </c>
      <c r="AO350" s="100">
        <v>1</v>
      </c>
      <c r="AP350" s="100">
        <v>0</v>
      </c>
      <c r="AQ350" s="100">
        <v>0</v>
      </c>
      <c r="AR350" s="100">
        <v>0</v>
      </c>
      <c r="AS350" s="100">
        <v>0</v>
      </c>
      <c r="AT350" s="100">
        <v>0</v>
      </c>
      <c r="AU350" s="100">
        <v>0</v>
      </c>
      <c r="AV350" s="100">
        <v>0</v>
      </c>
      <c r="AW350" s="100">
        <v>0</v>
      </c>
      <c r="AX350" s="100">
        <v>0</v>
      </c>
      <c r="AY350" s="100">
        <v>0</v>
      </c>
      <c r="AZ350" s="100">
        <v>0</v>
      </c>
      <c r="BA350" s="100">
        <v>0</v>
      </c>
      <c r="BB350" s="100">
        <v>0</v>
      </c>
      <c r="BC350" s="100">
        <v>0</v>
      </c>
      <c r="BD350" s="100">
        <v>0</v>
      </c>
      <c r="BE350" s="100">
        <v>0</v>
      </c>
      <c r="BF350" s="100">
        <v>0</v>
      </c>
      <c r="BG350" s="100">
        <v>0</v>
      </c>
      <c r="BH350" s="100">
        <v>0</v>
      </c>
      <c r="BI350" s="100">
        <v>0</v>
      </c>
      <c r="BJ350" s="100">
        <v>0</v>
      </c>
      <c r="BK350" s="100">
        <v>0</v>
      </c>
      <c r="BL350" s="100">
        <v>0</v>
      </c>
      <c r="BM350" s="100">
        <v>0</v>
      </c>
      <c r="BN350" s="100">
        <v>0</v>
      </c>
      <c r="BO350" s="100">
        <v>0</v>
      </c>
      <c r="BP350" s="100">
        <v>0</v>
      </c>
      <c r="BQ350" s="100">
        <v>0</v>
      </c>
      <c r="BR350" s="100">
        <v>0</v>
      </c>
      <c r="BS350" s="100">
        <v>0</v>
      </c>
      <c r="BT350" s="100">
        <v>0</v>
      </c>
      <c r="BU350" s="100">
        <v>0</v>
      </c>
      <c r="BV350" s="100">
        <v>0</v>
      </c>
      <c r="BW350" s="100">
        <v>1</v>
      </c>
      <c r="BX350" s="100">
        <v>0</v>
      </c>
      <c r="BY350" s="100">
        <v>0</v>
      </c>
      <c r="BZ350" s="100">
        <v>0</v>
      </c>
      <c r="CA350" s="100">
        <v>0</v>
      </c>
      <c r="CB350" s="100" t="s">
        <v>2090</v>
      </c>
      <c r="CC350" s="100">
        <v>0</v>
      </c>
      <c r="CD350" s="100">
        <v>0</v>
      </c>
      <c r="CE350" s="100">
        <v>0</v>
      </c>
      <c r="CF350" s="100">
        <v>0</v>
      </c>
      <c r="CG350" s="103">
        <v>0</v>
      </c>
      <c r="CH350" s="103">
        <v>0</v>
      </c>
      <c r="CI350" s="103">
        <v>501727.03459</v>
      </c>
      <c r="CJ350" s="103">
        <v>3.27</v>
      </c>
      <c r="CK350" s="103">
        <f t="shared" si="20"/>
        <v>0</v>
      </c>
      <c r="CL350" s="103">
        <v>16154.6</v>
      </c>
      <c r="CM350" s="103">
        <v>610543.9</v>
      </c>
      <c r="CN350" s="104">
        <v>2.6459358614507489E-2</v>
      </c>
      <c r="CO350" s="103">
        <v>0</v>
      </c>
      <c r="CP350" s="103">
        <v>0</v>
      </c>
      <c r="CQ350" s="103">
        <v>23116.625469999999</v>
      </c>
      <c r="CR350" s="103">
        <v>0</v>
      </c>
      <c r="CS350" s="103">
        <f t="shared" si="21"/>
        <v>0</v>
      </c>
      <c r="CT350" s="103">
        <v>5017.3</v>
      </c>
      <c r="CU350" s="103">
        <v>257777.8</v>
      </c>
      <c r="CV350" s="104">
        <v>1.9463662115201542E-2</v>
      </c>
      <c r="CW350" s="103">
        <v>0</v>
      </c>
      <c r="CX350" s="103">
        <v>0</v>
      </c>
      <c r="CY350" s="103">
        <v>25006.031650000001</v>
      </c>
      <c r="CZ350" s="103">
        <v>0</v>
      </c>
      <c r="DA350" s="103">
        <f t="shared" si="22"/>
        <v>0</v>
      </c>
      <c r="DB350" s="103">
        <v>505</v>
      </c>
      <c r="DC350" s="103">
        <v>98528.8</v>
      </c>
      <c r="DD350" s="104">
        <v>5.1254049577382447E-3</v>
      </c>
      <c r="DE350" s="103">
        <v>0</v>
      </c>
      <c r="DF350" s="103">
        <v>0</v>
      </c>
      <c r="DG350" s="103">
        <v>30024.119839999999</v>
      </c>
      <c r="DH350" s="103">
        <v>1.0900000000000001</v>
      </c>
      <c r="DI350" s="103">
        <f t="shared" si="23"/>
        <v>0</v>
      </c>
      <c r="DJ350" s="103">
        <v>2184.1999999999998</v>
      </c>
      <c r="DK350" s="103">
        <v>276749.59999999998</v>
      </c>
      <c r="DL350" s="104">
        <v>7.8923329970485949E-3</v>
      </c>
    </row>
    <row r="351" spans="1:116" s="15" customFormat="1" ht="265.7" customHeight="1" x14ac:dyDescent="0.25">
      <c r="A351" s="100" t="s">
        <v>436</v>
      </c>
      <c r="B351" s="100" t="s">
        <v>2788</v>
      </c>
      <c r="C351" s="100" t="s">
        <v>279</v>
      </c>
      <c r="D351" s="101" t="str">
        <f>"Chemistry 16"</f>
        <v>Chemistry 16</v>
      </c>
      <c r="E351" s="102" t="s">
        <v>2789</v>
      </c>
      <c r="F351" s="100">
        <v>11</v>
      </c>
      <c r="G351" s="100">
        <v>4</v>
      </c>
      <c r="H351" s="100">
        <v>0.36</v>
      </c>
      <c r="I351" s="100">
        <v>14</v>
      </c>
      <c r="J351" s="100">
        <v>3</v>
      </c>
      <c r="K351" s="100">
        <v>3</v>
      </c>
      <c r="L351" s="100">
        <v>1</v>
      </c>
      <c r="M351" s="100">
        <v>1</v>
      </c>
      <c r="N351" s="100">
        <v>3</v>
      </c>
      <c r="O351" s="100">
        <v>1</v>
      </c>
      <c r="P351" s="100">
        <v>1.33</v>
      </c>
      <c r="Q351" s="100">
        <v>38.33</v>
      </c>
      <c r="R351" s="100">
        <v>2</v>
      </c>
      <c r="S351" s="100">
        <v>0</v>
      </c>
      <c r="T351" s="100">
        <v>0</v>
      </c>
      <c r="U351" s="100">
        <v>1</v>
      </c>
      <c r="V351" s="100">
        <v>0</v>
      </c>
      <c r="W351" s="100">
        <v>0</v>
      </c>
      <c r="X351" s="100">
        <v>1</v>
      </c>
      <c r="Y351" s="100">
        <v>0</v>
      </c>
      <c r="Z351" s="100">
        <v>1</v>
      </c>
      <c r="AA351" s="100">
        <v>0</v>
      </c>
      <c r="AB351" s="100">
        <v>0</v>
      </c>
      <c r="AC351" s="100">
        <v>1</v>
      </c>
      <c r="AD351" s="100">
        <v>0</v>
      </c>
      <c r="AE351" s="100">
        <v>0</v>
      </c>
      <c r="AF351" s="100">
        <v>1</v>
      </c>
      <c r="AG351" s="100">
        <v>0</v>
      </c>
      <c r="AH351" s="100">
        <v>0</v>
      </c>
      <c r="AI351" s="100">
        <v>1</v>
      </c>
      <c r="AJ351" s="100">
        <v>0</v>
      </c>
      <c r="AK351" s="100">
        <v>1</v>
      </c>
      <c r="AL351" s="100">
        <v>1</v>
      </c>
      <c r="AM351" s="100">
        <v>0</v>
      </c>
      <c r="AN351" s="100">
        <v>0</v>
      </c>
      <c r="AO351" s="100">
        <v>0</v>
      </c>
      <c r="AP351" s="100">
        <v>0</v>
      </c>
      <c r="AQ351" s="100">
        <v>0</v>
      </c>
      <c r="AR351" s="100">
        <v>0</v>
      </c>
      <c r="AS351" s="100">
        <v>0</v>
      </c>
      <c r="AT351" s="100">
        <v>0</v>
      </c>
      <c r="AU351" s="100">
        <v>0</v>
      </c>
      <c r="AV351" s="100">
        <v>0</v>
      </c>
      <c r="AW351" s="100">
        <v>0</v>
      </c>
      <c r="AX351" s="100">
        <v>1</v>
      </c>
      <c r="AY351" s="100">
        <v>0</v>
      </c>
      <c r="AZ351" s="100">
        <v>0</v>
      </c>
      <c r="BA351" s="100">
        <v>0</v>
      </c>
      <c r="BB351" s="100">
        <v>0</v>
      </c>
      <c r="BC351" s="100">
        <v>0</v>
      </c>
      <c r="BD351" s="100">
        <v>0</v>
      </c>
      <c r="BE351" s="100">
        <v>0</v>
      </c>
      <c r="BF351" s="100">
        <v>0</v>
      </c>
      <c r="BG351" s="100">
        <v>0</v>
      </c>
      <c r="BH351" s="100">
        <v>0</v>
      </c>
      <c r="BI351" s="100">
        <v>0</v>
      </c>
      <c r="BJ351" s="100">
        <v>1</v>
      </c>
      <c r="BK351" s="100">
        <v>0</v>
      </c>
      <c r="BL351" s="100">
        <v>0</v>
      </c>
      <c r="BM351" s="100">
        <v>0</v>
      </c>
      <c r="BN351" s="100">
        <v>0</v>
      </c>
      <c r="BO351" s="100">
        <v>0</v>
      </c>
      <c r="BP351" s="100">
        <v>0</v>
      </c>
      <c r="BQ351" s="100">
        <v>0</v>
      </c>
      <c r="BR351" s="100">
        <v>0</v>
      </c>
      <c r="BS351" s="100">
        <v>0</v>
      </c>
      <c r="BT351" s="100">
        <v>0</v>
      </c>
      <c r="BU351" s="100">
        <v>0</v>
      </c>
      <c r="BV351" s="100">
        <v>0</v>
      </c>
      <c r="BW351" s="100">
        <v>1</v>
      </c>
      <c r="BX351" s="100">
        <v>0</v>
      </c>
      <c r="BY351" s="100">
        <v>0</v>
      </c>
      <c r="BZ351" s="100">
        <v>0</v>
      </c>
      <c r="CA351" s="100">
        <v>0</v>
      </c>
      <c r="CB351" s="100" t="s">
        <v>2090</v>
      </c>
      <c r="CC351" s="100">
        <v>0</v>
      </c>
      <c r="CD351" s="100">
        <v>0</v>
      </c>
      <c r="CE351" s="100">
        <v>0</v>
      </c>
      <c r="CF351" s="100">
        <v>0</v>
      </c>
      <c r="CG351" s="103">
        <v>78185.402249999999</v>
      </c>
      <c r="CH351" s="103">
        <v>4.99</v>
      </c>
      <c r="CI351" s="103">
        <v>467300.44169000001</v>
      </c>
      <c r="CJ351" s="103">
        <v>5.61</v>
      </c>
      <c r="CK351" s="103">
        <f t="shared" si="20"/>
        <v>27.993900000000004</v>
      </c>
      <c r="CL351" s="103">
        <v>10815.3</v>
      </c>
      <c r="CM351" s="103">
        <v>232225.4</v>
      </c>
      <c r="CN351" s="104">
        <v>4.6572424894089963E-2</v>
      </c>
      <c r="CO351" s="103">
        <v>28005.129840000001</v>
      </c>
      <c r="CP351" s="103">
        <v>1.28</v>
      </c>
      <c r="CQ351" s="103">
        <v>308382.99031999998</v>
      </c>
      <c r="CR351" s="103">
        <v>5.47</v>
      </c>
      <c r="CS351" s="103">
        <f t="shared" si="21"/>
        <v>7.0015999999999998</v>
      </c>
      <c r="CT351" s="103">
        <v>16956.5</v>
      </c>
      <c r="CU351" s="103">
        <v>356688.6</v>
      </c>
      <c r="CV351" s="104">
        <v>4.75386653792692E-2</v>
      </c>
      <c r="CW351" s="103">
        <v>0</v>
      </c>
      <c r="CX351" s="103">
        <v>0</v>
      </c>
      <c r="CY351" s="103">
        <v>276382.49479000003</v>
      </c>
      <c r="CZ351" s="103">
        <v>4.4107351225204203</v>
      </c>
      <c r="DA351" s="103">
        <f t="shared" si="22"/>
        <v>0</v>
      </c>
      <c r="DB351" s="103">
        <v>0</v>
      </c>
      <c r="DC351" s="103">
        <v>0</v>
      </c>
      <c r="DD351" s="104">
        <v>0</v>
      </c>
      <c r="DE351" s="103">
        <v>0</v>
      </c>
      <c r="DF351" s="103">
        <v>0</v>
      </c>
      <c r="DG351" s="103">
        <v>158807.85045999999</v>
      </c>
      <c r="DH351" s="103">
        <v>0</v>
      </c>
      <c r="DI351" s="103">
        <f t="shared" si="23"/>
        <v>0</v>
      </c>
      <c r="DJ351" s="103">
        <v>1150.4000000000001</v>
      </c>
      <c r="DK351" s="103">
        <v>43916.7</v>
      </c>
      <c r="DL351" s="104">
        <v>2.6195046531273983E-2</v>
      </c>
    </row>
    <row r="352" spans="1:116" s="15" customFormat="1" ht="162.94999999999999" customHeight="1" x14ac:dyDescent="0.25">
      <c r="A352" s="100" t="s">
        <v>437</v>
      </c>
      <c r="B352" s="100" t="s">
        <v>2790</v>
      </c>
      <c r="C352" s="100" t="s">
        <v>279</v>
      </c>
      <c r="D352" s="101" t="str">
        <f>"Chemistry 4"</f>
        <v>Chemistry 4</v>
      </c>
      <c r="E352" s="102" t="s">
        <v>2001</v>
      </c>
      <c r="F352" s="100">
        <v>12</v>
      </c>
      <c r="G352" s="100">
        <v>3</v>
      </c>
      <c r="H352" s="100">
        <v>0.25</v>
      </c>
      <c r="I352" s="100">
        <v>15</v>
      </c>
      <c r="J352" s="100">
        <v>3</v>
      </c>
      <c r="K352" s="100">
        <v>3</v>
      </c>
      <c r="L352" s="100">
        <v>3</v>
      </c>
      <c r="M352" s="100">
        <v>2</v>
      </c>
      <c r="N352" s="100">
        <v>2</v>
      </c>
      <c r="O352" s="100">
        <v>1</v>
      </c>
      <c r="P352" s="100">
        <v>1.32</v>
      </c>
      <c r="Q352" s="100">
        <v>29.85</v>
      </c>
      <c r="R352" s="100">
        <v>1</v>
      </c>
      <c r="S352" s="100">
        <v>0</v>
      </c>
      <c r="T352" s="100">
        <v>0</v>
      </c>
      <c r="U352" s="100">
        <v>1</v>
      </c>
      <c r="V352" s="100">
        <v>0</v>
      </c>
      <c r="W352" s="100">
        <v>1</v>
      </c>
      <c r="X352" s="100">
        <v>0</v>
      </c>
      <c r="Y352" s="100">
        <v>0</v>
      </c>
      <c r="Z352" s="100">
        <v>1</v>
      </c>
      <c r="AA352" s="100">
        <v>0</v>
      </c>
      <c r="AB352" s="100">
        <v>0</v>
      </c>
      <c r="AC352" s="100">
        <v>1</v>
      </c>
      <c r="AD352" s="100">
        <v>0</v>
      </c>
      <c r="AE352" s="100">
        <v>0</v>
      </c>
      <c r="AF352" s="100">
        <v>1</v>
      </c>
      <c r="AG352" s="100">
        <v>0</v>
      </c>
      <c r="AH352" s="100">
        <v>0</v>
      </c>
      <c r="AI352" s="100">
        <v>1</v>
      </c>
      <c r="AJ352" s="100">
        <v>0</v>
      </c>
      <c r="AK352" s="100">
        <v>0</v>
      </c>
      <c r="AL352" s="100">
        <v>0</v>
      </c>
      <c r="AM352" s="100">
        <v>0</v>
      </c>
      <c r="AN352" s="100">
        <v>1</v>
      </c>
      <c r="AO352" s="100">
        <v>0</v>
      </c>
      <c r="AP352" s="100">
        <v>0</v>
      </c>
      <c r="AQ352" s="100">
        <v>0</v>
      </c>
      <c r="AR352" s="100">
        <v>0</v>
      </c>
      <c r="AS352" s="100">
        <v>0</v>
      </c>
      <c r="AT352" s="100">
        <v>0</v>
      </c>
      <c r="AU352" s="100">
        <v>0</v>
      </c>
      <c r="AV352" s="100">
        <v>0</v>
      </c>
      <c r="AW352" s="100">
        <v>0</v>
      </c>
      <c r="AX352" s="100">
        <v>0</v>
      </c>
      <c r="AY352" s="100">
        <v>0</v>
      </c>
      <c r="AZ352" s="100">
        <v>0</v>
      </c>
      <c r="BA352" s="100">
        <v>0</v>
      </c>
      <c r="BB352" s="100">
        <v>0</v>
      </c>
      <c r="BC352" s="100">
        <v>0</v>
      </c>
      <c r="BD352" s="100">
        <v>0</v>
      </c>
      <c r="BE352" s="100">
        <v>0</v>
      </c>
      <c r="BF352" s="100">
        <v>0</v>
      </c>
      <c r="BG352" s="100">
        <v>0</v>
      </c>
      <c r="BH352" s="100">
        <v>0</v>
      </c>
      <c r="BI352" s="100">
        <v>0</v>
      </c>
      <c r="BJ352" s="100">
        <v>0</v>
      </c>
      <c r="BK352" s="100">
        <v>0</v>
      </c>
      <c r="BL352" s="100">
        <v>0</v>
      </c>
      <c r="BM352" s="100">
        <v>0</v>
      </c>
      <c r="BN352" s="100">
        <v>0</v>
      </c>
      <c r="BO352" s="100">
        <v>0</v>
      </c>
      <c r="BP352" s="100">
        <v>0</v>
      </c>
      <c r="BQ352" s="100">
        <v>0</v>
      </c>
      <c r="BR352" s="100">
        <v>0</v>
      </c>
      <c r="BS352" s="100">
        <v>0</v>
      </c>
      <c r="BT352" s="100">
        <v>0</v>
      </c>
      <c r="BU352" s="100">
        <v>0</v>
      </c>
      <c r="BV352" s="100">
        <v>1</v>
      </c>
      <c r="BW352" s="100">
        <v>0</v>
      </c>
      <c r="BX352" s="100">
        <v>1</v>
      </c>
      <c r="BY352" s="100">
        <v>0</v>
      </c>
      <c r="BZ352" s="100">
        <v>1</v>
      </c>
      <c r="CA352" s="100">
        <v>0</v>
      </c>
      <c r="CB352" s="100" t="s">
        <v>2090</v>
      </c>
      <c r="CC352" s="100">
        <v>0</v>
      </c>
      <c r="CD352" s="100">
        <v>0</v>
      </c>
      <c r="CE352" s="100">
        <v>1</v>
      </c>
      <c r="CF352" s="100">
        <v>0</v>
      </c>
      <c r="CG352" s="103">
        <v>46141.408909999998</v>
      </c>
      <c r="CH352" s="103">
        <v>2.31</v>
      </c>
      <c r="CI352" s="103">
        <v>871863.15683999995</v>
      </c>
      <c r="CJ352" s="103">
        <v>8.6999999999999993</v>
      </c>
      <c r="CK352" s="103">
        <f t="shared" si="20"/>
        <v>20.096999999999998</v>
      </c>
      <c r="CL352" s="103">
        <v>214657.5</v>
      </c>
      <c r="CM352" s="103">
        <v>725684.4</v>
      </c>
      <c r="CN352" s="104">
        <v>0.29580007507395778</v>
      </c>
      <c r="CO352" s="103">
        <v>82150.677930000005</v>
      </c>
      <c r="CP352" s="103">
        <v>2.67</v>
      </c>
      <c r="CQ352" s="103">
        <v>1815623.8633600001</v>
      </c>
      <c r="CR352" s="103">
        <v>14.92</v>
      </c>
      <c r="CS352" s="103">
        <f t="shared" si="21"/>
        <v>39.836399999999998</v>
      </c>
      <c r="CT352" s="103">
        <v>332718.7</v>
      </c>
      <c r="CU352" s="103">
        <v>409378.4</v>
      </c>
      <c r="CV352" s="104">
        <v>0.81274121937063604</v>
      </c>
      <c r="CW352" s="103">
        <v>127998.38089</v>
      </c>
      <c r="CX352" s="103">
        <v>9.3699999999999992</v>
      </c>
      <c r="CY352" s="103">
        <v>1793378.4782700001</v>
      </c>
      <c r="CZ352" s="103">
        <v>30.964021561990723</v>
      </c>
      <c r="DA352" s="103">
        <f t="shared" si="22"/>
        <v>290.13288203585307</v>
      </c>
      <c r="DB352" s="103">
        <v>304262.90000000002</v>
      </c>
      <c r="DC352" s="103">
        <v>138471.20000000001</v>
      </c>
      <c r="DD352" s="104">
        <v>2.1973009550000291</v>
      </c>
      <c r="DE352" s="103">
        <v>0</v>
      </c>
      <c r="DF352" s="103">
        <v>0</v>
      </c>
      <c r="DG352" s="103">
        <v>0</v>
      </c>
      <c r="DH352" s="103">
        <v>0</v>
      </c>
      <c r="DI352" s="103">
        <f t="shared" si="23"/>
        <v>0</v>
      </c>
      <c r="DJ352" s="103">
        <v>147962.70000000001</v>
      </c>
      <c r="DK352" s="103">
        <v>218712.9</v>
      </c>
      <c r="DL352" s="104">
        <v>0.67651565134018166</v>
      </c>
    </row>
    <row r="353" spans="1:116" s="15" customFormat="1" ht="134.44999999999999" customHeight="1" x14ac:dyDescent="0.25">
      <c r="A353" s="100" t="s">
        <v>438</v>
      </c>
      <c r="B353" s="100" t="s">
        <v>2791</v>
      </c>
      <c r="C353" s="100" t="s">
        <v>279</v>
      </c>
      <c r="D353" s="101" t="str">
        <f>"Chemistry 96"</f>
        <v>Chemistry 96</v>
      </c>
      <c r="E353" s="102" t="s">
        <v>2792</v>
      </c>
      <c r="F353" s="100">
        <v>6</v>
      </c>
      <c r="G353" s="100">
        <v>6</v>
      </c>
      <c r="H353" s="100">
        <v>1</v>
      </c>
      <c r="I353" s="100">
        <v>8</v>
      </c>
      <c r="J353" s="100">
        <v>2</v>
      </c>
      <c r="K353" s="100">
        <v>2</v>
      </c>
      <c r="L353" s="100">
        <v>2</v>
      </c>
      <c r="M353" s="100">
        <v>0</v>
      </c>
      <c r="N353" s="100">
        <v>2</v>
      </c>
      <c r="O353" s="100">
        <v>2</v>
      </c>
      <c r="P353" s="100">
        <v>-0.45</v>
      </c>
      <c r="Q353" s="100">
        <v>24.06</v>
      </c>
      <c r="R353" s="100">
        <v>0</v>
      </c>
      <c r="S353" s="100">
        <v>0</v>
      </c>
      <c r="T353" s="100">
        <v>0</v>
      </c>
      <c r="U353" s="100">
        <v>1</v>
      </c>
      <c r="V353" s="100">
        <v>0</v>
      </c>
      <c r="W353" s="100">
        <v>1</v>
      </c>
      <c r="X353" s="100">
        <v>0</v>
      </c>
      <c r="Y353" s="100">
        <v>1</v>
      </c>
      <c r="Z353" s="100">
        <v>0</v>
      </c>
      <c r="AA353" s="100">
        <v>0</v>
      </c>
      <c r="AB353" s="100">
        <v>0</v>
      </c>
      <c r="AC353" s="100">
        <v>1</v>
      </c>
      <c r="AD353" s="100">
        <v>0</v>
      </c>
      <c r="AE353" s="100">
        <v>1</v>
      </c>
      <c r="AF353" s="100">
        <v>0</v>
      </c>
      <c r="AG353" s="100">
        <v>0</v>
      </c>
      <c r="AH353" s="100">
        <v>1</v>
      </c>
      <c r="AI353" s="100">
        <v>0</v>
      </c>
      <c r="AJ353" s="100">
        <v>0</v>
      </c>
      <c r="AK353" s="100">
        <v>0</v>
      </c>
      <c r="AL353" s="100">
        <v>0</v>
      </c>
      <c r="AM353" s="100">
        <v>0</v>
      </c>
      <c r="AN353" s="100">
        <v>0</v>
      </c>
      <c r="AO353" s="100">
        <v>0</v>
      </c>
      <c r="AP353" s="100">
        <v>0</v>
      </c>
      <c r="AQ353" s="100">
        <v>0</v>
      </c>
      <c r="AR353" s="100">
        <v>0</v>
      </c>
      <c r="AS353" s="100">
        <v>0</v>
      </c>
      <c r="AT353" s="100">
        <v>0</v>
      </c>
      <c r="AU353" s="100">
        <v>0</v>
      </c>
      <c r="AV353" s="100">
        <v>0</v>
      </c>
      <c r="AW353" s="100">
        <v>0</v>
      </c>
      <c r="AX353" s="100">
        <v>0</v>
      </c>
      <c r="AY353" s="100">
        <v>0</v>
      </c>
      <c r="AZ353" s="100">
        <v>0</v>
      </c>
      <c r="BA353" s="100">
        <v>0</v>
      </c>
      <c r="BB353" s="100">
        <v>0</v>
      </c>
      <c r="BC353" s="100">
        <v>0</v>
      </c>
      <c r="BD353" s="100">
        <v>0</v>
      </c>
      <c r="BE353" s="100">
        <v>0</v>
      </c>
      <c r="BF353" s="100">
        <v>0</v>
      </c>
      <c r="BG353" s="100">
        <v>0</v>
      </c>
      <c r="BH353" s="100">
        <v>0</v>
      </c>
      <c r="BI353" s="100">
        <v>0</v>
      </c>
      <c r="BJ353" s="100">
        <v>0</v>
      </c>
      <c r="BK353" s="100">
        <v>0</v>
      </c>
      <c r="BL353" s="100">
        <v>0</v>
      </c>
      <c r="BM353" s="100">
        <v>0</v>
      </c>
      <c r="BN353" s="100">
        <v>0</v>
      </c>
      <c r="BO353" s="100">
        <v>0</v>
      </c>
      <c r="BP353" s="100">
        <v>0</v>
      </c>
      <c r="BQ353" s="100">
        <v>0</v>
      </c>
      <c r="BR353" s="100">
        <v>0</v>
      </c>
      <c r="BS353" s="100">
        <v>0</v>
      </c>
      <c r="BT353" s="100">
        <v>0</v>
      </c>
      <c r="BU353" s="100">
        <v>0</v>
      </c>
      <c r="BV353" s="100">
        <v>0</v>
      </c>
      <c r="BW353" s="100">
        <v>0</v>
      </c>
      <c r="BX353" s="100">
        <v>1</v>
      </c>
      <c r="BY353" s="100">
        <v>0</v>
      </c>
      <c r="BZ353" s="100">
        <v>1</v>
      </c>
      <c r="CA353" s="100">
        <v>0</v>
      </c>
      <c r="CB353" s="100" t="s">
        <v>2090</v>
      </c>
      <c r="CC353" s="100">
        <v>0</v>
      </c>
      <c r="CD353" s="100">
        <v>0</v>
      </c>
      <c r="CE353" s="100">
        <v>0</v>
      </c>
      <c r="CF353" s="100">
        <v>0</v>
      </c>
      <c r="CG353" s="103">
        <v>210829.27652000001</v>
      </c>
      <c r="CH353" s="103">
        <v>14.59</v>
      </c>
      <c r="CI353" s="103">
        <v>1753176.0830399999</v>
      </c>
      <c r="CJ353" s="103">
        <v>15.1</v>
      </c>
      <c r="CK353" s="103">
        <f t="shared" si="20"/>
        <v>220.309</v>
      </c>
      <c r="CL353" s="103">
        <v>189499.4</v>
      </c>
      <c r="CM353" s="103">
        <v>577013.4</v>
      </c>
      <c r="CN353" s="104">
        <v>0.32841421013792743</v>
      </c>
      <c r="CO353" s="103">
        <v>29957.940180000001</v>
      </c>
      <c r="CP353" s="103">
        <v>2.02</v>
      </c>
      <c r="CQ353" s="103">
        <v>308984.00946999999</v>
      </c>
      <c r="CR353" s="103">
        <v>6.18</v>
      </c>
      <c r="CS353" s="103">
        <f t="shared" si="21"/>
        <v>12.483599999999999</v>
      </c>
      <c r="CT353" s="103">
        <v>39704.1</v>
      </c>
      <c r="CU353" s="103">
        <v>750801</v>
      </c>
      <c r="CV353" s="104">
        <v>5.2882321680445279E-2</v>
      </c>
      <c r="CW353" s="103">
        <v>32601.294320000001</v>
      </c>
      <c r="CX353" s="103">
        <v>2.44</v>
      </c>
      <c r="CY353" s="103">
        <v>467266.64198000001</v>
      </c>
      <c r="CZ353" s="103">
        <v>13.458734324876058</v>
      </c>
      <c r="DA353" s="103">
        <f t="shared" si="22"/>
        <v>32.839311752697583</v>
      </c>
      <c r="DB353" s="103">
        <v>327485.8</v>
      </c>
      <c r="DC353" s="103">
        <v>527174.30000000005</v>
      </c>
      <c r="DD353" s="104">
        <v>0.62120972133884367</v>
      </c>
      <c r="DE353" s="103">
        <v>93236.042600000001</v>
      </c>
      <c r="DF353" s="103">
        <v>6.13</v>
      </c>
      <c r="DG353" s="103">
        <v>900330.11494999996</v>
      </c>
      <c r="DH353" s="103">
        <v>15.17</v>
      </c>
      <c r="DI353" s="103">
        <f t="shared" si="23"/>
        <v>92.992099999999994</v>
      </c>
      <c r="DJ353" s="103">
        <v>277975.40000000002</v>
      </c>
      <c r="DK353" s="103">
        <v>843460.4</v>
      </c>
      <c r="DL353" s="104">
        <v>0.32956544255071135</v>
      </c>
    </row>
    <row r="354" spans="1:116" s="15" customFormat="1" ht="161.44999999999999" customHeight="1" x14ac:dyDescent="0.25">
      <c r="A354" s="100" t="s">
        <v>439</v>
      </c>
      <c r="B354" s="100" t="s">
        <v>2793</v>
      </c>
      <c r="C354" s="100" t="s">
        <v>279</v>
      </c>
      <c r="D354" s="101" t="str">
        <f>"Chemistry 62"</f>
        <v>Chemistry 62</v>
      </c>
      <c r="E354" s="102" t="s">
        <v>2794</v>
      </c>
      <c r="F354" s="100">
        <v>6</v>
      </c>
      <c r="G354" s="100">
        <v>5</v>
      </c>
      <c r="H354" s="100">
        <v>0.83</v>
      </c>
      <c r="I354" s="100">
        <v>9</v>
      </c>
      <c r="J354" s="100">
        <v>3</v>
      </c>
      <c r="K354" s="100">
        <v>3</v>
      </c>
      <c r="L354" s="100">
        <v>2</v>
      </c>
      <c r="M354" s="100">
        <v>0</v>
      </c>
      <c r="N354" s="100">
        <v>2</v>
      </c>
      <c r="O354" s="100">
        <v>1</v>
      </c>
      <c r="P354" s="100">
        <v>0.45</v>
      </c>
      <c r="Q354" s="100">
        <v>32.340000000000003</v>
      </c>
      <c r="R354" s="100">
        <v>1</v>
      </c>
      <c r="S354" s="100">
        <v>0</v>
      </c>
      <c r="T354" s="100">
        <v>0</v>
      </c>
      <c r="U354" s="100">
        <v>1</v>
      </c>
      <c r="V354" s="100">
        <v>0</v>
      </c>
      <c r="W354" s="100">
        <v>1</v>
      </c>
      <c r="X354" s="100">
        <v>0</v>
      </c>
      <c r="Y354" s="100">
        <v>0</v>
      </c>
      <c r="Z354" s="100">
        <v>1</v>
      </c>
      <c r="AA354" s="100">
        <v>0</v>
      </c>
      <c r="AB354" s="100">
        <v>0</v>
      </c>
      <c r="AC354" s="100">
        <v>1</v>
      </c>
      <c r="AD354" s="100">
        <v>0</v>
      </c>
      <c r="AE354" s="100">
        <v>0</v>
      </c>
      <c r="AF354" s="100">
        <v>1</v>
      </c>
      <c r="AG354" s="100">
        <v>0</v>
      </c>
      <c r="AH354" s="100">
        <v>0</v>
      </c>
      <c r="AI354" s="100">
        <v>1</v>
      </c>
      <c r="AJ354" s="100">
        <v>0</v>
      </c>
      <c r="AK354" s="100">
        <v>0</v>
      </c>
      <c r="AL354" s="100">
        <v>0</v>
      </c>
      <c r="AM354" s="100">
        <v>0</v>
      </c>
      <c r="AN354" s="100">
        <v>0</v>
      </c>
      <c r="AO354" s="100">
        <v>0</v>
      </c>
      <c r="AP354" s="100">
        <v>0</v>
      </c>
      <c r="AQ354" s="100">
        <v>0</v>
      </c>
      <c r="AR354" s="100">
        <v>0</v>
      </c>
      <c r="AS354" s="100">
        <v>0</v>
      </c>
      <c r="AT354" s="100">
        <v>1</v>
      </c>
      <c r="AU354" s="100">
        <v>0</v>
      </c>
      <c r="AV354" s="100">
        <v>0</v>
      </c>
      <c r="AW354" s="100">
        <v>0</v>
      </c>
      <c r="AX354" s="100">
        <v>0</v>
      </c>
      <c r="AY354" s="100">
        <v>0</v>
      </c>
      <c r="AZ354" s="100">
        <v>0</v>
      </c>
      <c r="BA354" s="100">
        <v>0</v>
      </c>
      <c r="BB354" s="100">
        <v>0</v>
      </c>
      <c r="BC354" s="100">
        <v>0</v>
      </c>
      <c r="BD354" s="100">
        <v>0</v>
      </c>
      <c r="BE354" s="100">
        <v>0</v>
      </c>
      <c r="BF354" s="100">
        <v>0</v>
      </c>
      <c r="BG354" s="100">
        <v>0</v>
      </c>
      <c r="BH354" s="100">
        <v>0</v>
      </c>
      <c r="BI354" s="100">
        <v>0</v>
      </c>
      <c r="BJ354" s="100">
        <v>1</v>
      </c>
      <c r="BK354" s="100">
        <v>0</v>
      </c>
      <c r="BL354" s="100">
        <v>0</v>
      </c>
      <c r="BM354" s="100">
        <v>0</v>
      </c>
      <c r="BN354" s="100">
        <v>0</v>
      </c>
      <c r="BO354" s="100">
        <v>0</v>
      </c>
      <c r="BP354" s="100">
        <v>0</v>
      </c>
      <c r="BQ354" s="100">
        <v>0</v>
      </c>
      <c r="BR354" s="100">
        <v>0</v>
      </c>
      <c r="BS354" s="100">
        <v>0</v>
      </c>
      <c r="BT354" s="100">
        <v>0</v>
      </c>
      <c r="BU354" s="100">
        <v>0</v>
      </c>
      <c r="BV354" s="100">
        <v>0</v>
      </c>
      <c r="BW354" s="100">
        <v>0</v>
      </c>
      <c r="BX354" s="100">
        <v>1</v>
      </c>
      <c r="BY354" s="100">
        <v>0</v>
      </c>
      <c r="BZ354" s="100">
        <v>1</v>
      </c>
      <c r="CA354" s="100">
        <v>0</v>
      </c>
      <c r="CB354" s="100" t="s">
        <v>2090</v>
      </c>
      <c r="CC354" s="100">
        <v>1</v>
      </c>
      <c r="CD354" s="100">
        <v>0</v>
      </c>
      <c r="CE354" s="100">
        <v>0</v>
      </c>
      <c r="CF354" s="100">
        <v>0</v>
      </c>
      <c r="CG354" s="103">
        <v>146363.03004000001</v>
      </c>
      <c r="CH354" s="103">
        <v>10.56</v>
      </c>
      <c r="CI354" s="103">
        <v>1642539.2641799999</v>
      </c>
      <c r="CJ354" s="103">
        <v>25.89</v>
      </c>
      <c r="CK354" s="103">
        <f t="shared" si="20"/>
        <v>273.39840000000004</v>
      </c>
      <c r="CL354" s="103">
        <v>176760</v>
      </c>
      <c r="CM354" s="103">
        <v>411554.4</v>
      </c>
      <c r="CN354" s="104">
        <v>0.42949364652643729</v>
      </c>
      <c r="CO354" s="103">
        <v>899615.58940000006</v>
      </c>
      <c r="CP354" s="103">
        <v>47.61</v>
      </c>
      <c r="CQ354" s="103">
        <v>3479365.9479800002</v>
      </c>
      <c r="CR354" s="103">
        <v>51.13</v>
      </c>
      <c r="CS354" s="103">
        <f t="shared" si="21"/>
        <v>2434.2993000000001</v>
      </c>
      <c r="CT354" s="103">
        <v>264134.40000000002</v>
      </c>
      <c r="CU354" s="103">
        <v>234577.8</v>
      </c>
      <c r="CV354" s="104">
        <v>1.1259991354680623</v>
      </c>
      <c r="CW354" s="103">
        <v>1467221.32045</v>
      </c>
      <c r="CX354" s="103">
        <v>71.67</v>
      </c>
      <c r="CY354" s="103">
        <v>4204055.96282</v>
      </c>
      <c r="CZ354" s="103">
        <v>53.364215402431967</v>
      </c>
      <c r="DA354" s="103">
        <f t="shared" si="22"/>
        <v>3824.6133178922992</v>
      </c>
      <c r="DB354" s="103">
        <v>578079</v>
      </c>
      <c r="DC354" s="103">
        <v>323962.5</v>
      </c>
      <c r="DD354" s="104">
        <v>1.7844009723347609</v>
      </c>
      <c r="DE354" s="103">
        <v>1152944.0789300001</v>
      </c>
      <c r="DF354" s="103">
        <v>52.82</v>
      </c>
      <c r="DG354" s="103">
        <v>3633531.7431200002</v>
      </c>
      <c r="DH354" s="103">
        <v>36.54</v>
      </c>
      <c r="DI354" s="103">
        <f t="shared" si="23"/>
        <v>1930.0427999999999</v>
      </c>
      <c r="DJ354" s="103">
        <v>166802.5</v>
      </c>
      <c r="DK354" s="103">
        <v>150843.6</v>
      </c>
      <c r="DL354" s="104">
        <v>1.1057976606233211</v>
      </c>
    </row>
    <row r="355" spans="1:116" s="15" customFormat="1" ht="239.45" customHeight="1" x14ac:dyDescent="0.25">
      <c r="A355" s="100" t="s">
        <v>440</v>
      </c>
      <c r="B355" s="100" t="s">
        <v>2795</v>
      </c>
      <c r="C355" s="100" t="s">
        <v>279</v>
      </c>
      <c r="D355" s="101" t="str">
        <f>"Chemistry 76"</f>
        <v>Chemistry 76</v>
      </c>
      <c r="E355" s="102" t="s">
        <v>2021</v>
      </c>
      <c r="F355" s="100">
        <v>18</v>
      </c>
      <c r="G355" s="100">
        <v>6</v>
      </c>
      <c r="H355" s="100">
        <v>0.33</v>
      </c>
      <c r="I355" s="100">
        <v>20</v>
      </c>
      <c r="J355" s="100">
        <v>2</v>
      </c>
      <c r="K355" s="100">
        <v>2</v>
      </c>
      <c r="L355" s="100">
        <v>2</v>
      </c>
      <c r="M355" s="100">
        <v>2</v>
      </c>
      <c r="N355" s="100">
        <v>2</v>
      </c>
      <c r="O355" s="100">
        <v>1</v>
      </c>
      <c r="P355" s="100">
        <v>3.96</v>
      </c>
      <c r="Q355" s="100">
        <v>15.27</v>
      </c>
      <c r="R355" s="100">
        <v>4</v>
      </c>
      <c r="S355" s="100">
        <v>1</v>
      </c>
      <c r="T355" s="100">
        <v>0</v>
      </c>
      <c r="U355" s="100">
        <v>0</v>
      </c>
      <c r="V355" s="100">
        <v>0</v>
      </c>
      <c r="W355" s="100">
        <v>1</v>
      </c>
      <c r="X355" s="100">
        <v>0</v>
      </c>
      <c r="Y355" s="100">
        <v>0</v>
      </c>
      <c r="Z355" s="100">
        <v>1</v>
      </c>
      <c r="AA355" s="100">
        <v>0</v>
      </c>
      <c r="AB355" s="100">
        <v>0</v>
      </c>
      <c r="AC355" s="100">
        <v>1</v>
      </c>
      <c r="AD355" s="100">
        <v>0</v>
      </c>
      <c r="AE355" s="100">
        <v>0</v>
      </c>
      <c r="AF355" s="100">
        <v>0</v>
      </c>
      <c r="AG355" s="100">
        <v>1</v>
      </c>
      <c r="AH355" s="100">
        <v>1</v>
      </c>
      <c r="AI355" s="100">
        <v>0</v>
      </c>
      <c r="AJ355" s="100">
        <v>0</v>
      </c>
      <c r="AK355" s="100">
        <v>1</v>
      </c>
      <c r="AL355" s="100">
        <v>0</v>
      </c>
      <c r="AM355" s="100">
        <v>1</v>
      </c>
      <c r="AN355" s="100">
        <v>0</v>
      </c>
      <c r="AO355" s="100">
        <v>0</v>
      </c>
      <c r="AP355" s="100">
        <v>0</v>
      </c>
      <c r="AQ355" s="100">
        <v>0</v>
      </c>
      <c r="AR355" s="100">
        <v>0</v>
      </c>
      <c r="AS355" s="100">
        <v>0</v>
      </c>
      <c r="AT355" s="100">
        <v>0</v>
      </c>
      <c r="AU355" s="100">
        <v>0</v>
      </c>
      <c r="AV355" s="100">
        <v>0</v>
      </c>
      <c r="AW355" s="100">
        <v>0</v>
      </c>
      <c r="AX355" s="100">
        <v>0</v>
      </c>
      <c r="AY355" s="100">
        <v>0</v>
      </c>
      <c r="AZ355" s="100">
        <v>0</v>
      </c>
      <c r="BA355" s="100">
        <v>0</v>
      </c>
      <c r="BB355" s="100">
        <v>0</v>
      </c>
      <c r="BC355" s="100">
        <v>0</v>
      </c>
      <c r="BD355" s="100">
        <v>0</v>
      </c>
      <c r="BE355" s="100">
        <v>0</v>
      </c>
      <c r="BF355" s="100">
        <v>0</v>
      </c>
      <c r="BG355" s="100">
        <v>0</v>
      </c>
      <c r="BH355" s="100">
        <v>1</v>
      </c>
      <c r="BI355" s="100">
        <v>0</v>
      </c>
      <c r="BJ355" s="100">
        <v>1</v>
      </c>
      <c r="BK355" s="100">
        <v>0</v>
      </c>
      <c r="BL355" s="100">
        <v>0</v>
      </c>
      <c r="BM355" s="100">
        <v>0</v>
      </c>
      <c r="BN355" s="100">
        <v>0</v>
      </c>
      <c r="BO355" s="100">
        <v>0</v>
      </c>
      <c r="BP355" s="100">
        <v>0</v>
      </c>
      <c r="BQ355" s="100">
        <v>0</v>
      </c>
      <c r="BR355" s="100">
        <v>0</v>
      </c>
      <c r="BS355" s="100">
        <v>0</v>
      </c>
      <c r="BT355" s="100">
        <v>0</v>
      </c>
      <c r="BU355" s="100">
        <v>0</v>
      </c>
      <c r="BV355" s="100">
        <v>0</v>
      </c>
      <c r="BW355" s="100">
        <v>0</v>
      </c>
      <c r="BX355" s="100">
        <v>1</v>
      </c>
      <c r="BY355" s="100">
        <v>0</v>
      </c>
      <c r="BZ355" s="100">
        <v>0</v>
      </c>
      <c r="CA355" s="100">
        <v>0</v>
      </c>
      <c r="CB355" s="100" t="s">
        <v>2090</v>
      </c>
      <c r="CC355" s="100">
        <v>1</v>
      </c>
      <c r="CD355" s="100">
        <v>0</v>
      </c>
      <c r="CE355" s="100">
        <v>0</v>
      </c>
      <c r="CF355" s="100">
        <v>0</v>
      </c>
      <c r="CG355" s="103">
        <v>25333.33772</v>
      </c>
      <c r="CH355" s="103">
        <v>1.58</v>
      </c>
      <c r="CI355" s="103">
        <v>1470066.03902</v>
      </c>
      <c r="CJ355" s="103">
        <v>8.9600000000000009</v>
      </c>
      <c r="CK355" s="103">
        <f t="shared" si="20"/>
        <v>14.156800000000002</v>
      </c>
      <c r="CL355" s="103">
        <v>25642.9</v>
      </c>
      <c r="CM355" s="103">
        <v>219650.8</v>
      </c>
      <c r="CN355" s="104">
        <v>0.11674394083700129</v>
      </c>
      <c r="CO355" s="103">
        <v>0</v>
      </c>
      <c r="CP355" s="103">
        <v>0</v>
      </c>
      <c r="CQ355" s="103">
        <v>100407.57156</v>
      </c>
      <c r="CR355" s="103">
        <v>0.95</v>
      </c>
      <c r="CS355" s="103">
        <f t="shared" si="21"/>
        <v>0</v>
      </c>
      <c r="CT355" s="103">
        <v>1080.5999999999999</v>
      </c>
      <c r="CU355" s="103">
        <v>83157.100000000006</v>
      </c>
      <c r="CV355" s="104">
        <v>1.2994681151699612E-2</v>
      </c>
      <c r="CW355" s="103">
        <v>58960.583259999999</v>
      </c>
      <c r="CX355" s="103">
        <v>4.1500000000000004</v>
      </c>
      <c r="CY355" s="103">
        <v>2270074.5531899999</v>
      </c>
      <c r="CZ355" s="103">
        <v>17.58804928579217</v>
      </c>
      <c r="DA355" s="103">
        <f t="shared" si="22"/>
        <v>72.990404536037516</v>
      </c>
      <c r="DB355" s="103">
        <v>269592</v>
      </c>
      <c r="DC355" s="103">
        <v>476856.5</v>
      </c>
      <c r="DD355" s="104">
        <v>0.56535246976815878</v>
      </c>
      <c r="DE355" s="103">
        <v>9981.2458800000004</v>
      </c>
      <c r="DF355" s="103">
        <v>0.62</v>
      </c>
      <c r="DG355" s="103">
        <v>161606.93685999999</v>
      </c>
      <c r="DH355" s="103">
        <v>2.85</v>
      </c>
      <c r="DI355" s="103">
        <f t="shared" si="23"/>
        <v>1.7670000000000001</v>
      </c>
      <c r="DJ355" s="103">
        <v>9422.1</v>
      </c>
      <c r="DK355" s="103">
        <v>160898.9</v>
      </c>
      <c r="DL355" s="104">
        <v>5.8559132473870242E-2</v>
      </c>
    </row>
    <row r="356" spans="1:116" s="15" customFormat="1" ht="238.7" customHeight="1" x14ac:dyDescent="0.25">
      <c r="A356" s="100" t="s">
        <v>441</v>
      </c>
      <c r="B356" s="100" t="s">
        <v>2796</v>
      </c>
      <c r="C356" s="100" t="s">
        <v>279</v>
      </c>
      <c r="D356" s="101" t="str">
        <f>"Chemistry 88"</f>
        <v>Chemistry 88</v>
      </c>
      <c r="E356" s="102" t="s">
        <v>2797</v>
      </c>
      <c r="F356" s="100">
        <v>11</v>
      </c>
      <c r="G356" s="100">
        <v>5</v>
      </c>
      <c r="H356" s="100">
        <v>0.45</v>
      </c>
      <c r="I356" s="100">
        <v>13</v>
      </c>
      <c r="J356" s="100">
        <v>2</v>
      </c>
      <c r="K356" s="100">
        <v>2</v>
      </c>
      <c r="L356" s="100">
        <v>2</v>
      </c>
      <c r="M356" s="100">
        <v>1</v>
      </c>
      <c r="N356" s="100">
        <v>2</v>
      </c>
      <c r="O356" s="100">
        <v>2</v>
      </c>
      <c r="P356" s="100">
        <v>0.6</v>
      </c>
      <c r="Q356" s="100">
        <v>24.06</v>
      </c>
      <c r="R356" s="100">
        <v>2</v>
      </c>
      <c r="S356" s="100">
        <v>0</v>
      </c>
      <c r="T356" s="100">
        <v>0</v>
      </c>
      <c r="U356" s="100">
        <v>1</v>
      </c>
      <c r="V356" s="100">
        <v>0</v>
      </c>
      <c r="W356" s="100">
        <v>1</v>
      </c>
      <c r="X356" s="100">
        <v>0</v>
      </c>
      <c r="Y356" s="100">
        <v>1</v>
      </c>
      <c r="Z356" s="100">
        <v>0</v>
      </c>
      <c r="AA356" s="100">
        <v>0</v>
      </c>
      <c r="AB356" s="100">
        <v>0</v>
      </c>
      <c r="AC356" s="100">
        <v>1</v>
      </c>
      <c r="AD356" s="100">
        <v>0</v>
      </c>
      <c r="AE356" s="100">
        <v>0</v>
      </c>
      <c r="AF356" s="100">
        <v>1</v>
      </c>
      <c r="AG356" s="100">
        <v>0</v>
      </c>
      <c r="AH356" s="100">
        <v>1</v>
      </c>
      <c r="AI356" s="100">
        <v>0</v>
      </c>
      <c r="AJ356" s="100">
        <v>0</v>
      </c>
      <c r="AK356" s="100">
        <v>0</v>
      </c>
      <c r="AL356" s="100">
        <v>0</v>
      </c>
      <c r="AM356" s="100">
        <v>0</v>
      </c>
      <c r="AN356" s="100">
        <v>0</v>
      </c>
      <c r="AO356" s="100">
        <v>0</v>
      </c>
      <c r="AP356" s="100">
        <v>0</v>
      </c>
      <c r="AQ356" s="100">
        <v>0</v>
      </c>
      <c r="AR356" s="100">
        <v>0</v>
      </c>
      <c r="AS356" s="100">
        <v>0</v>
      </c>
      <c r="AT356" s="100">
        <v>0</v>
      </c>
      <c r="AU356" s="100">
        <v>0</v>
      </c>
      <c r="AV356" s="100">
        <v>0</v>
      </c>
      <c r="AW356" s="100">
        <v>0</v>
      </c>
      <c r="AX356" s="100">
        <v>0</v>
      </c>
      <c r="AY356" s="100">
        <v>0</v>
      </c>
      <c r="AZ356" s="100">
        <v>0</v>
      </c>
      <c r="BA356" s="100">
        <v>0</v>
      </c>
      <c r="BB356" s="100">
        <v>0</v>
      </c>
      <c r="BC356" s="100">
        <v>0</v>
      </c>
      <c r="BD356" s="100">
        <v>0</v>
      </c>
      <c r="BE356" s="100">
        <v>0</v>
      </c>
      <c r="BF356" s="100">
        <v>0</v>
      </c>
      <c r="BG356" s="100">
        <v>0</v>
      </c>
      <c r="BH356" s="100">
        <v>0</v>
      </c>
      <c r="BI356" s="100">
        <v>0</v>
      </c>
      <c r="BJ356" s="100">
        <v>0</v>
      </c>
      <c r="BK356" s="100">
        <v>0</v>
      </c>
      <c r="BL356" s="100">
        <v>0</v>
      </c>
      <c r="BM356" s="100">
        <v>0</v>
      </c>
      <c r="BN356" s="100">
        <v>0</v>
      </c>
      <c r="BO356" s="100">
        <v>0</v>
      </c>
      <c r="BP356" s="100">
        <v>0</v>
      </c>
      <c r="BQ356" s="100">
        <v>0</v>
      </c>
      <c r="BR356" s="100">
        <v>0</v>
      </c>
      <c r="BS356" s="100">
        <v>0</v>
      </c>
      <c r="BT356" s="100">
        <v>0</v>
      </c>
      <c r="BU356" s="100">
        <v>0</v>
      </c>
      <c r="BV356" s="100">
        <v>0</v>
      </c>
      <c r="BW356" s="100">
        <v>0</v>
      </c>
      <c r="BX356" s="100">
        <v>1</v>
      </c>
      <c r="BY356" s="100">
        <v>0</v>
      </c>
      <c r="BZ356" s="100">
        <v>1</v>
      </c>
      <c r="CA356" s="100">
        <v>0</v>
      </c>
      <c r="CB356" s="100" t="s">
        <v>2090</v>
      </c>
      <c r="CC356" s="100">
        <v>0</v>
      </c>
      <c r="CD356" s="100">
        <v>0</v>
      </c>
      <c r="CE356" s="100">
        <v>0</v>
      </c>
      <c r="CF356" s="100">
        <v>0</v>
      </c>
      <c r="CG356" s="103">
        <v>607012.09152000002</v>
      </c>
      <c r="CH356" s="103">
        <v>39.79</v>
      </c>
      <c r="CI356" s="103">
        <v>3732262.5525600002</v>
      </c>
      <c r="CJ356" s="103">
        <v>52.73</v>
      </c>
      <c r="CK356" s="103">
        <f t="shared" si="20"/>
        <v>2098.1266999999998</v>
      </c>
      <c r="CL356" s="103">
        <v>427148.79999999999</v>
      </c>
      <c r="CM356" s="103">
        <v>428592.1</v>
      </c>
      <c r="CN356" s="104">
        <v>0.99663246242756232</v>
      </c>
      <c r="CO356" s="103">
        <v>190141.93145999999</v>
      </c>
      <c r="CP356" s="103">
        <v>11.85</v>
      </c>
      <c r="CQ356" s="103">
        <v>2002132.0059100001</v>
      </c>
      <c r="CR356" s="103">
        <v>25.66</v>
      </c>
      <c r="CS356" s="103">
        <f t="shared" si="21"/>
        <v>304.07099999999997</v>
      </c>
      <c r="CT356" s="103">
        <v>312210.09999999998</v>
      </c>
      <c r="CU356" s="103">
        <v>472377.7</v>
      </c>
      <c r="CV356" s="104">
        <v>0.66093318969121528</v>
      </c>
      <c r="CW356" s="103">
        <v>971148.00321</v>
      </c>
      <c r="CX356" s="103">
        <v>57.63</v>
      </c>
      <c r="CY356" s="103">
        <v>4433381.1891299998</v>
      </c>
      <c r="CZ356" s="103">
        <v>62.308696167991471</v>
      </c>
      <c r="DA356" s="103">
        <f t="shared" si="22"/>
        <v>3590.8501601613484</v>
      </c>
      <c r="DB356" s="103">
        <v>691736.7</v>
      </c>
      <c r="DC356" s="103">
        <v>337380.4</v>
      </c>
      <c r="DD356" s="104">
        <v>2.0503167937437974</v>
      </c>
      <c r="DE356" s="103">
        <v>104792.65465</v>
      </c>
      <c r="DF356" s="103">
        <v>7.27</v>
      </c>
      <c r="DG356" s="103">
        <v>1286594.7714</v>
      </c>
      <c r="DH356" s="103">
        <v>19.41</v>
      </c>
      <c r="DI356" s="103">
        <f t="shared" si="23"/>
        <v>141.11069999999998</v>
      </c>
      <c r="DJ356" s="103">
        <v>9809.2999999999993</v>
      </c>
      <c r="DK356" s="103">
        <v>33577.9</v>
      </c>
      <c r="DL356" s="104">
        <v>0.29213560109476766</v>
      </c>
    </row>
    <row r="357" spans="1:116" s="15" customFormat="1" ht="193.7" customHeight="1" x14ac:dyDescent="0.25">
      <c r="A357" s="100" t="s">
        <v>442</v>
      </c>
      <c r="B357" s="100" t="s">
        <v>2798</v>
      </c>
      <c r="C357" s="100" t="s">
        <v>279</v>
      </c>
      <c r="D357" s="101" t="str">
        <f>"Chemistry 146"</f>
        <v>Chemistry 146</v>
      </c>
      <c r="E357" s="102" t="s">
        <v>2799</v>
      </c>
      <c r="F357" s="100">
        <v>6</v>
      </c>
      <c r="G357" s="100">
        <v>4</v>
      </c>
      <c r="H357" s="100">
        <v>0.67</v>
      </c>
      <c r="I357" s="100">
        <v>13</v>
      </c>
      <c r="J357" s="100">
        <v>7</v>
      </c>
      <c r="K357" s="100">
        <v>4</v>
      </c>
      <c r="L357" s="100">
        <v>4</v>
      </c>
      <c r="M357" s="100">
        <v>1</v>
      </c>
      <c r="N357" s="100">
        <v>3</v>
      </c>
      <c r="O357" s="100">
        <v>1</v>
      </c>
      <c r="P357" s="100">
        <v>-0.84</v>
      </c>
      <c r="Q357" s="100">
        <v>42.74</v>
      </c>
      <c r="R357" s="100">
        <v>1</v>
      </c>
      <c r="S357" s="100">
        <v>0</v>
      </c>
      <c r="T357" s="100">
        <v>0</v>
      </c>
      <c r="U357" s="100">
        <v>1</v>
      </c>
      <c r="V357" s="100">
        <v>1</v>
      </c>
      <c r="W357" s="100">
        <v>1</v>
      </c>
      <c r="X357" s="100">
        <v>0</v>
      </c>
      <c r="Y357" s="100">
        <v>0</v>
      </c>
      <c r="Z357" s="100">
        <v>1</v>
      </c>
      <c r="AA357" s="100">
        <v>0</v>
      </c>
      <c r="AB357" s="100">
        <v>0</v>
      </c>
      <c r="AC357" s="100">
        <v>1</v>
      </c>
      <c r="AD357" s="100">
        <v>0</v>
      </c>
      <c r="AE357" s="100">
        <v>1</v>
      </c>
      <c r="AF357" s="100">
        <v>0</v>
      </c>
      <c r="AG357" s="100">
        <v>0</v>
      </c>
      <c r="AH357" s="100">
        <v>0</v>
      </c>
      <c r="AI357" s="100">
        <v>1</v>
      </c>
      <c r="AJ357" s="100">
        <v>0</v>
      </c>
      <c r="AK357" s="100">
        <v>0</v>
      </c>
      <c r="AL357" s="100">
        <v>0</v>
      </c>
      <c r="AM357" s="100">
        <v>0</v>
      </c>
      <c r="AN357" s="100">
        <v>1</v>
      </c>
      <c r="AO357" s="100">
        <v>0</v>
      </c>
      <c r="AP357" s="100">
        <v>0</v>
      </c>
      <c r="AQ357" s="100">
        <v>0</v>
      </c>
      <c r="AR357" s="100">
        <v>0</v>
      </c>
      <c r="AS357" s="100">
        <v>0</v>
      </c>
      <c r="AT357" s="100">
        <v>0</v>
      </c>
      <c r="AU357" s="100">
        <v>0</v>
      </c>
      <c r="AV357" s="100">
        <v>0</v>
      </c>
      <c r="AW357" s="100">
        <v>0</v>
      </c>
      <c r="AX357" s="100">
        <v>0</v>
      </c>
      <c r="AY357" s="100">
        <v>0</v>
      </c>
      <c r="AZ357" s="100">
        <v>0</v>
      </c>
      <c r="BA357" s="100">
        <v>0</v>
      </c>
      <c r="BB357" s="100">
        <v>0</v>
      </c>
      <c r="BC357" s="100">
        <v>0</v>
      </c>
      <c r="BD357" s="100">
        <v>0</v>
      </c>
      <c r="BE357" s="100">
        <v>0</v>
      </c>
      <c r="BF357" s="100">
        <v>0</v>
      </c>
      <c r="BG357" s="100">
        <v>0</v>
      </c>
      <c r="BH357" s="100">
        <v>0</v>
      </c>
      <c r="BI357" s="100">
        <v>0</v>
      </c>
      <c r="BJ357" s="100">
        <v>0</v>
      </c>
      <c r="BK357" s="100">
        <v>0</v>
      </c>
      <c r="BL357" s="100">
        <v>0</v>
      </c>
      <c r="BM357" s="100">
        <v>0</v>
      </c>
      <c r="BN357" s="100">
        <v>0</v>
      </c>
      <c r="BO357" s="100">
        <v>0</v>
      </c>
      <c r="BP357" s="100">
        <v>0</v>
      </c>
      <c r="BQ357" s="100">
        <v>0</v>
      </c>
      <c r="BR357" s="100">
        <v>0</v>
      </c>
      <c r="BS357" s="100">
        <v>0</v>
      </c>
      <c r="BT357" s="100">
        <v>0</v>
      </c>
      <c r="BU357" s="100">
        <v>0</v>
      </c>
      <c r="BV357" s="100">
        <v>1</v>
      </c>
      <c r="BW357" s="100">
        <v>0</v>
      </c>
      <c r="BX357" s="100">
        <v>1</v>
      </c>
      <c r="BY357" s="100">
        <v>0</v>
      </c>
      <c r="BZ357" s="100">
        <v>1</v>
      </c>
      <c r="CA357" s="100">
        <v>0</v>
      </c>
      <c r="CB357" s="100" t="s">
        <v>2090</v>
      </c>
      <c r="CC357" s="100">
        <v>0</v>
      </c>
      <c r="CD357" s="100">
        <v>0</v>
      </c>
      <c r="CE357" s="100">
        <v>1</v>
      </c>
      <c r="CF357" s="100">
        <v>0</v>
      </c>
      <c r="CG357" s="103">
        <v>50516.983740000003</v>
      </c>
      <c r="CH357" s="103">
        <v>3.61</v>
      </c>
      <c r="CI357" s="103">
        <v>381040.81391999999</v>
      </c>
      <c r="CJ357" s="103">
        <v>14.84</v>
      </c>
      <c r="CK357" s="103">
        <f t="shared" si="20"/>
        <v>53.572399999999995</v>
      </c>
      <c r="CL357" s="103">
        <v>2002.5</v>
      </c>
      <c r="CM357" s="103">
        <v>51069.4</v>
      </c>
      <c r="CN357" s="104">
        <v>3.9211347695488882E-2</v>
      </c>
      <c r="CO357" s="103">
        <v>331187.09522000002</v>
      </c>
      <c r="CP357" s="103">
        <v>19.059999999999999</v>
      </c>
      <c r="CQ357" s="103">
        <v>2323797.9953299998</v>
      </c>
      <c r="CR357" s="103">
        <v>34.57</v>
      </c>
      <c r="CS357" s="103">
        <f t="shared" si="21"/>
        <v>658.90419999999995</v>
      </c>
      <c r="CT357" s="103">
        <v>16659</v>
      </c>
      <c r="CU357" s="103">
        <v>119832.6</v>
      </c>
      <c r="CV357" s="104">
        <v>0.13901893140931598</v>
      </c>
      <c r="CW357" s="103">
        <v>1315430.04694</v>
      </c>
      <c r="CX357" s="103">
        <v>73.44</v>
      </c>
      <c r="CY357" s="103">
        <v>3698107.2999399998</v>
      </c>
      <c r="CZ357" s="103">
        <v>63.877018043684721</v>
      </c>
      <c r="DA357" s="103">
        <f t="shared" si="22"/>
        <v>4691.128205128206</v>
      </c>
      <c r="DB357" s="103">
        <v>140987.79999999999</v>
      </c>
      <c r="DC357" s="103">
        <v>149975.5</v>
      </c>
      <c r="DD357" s="104">
        <v>0.94007221179459299</v>
      </c>
      <c r="DE357" s="103">
        <v>669221.59034999995</v>
      </c>
      <c r="DF357" s="103">
        <v>36.74</v>
      </c>
      <c r="DG357" s="103">
        <v>2768819.7359199999</v>
      </c>
      <c r="DH357" s="103">
        <v>44.26</v>
      </c>
      <c r="DI357" s="103">
        <f t="shared" si="23"/>
        <v>1626.1124</v>
      </c>
      <c r="DJ357" s="103">
        <v>204917.7</v>
      </c>
      <c r="DK357" s="103">
        <v>624986.69999999995</v>
      </c>
      <c r="DL357" s="104">
        <v>0.32787529718632419</v>
      </c>
    </row>
    <row r="358" spans="1:116" s="15" customFormat="1" ht="265.7" customHeight="1" x14ac:dyDescent="0.25">
      <c r="A358" s="100" t="s">
        <v>443</v>
      </c>
      <c r="B358" s="100" t="s">
        <v>2800</v>
      </c>
      <c r="C358" s="100" t="s">
        <v>279</v>
      </c>
      <c r="D358" s="101" t="str">
        <f>"Chemistry 47"</f>
        <v>Chemistry 47</v>
      </c>
      <c r="E358" s="102" t="s">
        <v>2017</v>
      </c>
      <c r="F358" s="100">
        <v>19</v>
      </c>
      <c r="G358" s="100">
        <v>7</v>
      </c>
      <c r="H358" s="100">
        <v>0.37</v>
      </c>
      <c r="I358" s="100">
        <v>22</v>
      </c>
      <c r="J358" s="100">
        <v>3</v>
      </c>
      <c r="K358" s="100">
        <v>3</v>
      </c>
      <c r="L358" s="100">
        <v>2</v>
      </c>
      <c r="M358" s="100">
        <v>2</v>
      </c>
      <c r="N358" s="100">
        <v>3</v>
      </c>
      <c r="O358" s="100">
        <v>1</v>
      </c>
      <c r="P358" s="100">
        <v>3.7</v>
      </c>
      <c r="Q358" s="100">
        <v>24.5</v>
      </c>
      <c r="R358" s="100">
        <v>6</v>
      </c>
      <c r="S358" s="100">
        <v>1</v>
      </c>
      <c r="T358" s="100">
        <v>0</v>
      </c>
      <c r="U358" s="100">
        <v>0</v>
      </c>
      <c r="V358" s="100">
        <v>0</v>
      </c>
      <c r="W358" s="100">
        <v>1</v>
      </c>
      <c r="X358" s="100">
        <v>0</v>
      </c>
      <c r="Y358" s="100">
        <v>0</v>
      </c>
      <c r="Z358" s="100">
        <v>1</v>
      </c>
      <c r="AA358" s="100">
        <v>0</v>
      </c>
      <c r="AB358" s="100">
        <v>0</v>
      </c>
      <c r="AC358" s="100">
        <v>1</v>
      </c>
      <c r="AD358" s="100">
        <v>0</v>
      </c>
      <c r="AE358" s="100">
        <v>0</v>
      </c>
      <c r="AF358" s="100">
        <v>0</v>
      </c>
      <c r="AG358" s="100">
        <v>1</v>
      </c>
      <c r="AH358" s="100">
        <v>1</v>
      </c>
      <c r="AI358" s="100">
        <v>0</v>
      </c>
      <c r="AJ358" s="100">
        <v>0</v>
      </c>
      <c r="AK358" s="100">
        <v>1</v>
      </c>
      <c r="AL358" s="100">
        <v>1</v>
      </c>
      <c r="AM358" s="100">
        <v>0</v>
      </c>
      <c r="AN358" s="100">
        <v>0</v>
      </c>
      <c r="AO358" s="100">
        <v>0</v>
      </c>
      <c r="AP358" s="100">
        <v>0</v>
      </c>
      <c r="AQ358" s="100">
        <v>0</v>
      </c>
      <c r="AR358" s="100">
        <v>0</v>
      </c>
      <c r="AS358" s="100">
        <v>0</v>
      </c>
      <c r="AT358" s="100">
        <v>0</v>
      </c>
      <c r="AU358" s="100">
        <v>0</v>
      </c>
      <c r="AV358" s="100">
        <v>0</v>
      </c>
      <c r="AW358" s="100">
        <v>0</v>
      </c>
      <c r="AX358" s="100">
        <v>0</v>
      </c>
      <c r="AY358" s="100">
        <v>0</v>
      </c>
      <c r="AZ358" s="100">
        <v>0</v>
      </c>
      <c r="BA358" s="100">
        <v>0</v>
      </c>
      <c r="BB358" s="100">
        <v>0</v>
      </c>
      <c r="BC358" s="100">
        <v>0</v>
      </c>
      <c r="BD358" s="100">
        <v>0</v>
      </c>
      <c r="BE358" s="100">
        <v>0</v>
      </c>
      <c r="BF358" s="100">
        <v>0</v>
      </c>
      <c r="BG358" s="100">
        <v>0</v>
      </c>
      <c r="BH358" s="100">
        <v>1</v>
      </c>
      <c r="BI358" s="100">
        <v>0</v>
      </c>
      <c r="BJ358" s="100">
        <v>1</v>
      </c>
      <c r="BK358" s="100">
        <v>0</v>
      </c>
      <c r="BL358" s="100">
        <v>0</v>
      </c>
      <c r="BM358" s="100">
        <v>0</v>
      </c>
      <c r="BN358" s="100">
        <v>0</v>
      </c>
      <c r="BO358" s="100">
        <v>0</v>
      </c>
      <c r="BP358" s="100">
        <v>0</v>
      </c>
      <c r="BQ358" s="100">
        <v>0</v>
      </c>
      <c r="BR358" s="100">
        <v>0</v>
      </c>
      <c r="BS358" s="100">
        <v>0</v>
      </c>
      <c r="BT358" s="100">
        <v>0</v>
      </c>
      <c r="BU358" s="100">
        <v>0</v>
      </c>
      <c r="BV358" s="100">
        <v>0</v>
      </c>
      <c r="BW358" s="100">
        <v>0</v>
      </c>
      <c r="BX358" s="100">
        <v>1</v>
      </c>
      <c r="BY358" s="100">
        <v>0</v>
      </c>
      <c r="BZ358" s="100">
        <v>0</v>
      </c>
      <c r="CA358" s="100">
        <v>0</v>
      </c>
      <c r="CB358" s="100" t="s">
        <v>2090</v>
      </c>
      <c r="CC358" s="100">
        <v>1</v>
      </c>
      <c r="CD358" s="100">
        <v>0</v>
      </c>
      <c r="CE358" s="100">
        <v>0</v>
      </c>
      <c r="CF358" s="100">
        <v>0</v>
      </c>
      <c r="CG358" s="103">
        <v>0</v>
      </c>
      <c r="CH358" s="103">
        <v>0</v>
      </c>
      <c r="CI358" s="103">
        <v>3905.7233000000001</v>
      </c>
      <c r="CJ358" s="103">
        <v>0</v>
      </c>
      <c r="CK358" s="103">
        <f t="shared" si="20"/>
        <v>0</v>
      </c>
      <c r="CL358" s="103">
        <v>0</v>
      </c>
      <c r="CM358" s="103">
        <v>360278.6</v>
      </c>
      <c r="CN358" s="104">
        <v>0</v>
      </c>
      <c r="CO358" s="103">
        <v>45222.310850000002</v>
      </c>
      <c r="CP358" s="103">
        <v>2.4900000000000002</v>
      </c>
      <c r="CQ358" s="103">
        <v>3584.6402400000002</v>
      </c>
      <c r="CR358" s="103">
        <v>0</v>
      </c>
      <c r="CS358" s="103">
        <f t="shared" si="21"/>
        <v>0</v>
      </c>
      <c r="CT358" s="103">
        <v>2485</v>
      </c>
      <c r="CU358" s="103">
        <v>635352.1</v>
      </c>
      <c r="CV358" s="104">
        <v>3.9112171030834713E-3</v>
      </c>
      <c r="CW358" s="103">
        <v>206246.37669999999</v>
      </c>
      <c r="CX358" s="103">
        <v>13.7</v>
      </c>
      <c r="CY358" s="103">
        <v>4007643.99168</v>
      </c>
      <c r="CZ358" s="103">
        <v>29.299923068469067</v>
      </c>
      <c r="DA358" s="103">
        <f t="shared" si="22"/>
        <v>401.40894603802622</v>
      </c>
      <c r="DB358" s="103">
        <v>271951.8</v>
      </c>
      <c r="DC358" s="103">
        <v>257193.8</v>
      </c>
      <c r="DD358" s="104">
        <v>1.057380854437393</v>
      </c>
      <c r="DE358" s="103">
        <v>0</v>
      </c>
      <c r="DF358" s="103">
        <v>0</v>
      </c>
      <c r="DG358" s="103">
        <v>12531.33655</v>
      </c>
      <c r="DH358" s="103">
        <v>0</v>
      </c>
      <c r="DI358" s="103">
        <f t="shared" si="23"/>
        <v>0</v>
      </c>
      <c r="DJ358" s="103">
        <v>1656.4</v>
      </c>
      <c r="DK358" s="103">
        <v>219270.1</v>
      </c>
      <c r="DL358" s="104">
        <v>7.554153530280691E-3</v>
      </c>
    </row>
    <row r="359" spans="1:116" s="15" customFormat="1" ht="265.7" customHeight="1" x14ac:dyDescent="0.25">
      <c r="A359" s="100" t="s">
        <v>444</v>
      </c>
      <c r="B359" s="100" t="s">
        <v>2801</v>
      </c>
      <c r="C359" s="100" t="s">
        <v>279</v>
      </c>
      <c r="D359" s="101" t="str">
        <f>"Chemistry 179"</f>
        <v>Chemistry 179</v>
      </c>
      <c r="E359" s="102" t="s">
        <v>2802</v>
      </c>
      <c r="F359" s="100">
        <v>20</v>
      </c>
      <c r="G359" s="100">
        <v>6</v>
      </c>
      <c r="H359" s="100">
        <v>0.3</v>
      </c>
      <c r="I359" s="100">
        <v>27</v>
      </c>
      <c r="J359" s="100">
        <v>7</v>
      </c>
      <c r="K359" s="100">
        <v>7</v>
      </c>
      <c r="L359" s="100">
        <v>6</v>
      </c>
      <c r="M359" s="100">
        <v>3</v>
      </c>
      <c r="N359" s="100">
        <v>5</v>
      </c>
      <c r="O359" s="100">
        <v>2</v>
      </c>
      <c r="P359" s="100">
        <v>0.73</v>
      </c>
      <c r="Q359" s="100">
        <v>84.73</v>
      </c>
      <c r="R359" s="100">
        <v>5</v>
      </c>
      <c r="S359" s="100">
        <v>1</v>
      </c>
      <c r="T359" s="100">
        <v>0</v>
      </c>
      <c r="U359" s="100">
        <v>0</v>
      </c>
      <c r="V359" s="100">
        <v>1</v>
      </c>
      <c r="W359" s="100">
        <v>0</v>
      </c>
      <c r="X359" s="100">
        <v>0</v>
      </c>
      <c r="Y359" s="100">
        <v>1</v>
      </c>
      <c r="Z359" s="100">
        <v>0</v>
      </c>
      <c r="AA359" s="100">
        <v>0</v>
      </c>
      <c r="AB359" s="100">
        <v>1</v>
      </c>
      <c r="AC359" s="100">
        <v>0</v>
      </c>
      <c r="AD359" s="100">
        <v>0</v>
      </c>
      <c r="AE359" s="100">
        <v>0</v>
      </c>
      <c r="AF359" s="100">
        <v>1</v>
      </c>
      <c r="AG359" s="100">
        <v>0</v>
      </c>
      <c r="AH359" s="100">
        <v>0</v>
      </c>
      <c r="AI359" s="100">
        <v>0</v>
      </c>
      <c r="AJ359" s="100">
        <v>1</v>
      </c>
      <c r="AK359" s="100">
        <v>0</v>
      </c>
      <c r="AL359" s="100">
        <v>0</v>
      </c>
      <c r="AM359" s="100">
        <v>0</v>
      </c>
      <c r="AN359" s="100">
        <v>1</v>
      </c>
      <c r="AO359" s="100">
        <v>1</v>
      </c>
      <c r="AP359" s="100">
        <v>0</v>
      </c>
      <c r="AQ359" s="100">
        <v>0</v>
      </c>
      <c r="AR359" s="100">
        <v>0</v>
      </c>
      <c r="AS359" s="100">
        <v>0</v>
      </c>
      <c r="AT359" s="100">
        <v>1</v>
      </c>
      <c r="AU359" s="100">
        <v>0</v>
      </c>
      <c r="AV359" s="100">
        <v>0</v>
      </c>
      <c r="AW359" s="100">
        <v>0</v>
      </c>
      <c r="AX359" s="100">
        <v>0</v>
      </c>
      <c r="AY359" s="100">
        <v>0</v>
      </c>
      <c r="AZ359" s="100">
        <v>0</v>
      </c>
      <c r="BA359" s="100">
        <v>0</v>
      </c>
      <c r="BB359" s="100">
        <v>0</v>
      </c>
      <c r="BC359" s="100">
        <v>0</v>
      </c>
      <c r="BD359" s="100">
        <v>0</v>
      </c>
      <c r="BE359" s="100">
        <v>0</v>
      </c>
      <c r="BF359" s="100">
        <v>0</v>
      </c>
      <c r="BG359" s="100">
        <v>0</v>
      </c>
      <c r="BH359" s="100">
        <v>0</v>
      </c>
      <c r="BI359" s="100">
        <v>0</v>
      </c>
      <c r="BJ359" s="100">
        <v>1</v>
      </c>
      <c r="BK359" s="100">
        <v>0</v>
      </c>
      <c r="BL359" s="100">
        <v>1</v>
      </c>
      <c r="BM359" s="100">
        <v>0</v>
      </c>
      <c r="BN359" s="100">
        <v>0</v>
      </c>
      <c r="BO359" s="100">
        <v>0</v>
      </c>
      <c r="BP359" s="100">
        <v>0</v>
      </c>
      <c r="BQ359" s="100">
        <v>0</v>
      </c>
      <c r="BR359" s="100">
        <v>0</v>
      </c>
      <c r="BS359" s="100">
        <v>0</v>
      </c>
      <c r="BT359" s="100">
        <v>0</v>
      </c>
      <c r="BU359" s="100">
        <v>0</v>
      </c>
      <c r="BV359" s="100">
        <v>1</v>
      </c>
      <c r="BW359" s="100">
        <v>1</v>
      </c>
      <c r="BX359" s="100">
        <v>0</v>
      </c>
      <c r="BY359" s="100">
        <v>0</v>
      </c>
      <c r="BZ359" s="100">
        <v>0</v>
      </c>
      <c r="CA359" s="100">
        <v>1</v>
      </c>
      <c r="CB359" s="100" t="s">
        <v>2090</v>
      </c>
      <c r="CC359" s="100">
        <v>0</v>
      </c>
      <c r="CD359" s="100">
        <v>0</v>
      </c>
      <c r="CE359" s="100">
        <v>0</v>
      </c>
      <c r="CF359" s="100">
        <v>0</v>
      </c>
      <c r="CG359" s="103">
        <v>209859.16954999999</v>
      </c>
      <c r="CH359" s="103">
        <v>9.93</v>
      </c>
      <c r="CI359" s="103">
        <v>1975769.49777</v>
      </c>
      <c r="CJ359" s="103">
        <v>13.68</v>
      </c>
      <c r="CK359" s="103">
        <f t="shared" si="20"/>
        <v>135.8424</v>
      </c>
      <c r="CL359" s="103">
        <v>163268.9</v>
      </c>
      <c r="CM359" s="103">
        <v>211325.2</v>
      </c>
      <c r="CN359" s="104">
        <v>0.77259550683023126</v>
      </c>
      <c r="CO359" s="103">
        <v>601168.21742999996</v>
      </c>
      <c r="CP359" s="103">
        <v>24.38</v>
      </c>
      <c r="CQ359" s="103">
        <v>2066436.4959100001</v>
      </c>
      <c r="CR359" s="103">
        <v>20.5</v>
      </c>
      <c r="CS359" s="103">
        <f t="shared" si="21"/>
        <v>499.78999999999996</v>
      </c>
      <c r="CT359" s="103">
        <v>179583.7</v>
      </c>
      <c r="CU359" s="103">
        <v>272022.5</v>
      </c>
      <c r="CV359" s="104">
        <v>0.66017958073321148</v>
      </c>
      <c r="CW359" s="103">
        <v>0</v>
      </c>
      <c r="CX359" s="103">
        <v>0</v>
      </c>
      <c r="CY359" s="103">
        <v>44034.190450000002</v>
      </c>
      <c r="CZ359" s="103">
        <v>0</v>
      </c>
      <c r="DA359" s="103">
        <f t="shared" si="22"/>
        <v>0</v>
      </c>
      <c r="DB359" s="103">
        <v>5706.7</v>
      </c>
      <c r="DC359" s="103">
        <v>500364.2</v>
      </c>
      <c r="DD359" s="104">
        <v>1.140509253060071E-2</v>
      </c>
      <c r="DE359" s="103">
        <v>337941.64510999998</v>
      </c>
      <c r="DF359" s="103">
        <v>14.47</v>
      </c>
      <c r="DG359" s="103">
        <v>951265.08675000002</v>
      </c>
      <c r="DH359" s="103">
        <v>17.75</v>
      </c>
      <c r="DI359" s="103">
        <f t="shared" si="23"/>
        <v>256.84250000000003</v>
      </c>
      <c r="DJ359" s="103">
        <v>29075.8</v>
      </c>
      <c r="DK359" s="103">
        <v>90062.7</v>
      </c>
      <c r="DL359" s="104">
        <v>0.32283953290318856</v>
      </c>
    </row>
    <row r="360" spans="1:116" s="15" customFormat="1" ht="247.7" customHeight="1" x14ac:dyDescent="0.25">
      <c r="A360" s="100" t="s">
        <v>1978</v>
      </c>
      <c r="B360" s="100" t="s">
        <v>2803</v>
      </c>
      <c r="C360" s="100" t="s">
        <v>279</v>
      </c>
      <c r="D360" s="101" t="str">
        <f>"Chemistry 191"</f>
        <v>Chemistry 191</v>
      </c>
      <c r="E360" s="102" t="s">
        <v>2804</v>
      </c>
      <c r="F360" s="106">
        <v>11</v>
      </c>
      <c r="G360" s="106">
        <v>5</v>
      </c>
      <c r="H360" s="106">
        <v>0.45</v>
      </c>
      <c r="I360" s="106">
        <v>12</v>
      </c>
      <c r="J360" s="106">
        <f>I360-F360</f>
        <v>1</v>
      </c>
      <c r="K360" s="106">
        <v>1</v>
      </c>
      <c r="L360" s="107">
        <v>1</v>
      </c>
      <c r="M360" s="106">
        <v>1</v>
      </c>
      <c r="N360" s="106">
        <v>1</v>
      </c>
      <c r="O360" s="106">
        <v>1</v>
      </c>
      <c r="P360" s="106">
        <v>2.39</v>
      </c>
      <c r="Q360" s="106">
        <v>12.03</v>
      </c>
      <c r="R360" s="106">
        <v>1</v>
      </c>
      <c r="S360" s="108">
        <v>0</v>
      </c>
      <c r="T360" s="108">
        <v>0</v>
      </c>
      <c r="U360" s="108">
        <v>1</v>
      </c>
      <c r="V360" s="107">
        <f>COUNTIF(L360,"&gt;=4")</f>
        <v>0</v>
      </c>
      <c r="W360" s="107">
        <f>COUNTIFS(L360,"&gt;=2",L360,"&lt;=3")</f>
        <v>0</v>
      </c>
      <c r="X360" s="107">
        <f>COUNTIF(L360,"&lt;=1")</f>
        <v>1</v>
      </c>
      <c r="Y360" s="106">
        <f>COUNTIF(O360,"&gt;=2")</f>
        <v>0</v>
      </c>
      <c r="Z360" s="106">
        <f>COUNTIF(O360,"=1")</f>
        <v>1</v>
      </c>
      <c r="AA360" s="106">
        <f>COUNTIF(O360,"=0")</f>
        <v>0</v>
      </c>
      <c r="AB360" s="106">
        <f>COUNTIF(N360,"&gt;=4")</f>
        <v>0</v>
      </c>
      <c r="AC360" s="106">
        <f>COUNTIFS(N360,"&gt;=1",N360,"&lt;=3")</f>
        <v>1</v>
      </c>
      <c r="AD360" s="106">
        <f>COUNTIF(N360,"0")</f>
        <v>0</v>
      </c>
      <c r="AE360" s="106">
        <f>COUNTIF(P360,"&lt;0.36")</f>
        <v>0</v>
      </c>
      <c r="AF360" s="106">
        <f>COUNTIFS(P360,"&gt;=0.36",P360,"&lt;=1.71")</f>
        <v>0</v>
      </c>
      <c r="AG360" s="106">
        <f>COUNTIF(P360,"&gt;1.71")</f>
        <v>1</v>
      </c>
      <c r="AH360" s="106">
        <f>COUNTIF(Q360,"&lt;29")</f>
        <v>1</v>
      </c>
      <c r="AI360" s="106">
        <f>COUNTIFS(Q360,"&gt;=29",Q360,"&lt;=48")</f>
        <v>0</v>
      </c>
      <c r="AJ360" s="106">
        <f>COUNTIF(Q360,"&gt;48")</f>
        <v>0</v>
      </c>
      <c r="AK360" s="107">
        <v>0</v>
      </c>
      <c r="AL360" s="107">
        <v>0</v>
      </c>
      <c r="AM360" s="107">
        <v>0</v>
      </c>
      <c r="AN360" s="107">
        <v>0</v>
      </c>
      <c r="AO360" s="106">
        <v>0</v>
      </c>
      <c r="AP360" s="107">
        <v>0</v>
      </c>
      <c r="AQ360" s="107">
        <v>0</v>
      </c>
      <c r="AR360" s="107">
        <v>0</v>
      </c>
      <c r="AS360" s="107">
        <v>0</v>
      </c>
      <c r="AT360" s="107">
        <v>0</v>
      </c>
      <c r="AU360" s="107">
        <v>0</v>
      </c>
      <c r="AV360" s="107">
        <v>0</v>
      </c>
      <c r="AW360" s="107">
        <v>0</v>
      </c>
      <c r="AX360" s="107">
        <v>0</v>
      </c>
      <c r="AY360" s="107">
        <v>0</v>
      </c>
      <c r="AZ360" s="107">
        <v>0</v>
      </c>
      <c r="BA360" s="107">
        <v>0</v>
      </c>
      <c r="BB360" s="107">
        <v>0</v>
      </c>
      <c r="BC360" s="107">
        <v>0</v>
      </c>
      <c r="BD360" s="107">
        <v>0</v>
      </c>
      <c r="BE360" s="107">
        <v>0</v>
      </c>
      <c r="BF360" s="107">
        <v>0</v>
      </c>
      <c r="BG360" s="107">
        <v>0</v>
      </c>
      <c r="BH360" s="107">
        <v>0</v>
      </c>
      <c r="BI360" s="107">
        <v>0</v>
      </c>
      <c r="BJ360" s="107">
        <v>0</v>
      </c>
      <c r="BK360" s="107">
        <v>0</v>
      </c>
      <c r="BL360" s="107">
        <v>0</v>
      </c>
      <c r="BM360" s="106">
        <v>0</v>
      </c>
      <c r="BN360" s="106">
        <v>0</v>
      </c>
      <c r="BO360" s="106">
        <v>0</v>
      </c>
      <c r="BP360" s="100"/>
      <c r="BQ360" s="106">
        <v>0</v>
      </c>
      <c r="BR360" s="107">
        <v>0</v>
      </c>
      <c r="BS360" s="107">
        <v>0</v>
      </c>
      <c r="BT360" s="107">
        <v>0</v>
      </c>
      <c r="BU360" s="107">
        <v>0</v>
      </c>
      <c r="BV360" s="107">
        <v>0</v>
      </c>
      <c r="BW360" s="107">
        <v>1</v>
      </c>
      <c r="BX360" s="107">
        <v>0</v>
      </c>
      <c r="BY360" s="107">
        <v>0</v>
      </c>
      <c r="BZ360" s="100">
        <v>0</v>
      </c>
      <c r="CA360" s="100">
        <v>1</v>
      </c>
      <c r="CB360" s="107" t="s">
        <v>2090</v>
      </c>
      <c r="CC360" s="107">
        <v>0</v>
      </c>
      <c r="CD360" s="107">
        <v>0</v>
      </c>
      <c r="CE360" s="107">
        <v>0</v>
      </c>
      <c r="CF360" s="107">
        <v>0</v>
      </c>
      <c r="CG360" s="109">
        <v>332574.70445999998</v>
      </c>
      <c r="CH360" s="109">
        <v>20.89</v>
      </c>
      <c r="CI360" s="109">
        <v>4174250.4157699998</v>
      </c>
      <c r="CJ360" s="109">
        <v>36.06</v>
      </c>
      <c r="CK360" s="116">
        <f>CJ360*CH360</f>
        <v>753.29340000000002</v>
      </c>
      <c r="CL360" s="110">
        <v>92452.7</v>
      </c>
      <c r="CM360" s="110">
        <v>81214</v>
      </c>
      <c r="CN360" s="111">
        <v>1.1383837761962223</v>
      </c>
      <c r="CO360" s="109">
        <v>305474.89692999999</v>
      </c>
      <c r="CP360" s="109">
        <v>18.36</v>
      </c>
      <c r="CQ360" s="109">
        <v>4205695.2224500002</v>
      </c>
      <c r="CR360" s="109">
        <v>31.28</v>
      </c>
      <c r="CS360" s="116">
        <f>CR360*CP360</f>
        <v>574.30079999999998</v>
      </c>
      <c r="CT360" s="110">
        <v>17766.7</v>
      </c>
      <c r="CU360" s="110">
        <v>7716.9</v>
      </c>
      <c r="CV360" s="111">
        <v>2.3023105132890151</v>
      </c>
      <c r="CW360" s="109">
        <v>723136.50811000005</v>
      </c>
      <c r="CX360" s="109">
        <v>48.86</v>
      </c>
      <c r="CY360" s="109">
        <v>5606763.4417399997</v>
      </c>
      <c r="CZ360" s="112">
        <v>52.729723657605028</v>
      </c>
      <c r="DA360" s="116">
        <f>CZ360*CX360</f>
        <v>2576.3742979105818</v>
      </c>
      <c r="DB360" s="110">
        <v>720249.7</v>
      </c>
      <c r="DC360" s="110">
        <v>289277.59999999998</v>
      </c>
      <c r="DD360" s="111">
        <v>2.4898218873497293</v>
      </c>
      <c r="DE360" s="109">
        <v>451137.84719</v>
      </c>
      <c r="DF360" s="109">
        <v>23.21</v>
      </c>
      <c r="DG360" s="109">
        <v>4484587.7725799996</v>
      </c>
      <c r="DH360" s="109">
        <v>26.67</v>
      </c>
      <c r="DI360" s="116">
        <f>DH360*DF360</f>
        <v>619.01070000000004</v>
      </c>
      <c r="DJ360" s="110">
        <v>169229.1</v>
      </c>
      <c r="DK360" s="110">
        <v>137278.79999999999</v>
      </c>
      <c r="DL360" s="111">
        <v>1.232740233743302</v>
      </c>
    </row>
    <row r="361" spans="1:116" s="15" customFormat="1" ht="234.95" customHeight="1" x14ac:dyDescent="0.25">
      <c r="A361" s="100" t="s">
        <v>445</v>
      </c>
      <c r="B361" s="100" t="s">
        <v>2805</v>
      </c>
      <c r="C361" s="100" t="s">
        <v>279</v>
      </c>
      <c r="D361" s="105" t="str">
        <f>"Chemistry 29"</f>
        <v>Chemistry 29</v>
      </c>
      <c r="E361" s="102" t="s">
        <v>2806</v>
      </c>
      <c r="F361" s="100">
        <v>15</v>
      </c>
      <c r="G361" s="100">
        <v>4</v>
      </c>
      <c r="H361" s="100">
        <v>0.27</v>
      </c>
      <c r="I361" s="100">
        <v>23</v>
      </c>
      <c r="J361" s="100">
        <v>8</v>
      </c>
      <c r="K361" s="100">
        <v>8</v>
      </c>
      <c r="L361" s="100">
        <v>2</v>
      </c>
      <c r="M361" s="100">
        <v>2</v>
      </c>
      <c r="N361" s="100">
        <v>5</v>
      </c>
      <c r="O361" s="100">
        <v>2</v>
      </c>
      <c r="P361" s="100">
        <v>2.08</v>
      </c>
      <c r="Q361" s="100">
        <v>84.5</v>
      </c>
      <c r="R361" s="100">
        <v>5</v>
      </c>
      <c r="S361" s="100">
        <v>1</v>
      </c>
      <c r="T361" s="100">
        <v>0</v>
      </c>
      <c r="U361" s="100">
        <v>0</v>
      </c>
      <c r="V361" s="100">
        <v>0</v>
      </c>
      <c r="W361" s="100">
        <v>0</v>
      </c>
      <c r="X361" s="100">
        <v>0</v>
      </c>
      <c r="Y361" s="100">
        <v>1</v>
      </c>
      <c r="Z361" s="100">
        <v>0</v>
      </c>
      <c r="AA361" s="100">
        <v>0</v>
      </c>
      <c r="AB361" s="100">
        <v>1</v>
      </c>
      <c r="AC361" s="100">
        <v>0</v>
      </c>
      <c r="AD361" s="100">
        <v>0</v>
      </c>
      <c r="AE361" s="100">
        <v>0</v>
      </c>
      <c r="AF361" s="100">
        <v>0</v>
      </c>
      <c r="AG361" s="100">
        <v>1</v>
      </c>
      <c r="AH361" s="100">
        <v>0</v>
      </c>
      <c r="AI361" s="100">
        <v>0</v>
      </c>
      <c r="AJ361" s="100">
        <v>1</v>
      </c>
      <c r="AK361" s="100">
        <v>0</v>
      </c>
      <c r="AL361" s="100">
        <v>0</v>
      </c>
      <c r="AM361" s="100">
        <v>0</v>
      </c>
      <c r="AN361" s="100">
        <v>1</v>
      </c>
      <c r="AO361" s="100">
        <v>0</v>
      </c>
      <c r="AP361" s="100">
        <v>0</v>
      </c>
      <c r="AQ361" s="100">
        <v>0</v>
      </c>
      <c r="AR361" s="100">
        <v>0</v>
      </c>
      <c r="AS361" s="100">
        <v>0</v>
      </c>
      <c r="AT361" s="100">
        <v>0</v>
      </c>
      <c r="AU361" s="100">
        <v>0</v>
      </c>
      <c r="AV361" s="100">
        <v>0</v>
      </c>
      <c r="AW361" s="100">
        <v>0</v>
      </c>
      <c r="AX361" s="100">
        <v>1</v>
      </c>
      <c r="AY361" s="100">
        <v>0</v>
      </c>
      <c r="AZ361" s="100">
        <v>0</v>
      </c>
      <c r="BA361" s="100">
        <v>0</v>
      </c>
      <c r="BB361" s="100">
        <v>0</v>
      </c>
      <c r="BC361" s="100">
        <v>0</v>
      </c>
      <c r="BD361" s="100">
        <v>0</v>
      </c>
      <c r="BE361" s="100">
        <v>0</v>
      </c>
      <c r="BF361" s="100">
        <v>1</v>
      </c>
      <c r="BG361" s="100">
        <v>0</v>
      </c>
      <c r="BH361" s="100">
        <v>0</v>
      </c>
      <c r="BI361" s="100">
        <v>0</v>
      </c>
      <c r="BJ361" s="100">
        <v>2</v>
      </c>
      <c r="BK361" s="100">
        <v>0</v>
      </c>
      <c r="BL361" s="100">
        <v>0</v>
      </c>
      <c r="BM361" s="100">
        <v>0</v>
      </c>
      <c r="BN361" s="100">
        <v>0</v>
      </c>
      <c r="BO361" s="100">
        <v>0</v>
      </c>
      <c r="BP361" s="100">
        <v>0</v>
      </c>
      <c r="BQ361" s="100">
        <v>0</v>
      </c>
      <c r="BR361" s="100">
        <v>0</v>
      </c>
      <c r="BS361" s="100">
        <v>0</v>
      </c>
      <c r="BT361" s="100">
        <v>0</v>
      </c>
      <c r="BU361" s="100">
        <v>0</v>
      </c>
      <c r="BV361" s="100">
        <v>1</v>
      </c>
      <c r="BW361" s="100">
        <v>1</v>
      </c>
      <c r="BX361" s="100">
        <v>0</v>
      </c>
      <c r="BY361" s="100">
        <v>0</v>
      </c>
      <c r="BZ361" s="100">
        <v>1</v>
      </c>
      <c r="CA361" s="100">
        <v>1</v>
      </c>
      <c r="CB361" s="100" t="s">
        <v>2090</v>
      </c>
      <c r="CC361" s="100">
        <v>0</v>
      </c>
      <c r="CD361" s="100">
        <v>0</v>
      </c>
      <c r="CE361" s="100">
        <v>0</v>
      </c>
      <c r="CF361" s="100">
        <v>0</v>
      </c>
      <c r="CG361" s="103">
        <v>0</v>
      </c>
      <c r="CH361" s="103">
        <v>0</v>
      </c>
      <c r="CI361" s="103">
        <v>68814.412070000006</v>
      </c>
      <c r="CJ361" s="103">
        <v>0.63</v>
      </c>
      <c r="CK361" s="103">
        <f t="shared" si="20"/>
        <v>0</v>
      </c>
      <c r="CL361" s="103">
        <v>3207.1</v>
      </c>
      <c r="CM361" s="103">
        <v>424180.1</v>
      </c>
      <c r="CN361" s="104">
        <v>7.5607035785035647E-3</v>
      </c>
      <c r="CO361" s="103">
        <v>0</v>
      </c>
      <c r="CP361" s="103">
        <v>0</v>
      </c>
      <c r="CQ361" s="103">
        <v>77225.994479999994</v>
      </c>
      <c r="CR361" s="103">
        <v>0</v>
      </c>
      <c r="CS361" s="103">
        <f t="shared" si="21"/>
        <v>0</v>
      </c>
      <c r="CT361" s="103">
        <v>0</v>
      </c>
      <c r="CU361" s="103">
        <v>432023.2</v>
      </c>
      <c r="CV361" s="104">
        <v>0</v>
      </c>
      <c r="CW361" s="103">
        <v>0</v>
      </c>
      <c r="CX361" s="103">
        <v>0</v>
      </c>
      <c r="CY361" s="103">
        <v>6054.2753599999996</v>
      </c>
      <c r="CZ361" s="103">
        <v>0.99329525701514798</v>
      </c>
      <c r="DA361" s="103">
        <f t="shared" si="22"/>
        <v>0</v>
      </c>
      <c r="DB361" s="103">
        <v>2503.5</v>
      </c>
      <c r="DC361" s="103">
        <v>385443.9</v>
      </c>
      <c r="DD361" s="104">
        <v>6.4951086267028739E-3</v>
      </c>
      <c r="DE361" s="103">
        <v>0</v>
      </c>
      <c r="DF361" s="103">
        <v>0</v>
      </c>
      <c r="DG361" s="103">
        <v>0</v>
      </c>
      <c r="DH361" s="103">
        <v>0</v>
      </c>
      <c r="DI361" s="103">
        <f t="shared" si="23"/>
        <v>0</v>
      </c>
      <c r="DJ361" s="103">
        <v>0</v>
      </c>
      <c r="DK361" s="103">
        <v>518265.4</v>
      </c>
      <c r="DL361" s="104">
        <v>0</v>
      </c>
    </row>
    <row r="362" spans="1:116" s="15" customFormat="1" ht="258.2" customHeight="1" x14ac:dyDescent="0.25">
      <c r="A362" s="100" t="s">
        <v>446</v>
      </c>
      <c r="B362" s="100" t="s">
        <v>2807</v>
      </c>
      <c r="C362" s="100" t="s">
        <v>279</v>
      </c>
      <c r="D362" s="101" t="str">
        <f>"Chemistry 21"</f>
        <v>Chemistry 21</v>
      </c>
      <c r="E362" s="102" t="s">
        <v>2808</v>
      </c>
      <c r="F362" s="100">
        <v>21</v>
      </c>
      <c r="G362" s="100">
        <v>8</v>
      </c>
      <c r="H362" s="100">
        <v>0.38</v>
      </c>
      <c r="I362" s="100">
        <v>29</v>
      </c>
      <c r="J362" s="100">
        <v>8</v>
      </c>
      <c r="K362" s="100">
        <v>8</v>
      </c>
      <c r="L362" s="100">
        <v>3</v>
      </c>
      <c r="M362" s="100">
        <v>2</v>
      </c>
      <c r="N362" s="100">
        <v>5</v>
      </c>
      <c r="O362" s="100">
        <v>2</v>
      </c>
      <c r="P362" s="100">
        <v>2.63</v>
      </c>
      <c r="Q362" s="100">
        <v>87.74</v>
      </c>
      <c r="R362" s="100">
        <v>5</v>
      </c>
      <c r="S362" s="100">
        <v>1</v>
      </c>
      <c r="T362" s="100">
        <v>0</v>
      </c>
      <c r="U362" s="100">
        <v>0</v>
      </c>
      <c r="V362" s="100">
        <v>0</v>
      </c>
      <c r="W362" s="100">
        <v>0</v>
      </c>
      <c r="X362" s="100">
        <v>0</v>
      </c>
      <c r="Y362" s="100">
        <v>1</v>
      </c>
      <c r="Z362" s="100">
        <v>0</v>
      </c>
      <c r="AA362" s="100">
        <v>0</v>
      </c>
      <c r="AB362" s="100">
        <v>1</v>
      </c>
      <c r="AC362" s="100">
        <v>0</v>
      </c>
      <c r="AD362" s="100">
        <v>0</v>
      </c>
      <c r="AE362" s="100">
        <v>0</v>
      </c>
      <c r="AF362" s="100">
        <v>0</v>
      </c>
      <c r="AG362" s="100">
        <v>1</v>
      </c>
      <c r="AH362" s="100">
        <v>0</v>
      </c>
      <c r="AI362" s="100">
        <v>0</v>
      </c>
      <c r="AJ362" s="100">
        <v>1</v>
      </c>
      <c r="AK362" s="100">
        <v>0</v>
      </c>
      <c r="AL362" s="100">
        <v>0</v>
      </c>
      <c r="AM362" s="100">
        <v>0</v>
      </c>
      <c r="AN362" s="100">
        <v>1</v>
      </c>
      <c r="AO362" s="100">
        <v>0</v>
      </c>
      <c r="AP362" s="100">
        <v>0</v>
      </c>
      <c r="AQ362" s="100">
        <v>0</v>
      </c>
      <c r="AR362" s="100">
        <v>0</v>
      </c>
      <c r="AS362" s="100">
        <v>0</v>
      </c>
      <c r="AT362" s="100">
        <v>0</v>
      </c>
      <c r="AU362" s="100">
        <v>0</v>
      </c>
      <c r="AV362" s="100">
        <v>0</v>
      </c>
      <c r="AW362" s="100">
        <v>0</v>
      </c>
      <c r="AX362" s="100">
        <v>1</v>
      </c>
      <c r="AY362" s="100">
        <v>0</v>
      </c>
      <c r="AZ362" s="100">
        <v>0</v>
      </c>
      <c r="BA362" s="100">
        <v>1</v>
      </c>
      <c r="BB362" s="100">
        <v>0</v>
      </c>
      <c r="BC362" s="100">
        <v>0</v>
      </c>
      <c r="BD362" s="100">
        <v>0</v>
      </c>
      <c r="BE362" s="100">
        <v>0</v>
      </c>
      <c r="BF362" s="100">
        <v>0</v>
      </c>
      <c r="BG362" s="100">
        <v>0</v>
      </c>
      <c r="BH362" s="100">
        <v>0</v>
      </c>
      <c r="BI362" s="100">
        <v>1</v>
      </c>
      <c r="BJ362" s="100">
        <v>3</v>
      </c>
      <c r="BK362" s="100">
        <v>0</v>
      </c>
      <c r="BL362" s="100">
        <v>0</v>
      </c>
      <c r="BM362" s="100">
        <v>0</v>
      </c>
      <c r="BN362" s="100">
        <v>0</v>
      </c>
      <c r="BO362" s="100">
        <v>0</v>
      </c>
      <c r="BP362" s="100">
        <v>0</v>
      </c>
      <c r="BQ362" s="100">
        <v>0</v>
      </c>
      <c r="BR362" s="100">
        <v>0</v>
      </c>
      <c r="BS362" s="100">
        <v>0</v>
      </c>
      <c r="BT362" s="100">
        <v>0</v>
      </c>
      <c r="BU362" s="100">
        <v>0</v>
      </c>
      <c r="BV362" s="100">
        <v>1</v>
      </c>
      <c r="BW362" s="100">
        <v>1</v>
      </c>
      <c r="BX362" s="100">
        <v>0</v>
      </c>
      <c r="BY362" s="100">
        <v>0</v>
      </c>
      <c r="BZ362" s="100">
        <v>1</v>
      </c>
      <c r="CA362" s="100">
        <v>1</v>
      </c>
      <c r="CB362" s="100" t="s">
        <v>2090</v>
      </c>
      <c r="CC362" s="100">
        <v>0</v>
      </c>
      <c r="CD362" s="100">
        <v>0</v>
      </c>
      <c r="CE362" s="100">
        <v>0</v>
      </c>
      <c r="CF362" s="100">
        <v>0</v>
      </c>
      <c r="CG362" s="103">
        <v>0</v>
      </c>
      <c r="CH362" s="103">
        <v>0</v>
      </c>
      <c r="CI362" s="103">
        <v>0</v>
      </c>
      <c r="CJ362" s="103">
        <v>0</v>
      </c>
      <c r="CK362" s="103">
        <f t="shared" si="20"/>
        <v>0</v>
      </c>
      <c r="CL362" s="103">
        <v>0</v>
      </c>
      <c r="CM362" s="103">
        <v>632399.6</v>
      </c>
      <c r="CN362" s="104">
        <v>0</v>
      </c>
      <c r="CO362" s="103">
        <v>0</v>
      </c>
      <c r="CP362" s="103">
        <v>0</v>
      </c>
      <c r="CQ362" s="103">
        <v>2626.4564799999998</v>
      </c>
      <c r="CR362" s="103">
        <v>1.64</v>
      </c>
      <c r="CS362" s="103">
        <f t="shared" si="21"/>
        <v>0</v>
      </c>
      <c r="CT362" s="103">
        <v>2306</v>
      </c>
      <c r="CU362" s="103">
        <v>220823.8</v>
      </c>
      <c r="CV362" s="104">
        <v>1.0442714960977938E-2</v>
      </c>
      <c r="CW362" s="103">
        <v>0</v>
      </c>
      <c r="CX362" s="103">
        <v>0</v>
      </c>
      <c r="CY362" s="103">
        <v>2284.9465599999999</v>
      </c>
      <c r="CZ362" s="103">
        <v>1.6454036008107784</v>
      </c>
      <c r="DA362" s="103">
        <f t="shared" si="22"/>
        <v>0</v>
      </c>
      <c r="DB362" s="103">
        <v>7496.9</v>
      </c>
      <c r="DC362" s="103">
        <v>387593.9</v>
      </c>
      <c r="DD362" s="104">
        <v>1.9342151669569617E-2</v>
      </c>
      <c r="DE362" s="103">
        <v>0</v>
      </c>
      <c r="DF362" s="103">
        <v>0</v>
      </c>
      <c r="DG362" s="103">
        <v>0</v>
      </c>
      <c r="DH362" s="103">
        <v>0</v>
      </c>
      <c r="DI362" s="103">
        <f t="shared" si="23"/>
        <v>0</v>
      </c>
      <c r="DJ362" s="103">
        <v>6478.6</v>
      </c>
      <c r="DK362" s="103">
        <v>330732.90000000002</v>
      </c>
      <c r="DL362" s="104">
        <v>1.9588616675268775E-2</v>
      </c>
    </row>
    <row r="363" spans="1:116" s="15" customFormat="1" ht="265.7" customHeight="1" x14ac:dyDescent="0.25">
      <c r="A363" s="100" t="s">
        <v>447</v>
      </c>
      <c r="B363" s="100" t="s">
        <v>2809</v>
      </c>
      <c r="C363" s="100" t="s">
        <v>279</v>
      </c>
      <c r="D363" s="101" t="str">
        <f>"Chemistry 0"</f>
        <v>Chemistry 0</v>
      </c>
      <c r="E363" s="102" t="s">
        <v>2810</v>
      </c>
      <c r="F363" s="100">
        <v>22</v>
      </c>
      <c r="G363" s="100">
        <v>9</v>
      </c>
      <c r="H363" s="100">
        <v>0.41</v>
      </c>
      <c r="I363" s="100">
        <v>34</v>
      </c>
      <c r="J363" s="100">
        <v>12</v>
      </c>
      <c r="K363" s="100">
        <v>12</v>
      </c>
      <c r="L363" s="100">
        <v>4</v>
      </c>
      <c r="M363" s="100">
        <v>3</v>
      </c>
      <c r="N363" s="100">
        <v>7</v>
      </c>
      <c r="O363" s="100">
        <v>4</v>
      </c>
      <c r="P363" s="100">
        <v>0.97</v>
      </c>
      <c r="Q363" s="100">
        <v>137.49</v>
      </c>
      <c r="R363" s="100">
        <v>10</v>
      </c>
      <c r="S363" s="100">
        <v>1</v>
      </c>
      <c r="T363" s="100">
        <v>0</v>
      </c>
      <c r="U363" s="100">
        <v>0</v>
      </c>
      <c r="V363" s="100">
        <v>1</v>
      </c>
      <c r="W363" s="100">
        <v>0</v>
      </c>
      <c r="X363" s="100">
        <v>0</v>
      </c>
      <c r="Y363" s="100">
        <v>1</v>
      </c>
      <c r="Z363" s="100">
        <v>0</v>
      </c>
      <c r="AA363" s="100">
        <v>0</v>
      </c>
      <c r="AB363" s="100">
        <v>1</v>
      </c>
      <c r="AC363" s="100">
        <v>0</v>
      </c>
      <c r="AD363" s="100">
        <v>0</v>
      </c>
      <c r="AE363" s="100">
        <v>0</v>
      </c>
      <c r="AF363" s="100">
        <v>1</v>
      </c>
      <c r="AG363" s="100">
        <v>0</v>
      </c>
      <c r="AH363" s="100">
        <v>0</v>
      </c>
      <c r="AI363" s="100">
        <v>0</v>
      </c>
      <c r="AJ363" s="100">
        <v>1</v>
      </c>
      <c r="AK363" s="100">
        <v>0</v>
      </c>
      <c r="AL363" s="100">
        <v>0</v>
      </c>
      <c r="AM363" s="100">
        <v>0</v>
      </c>
      <c r="AN363" s="100">
        <v>1</v>
      </c>
      <c r="AO363" s="100">
        <v>1</v>
      </c>
      <c r="AP363" s="100">
        <v>0</v>
      </c>
      <c r="AQ363" s="100">
        <v>0</v>
      </c>
      <c r="AR363" s="100">
        <v>0</v>
      </c>
      <c r="AS363" s="100">
        <v>0</v>
      </c>
      <c r="AT363" s="100">
        <v>1</v>
      </c>
      <c r="AU363" s="100">
        <v>0</v>
      </c>
      <c r="AV363" s="100">
        <v>0</v>
      </c>
      <c r="AW363" s="100">
        <v>1</v>
      </c>
      <c r="AX363" s="100">
        <v>0</v>
      </c>
      <c r="AY363" s="100">
        <v>0</v>
      </c>
      <c r="AZ363" s="100">
        <v>0</v>
      </c>
      <c r="BA363" s="100">
        <v>0</v>
      </c>
      <c r="BB363" s="100">
        <v>0</v>
      </c>
      <c r="BC363" s="100">
        <v>0</v>
      </c>
      <c r="BD363" s="100">
        <v>0</v>
      </c>
      <c r="BE363" s="100">
        <v>0</v>
      </c>
      <c r="BF363" s="100">
        <v>1</v>
      </c>
      <c r="BG363" s="100">
        <v>0</v>
      </c>
      <c r="BH363" s="100">
        <v>0</v>
      </c>
      <c r="BI363" s="100">
        <v>0</v>
      </c>
      <c r="BJ363" s="100">
        <v>3</v>
      </c>
      <c r="BK363" s="100">
        <v>0</v>
      </c>
      <c r="BL363" s="100">
        <v>1</v>
      </c>
      <c r="BM363" s="100">
        <v>0</v>
      </c>
      <c r="BN363" s="100">
        <v>0</v>
      </c>
      <c r="BO363" s="100">
        <v>0</v>
      </c>
      <c r="BP363" s="100">
        <v>0</v>
      </c>
      <c r="BQ363" s="100">
        <v>0</v>
      </c>
      <c r="BR363" s="100">
        <v>0</v>
      </c>
      <c r="BS363" s="100">
        <v>0</v>
      </c>
      <c r="BT363" s="100">
        <v>0</v>
      </c>
      <c r="BU363" s="100">
        <v>0</v>
      </c>
      <c r="BV363" s="100">
        <v>1</v>
      </c>
      <c r="BW363" s="100">
        <v>1</v>
      </c>
      <c r="BX363" s="100">
        <v>0</v>
      </c>
      <c r="BY363" s="100">
        <v>0</v>
      </c>
      <c r="BZ363" s="100">
        <v>0</v>
      </c>
      <c r="CA363" s="100">
        <v>1</v>
      </c>
      <c r="CB363" s="100" t="s">
        <v>2090</v>
      </c>
      <c r="CC363" s="100">
        <v>0</v>
      </c>
      <c r="CD363" s="100">
        <v>0</v>
      </c>
      <c r="CE363" s="100">
        <v>0</v>
      </c>
      <c r="CF363" s="100">
        <v>0</v>
      </c>
      <c r="CG363" s="103">
        <v>206656.47287999999</v>
      </c>
      <c r="CH363" s="103">
        <v>7.23</v>
      </c>
      <c r="CI363" s="103">
        <v>1318339.3719599999</v>
      </c>
      <c r="CJ363" s="103">
        <v>21.63</v>
      </c>
      <c r="CK363" s="103">
        <f t="shared" si="20"/>
        <v>156.38490000000002</v>
      </c>
      <c r="CL363" s="103">
        <v>52722.2</v>
      </c>
      <c r="CM363" s="103">
        <v>515095.2</v>
      </c>
      <c r="CN363" s="104">
        <v>0.10235428324705802</v>
      </c>
      <c r="CO363" s="103">
        <v>0</v>
      </c>
      <c r="CP363" s="103">
        <v>0</v>
      </c>
      <c r="CQ363" s="103">
        <v>5260.7315900000003</v>
      </c>
      <c r="CR363" s="103">
        <v>0</v>
      </c>
      <c r="CS363" s="103">
        <f t="shared" si="21"/>
        <v>0</v>
      </c>
      <c r="CT363" s="103">
        <v>2839.3</v>
      </c>
      <c r="CU363" s="103">
        <v>406135.5</v>
      </c>
      <c r="CV363" s="104">
        <v>6.991016544970829E-3</v>
      </c>
      <c r="CW363" s="103">
        <v>0</v>
      </c>
      <c r="CX363" s="103">
        <v>0</v>
      </c>
      <c r="CY363" s="103">
        <v>32861.838400000001</v>
      </c>
      <c r="CZ363" s="103">
        <v>0.98870056497175118</v>
      </c>
      <c r="DA363" s="103">
        <f t="shared" si="22"/>
        <v>0</v>
      </c>
      <c r="DB363" s="103">
        <v>1488.3</v>
      </c>
      <c r="DC363" s="103">
        <v>365587.9</v>
      </c>
      <c r="DD363" s="104">
        <v>4.0709771849670078E-3</v>
      </c>
      <c r="DE363" s="103">
        <v>0</v>
      </c>
      <c r="DF363" s="103">
        <v>0</v>
      </c>
      <c r="DG363" s="103">
        <v>9083.9892</v>
      </c>
      <c r="DH363" s="103">
        <v>0</v>
      </c>
      <c r="DI363" s="103">
        <f t="shared" si="23"/>
        <v>0</v>
      </c>
      <c r="DJ363" s="103">
        <v>875.8</v>
      </c>
      <c r="DK363" s="103">
        <v>83399.600000000006</v>
      </c>
      <c r="DL363" s="104">
        <v>1.0501249406471971E-2</v>
      </c>
    </row>
    <row r="364" spans="1:116" s="15" customFormat="1" ht="265.7" customHeight="1" x14ac:dyDescent="0.25">
      <c r="A364" s="100" t="s">
        <v>448</v>
      </c>
      <c r="B364" s="100" t="s">
        <v>2811</v>
      </c>
      <c r="C364" s="100" t="s">
        <v>279</v>
      </c>
      <c r="D364" s="101" t="str">
        <f>"Chemistry 5"</f>
        <v>Chemistry 5</v>
      </c>
      <c r="E364" s="102" t="s">
        <v>2812</v>
      </c>
      <c r="F364" s="100">
        <v>16</v>
      </c>
      <c r="G364" s="100">
        <v>16</v>
      </c>
      <c r="H364" s="100">
        <v>1</v>
      </c>
      <c r="I364" s="100">
        <v>28</v>
      </c>
      <c r="J364" s="100">
        <v>12</v>
      </c>
      <c r="K364" s="100">
        <v>12</v>
      </c>
      <c r="L364" s="100">
        <v>2</v>
      </c>
      <c r="M364" s="100">
        <v>0</v>
      </c>
      <c r="N364" s="100">
        <v>12</v>
      </c>
      <c r="O364" s="100">
        <v>8</v>
      </c>
      <c r="P364" s="100">
        <v>-5.76</v>
      </c>
      <c r="Q364" s="100">
        <v>184.57</v>
      </c>
      <c r="R364" s="100">
        <v>5</v>
      </c>
      <c r="S364" s="100">
        <v>1</v>
      </c>
      <c r="T364" s="100">
        <v>0</v>
      </c>
      <c r="U364" s="100">
        <v>0</v>
      </c>
      <c r="V364" s="100">
        <v>0</v>
      </c>
      <c r="W364" s="100">
        <v>0</v>
      </c>
      <c r="X364" s="100">
        <v>0</v>
      </c>
      <c r="Y364" s="100">
        <v>1</v>
      </c>
      <c r="Z364" s="100">
        <v>0</v>
      </c>
      <c r="AA364" s="100">
        <v>0</v>
      </c>
      <c r="AB364" s="100">
        <v>1</v>
      </c>
      <c r="AC364" s="100">
        <v>0</v>
      </c>
      <c r="AD364" s="100">
        <v>0</v>
      </c>
      <c r="AE364" s="100">
        <v>1</v>
      </c>
      <c r="AF364" s="100">
        <v>0</v>
      </c>
      <c r="AG364" s="100">
        <v>0</v>
      </c>
      <c r="AH364" s="100">
        <v>0</v>
      </c>
      <c r="AI364" s="100">
        <v>0</v>
      </c>
      <c r="AJ364" s="100">
        <v>1</v>
      </c>
      <c r="AK364" s="100">
        <v>0</v>
      </c>
      <c r="AL364" s="100">
        <v>0</v>
      </c>
      <c r="AM364" s="100">
        <v>0</v>
      </c>
      <c r="AN364" s="100">
        <v>0</v>
      </c>
      <c r="AO364" s="100">
        <v>0</v>
      </c>
      <c r="AP364" s="100">
        <v>1</v>
      </c>
      <c r="AQ364" s="100">
        <v>0</v>
      </c>
      <c r="AR364" s="100">
        <v>0</v>
      </c>
      <c r="AS364" s="100">
        <v>0</v>
      </c>
      <c r="AT364" s="100">
        <v>0</v>
      </c>
      <c r="AU364" s="100">
        <v>0</v>
      </c>
      <c r="AV364" s="100">
        <v>0</v>
      </c>
      <c r="AW364" s="100">
        <v>0</v>
      </c>
      <c r="AX364" s="100">
        <v>0</v>
      </c>
      <c r="AY364" s="100">
        <v>0</v>
      </c>
      <c r="AZ364" s="100">
        <v>0</v>
      </c>
      <c r="BA364" s="100">
        <v>0</v>
      </c>
      <c r="BB364" s="100">
        <v>0</v>
      </c>
      <c r="BC364" s="100">
        <v>0</v>
      </c>
      <c r="BD364" s="100">
        <v>0</v>
      </c>
      <c r="BE364" s="100">
        <v>0</v>
      </c>
      <c r="BF364" s="100">
        <v>0</v>
      </c>
      <c r="BG364" s="100">
        <v>0</v>
      </c>
      <c r="BH364" s="100">
        <v>1</v>
      </c>
      <c r="BI364" s="100">
        <v>0</v>
      </c>
      <c r="BJ364" s="100">
        <v>8</v>
      </c>
      <c r="BK364" s="100">
        <v>0</v>
      </c>
      <c r="BL364" s="100">
        <v>0</v>
      </c>
      <c r="BM364" s="100">
        <v>0</v>
      </c>
      <c r="BN364" s="100">
        <v>0</v>
      </c>
      <c r="BO364" s="100">
        <v>0</v>
      </c>
      <c r="BP364" s="100">
        <v>0</v>
      </c>
      <c r="BQ364" s="100">
        <v>0</v>
      </c>
      <c r="BR364" s="100">
        <v>0</v>
      </c>
      <c r="BS364" s="100">
        <v>0</v>
      </c>
      <c r="BT364" s="100">
        <v>0</v>
      </c>
      <c r="BU364" s="100">
        <v>0</v>
      </c>
      <c r="BV364" s="100">
        <v>0</v>
      </c>
      <c r="BW364" s="100">
        <v>0</v>
      </c>
      <c r="BX364" s="100">
        <v>1</v>
      </c>
      <c r="BY364" s="100">
        <v>0</v>
      </c>
      <c r="BZ364" s="100">
        <v>0</v>
      </c>
      <c r="CA364" s="100">
        <v>0</v>
      </c>
      <c r="CB364" s="100" t="s">
        <v>2090</v>
      </c>
      <c r="CC364" s="100">
        <v>1</v>
      </c>
      <c r="CD364" s="100">
        <v>0</v>
      </c>
      <c r="CE364" s="100">
        <v>0</v>
      </c>
      <c r="CF364" s="100">
        <v>0</v>
      </c>
      <c r="CG364" s="103">
        <v>0</v>
      </c>
      <c r="CH364" s="103">
        <v>0</v>
      </c>
      <c r="CI364" s="103">
        <v>1442.06059</v>
      </c>
      <c r="CJ364" s="103">
        <v>0</v>
      </c>
      <c r="CK364" s="103">
        <f t="shared" si="20"/>
        <v>0</v>
      </c>
      <c r="CL364" s="103">
        <v>0</v>
      </c>
      <c r="CM364" s="103">
        <v>722553.2</v>
      </c>
      <c r="CN364" s="104">
        <v>0</v>
      </c>
      <c r="CO364" s="103">
        <v>0</v>
      </c>
      <c r="CP364" s="103">
        <v>0</v>
      </c>
      <c r="CQ364" s="103">
        <v>0</v>
      </c>
      <c r="CR364" s="103">
        <v>0</v>
      </c>
      <c r="CS364" s="103">
        <f t="shared" si="21"/>
        <v>0</v>
      </c>
      <c r="CT364" s="103">
        <v>12235.7</v>
      </c>
      <c r="CU364" s="103">
        <v>605830.6</v>
      </c>
      <c r="CV364" s="104">
        <v>2.0196569800204879E-2</v>
      </c>
      <c r="CW364" s="103">
        <v>0</v>
      </c>
      <c r="CX364" s="103">
        <v>0</v>
      </c>
      <c r="CY364" s="103">
        <v>9831.4616800000003</v>
      </c>
      <c r="CZ364" s="103">
        <v>0</v>
      </c>
      <c r="DA364" s="103">
        <f t="shared" si="22"/>
        <v>0</v>
      </c>
      <c r="DB364" s="103">
        <v>0</v>
      </c>
      <c r="DC364" s="103">
        <v>270165.90000000002</v>
      </c>
      <c r="DD364" s="104">
        <v>0</v>
      </c>
      <c r="DE364" s="103">
        <v>0</v>
      </c>
      <c r="DF364" s="103">
        <v>0</v>
      </c>
      <c r="DG364" s="103">
        <v>0</v>
      </c>
      <c r="DH364" s="103">
        <v>0</v>
      </c>
      <c r="DI364" s="103">
        <f t="shared" si="23"/>
        <v>0</v>
      </c>
      <c r="DJ364" s="103">
        <v>4643.5</v>
      </c>
      <c r="DK364" s="103">
        <v>521574.6</v>
      </c>
      <c r="DL364" s="104">
        <v>8.9028491801556291E-3</v>
      </c>
    </row>
    <row r="365" spans="1:116" s="15" customFormat="1" ht="260.45" customHeight="1" x14ac:dyDescent="0.25">
      <c r="A365" s="100" t="s">
        <v>449</v>
      </c>
      <c r="B365" s="100" t="s">
        <v>2813</v>
      </c>
      <c r="C365" s="100" t="s">
        <v>279</v>
      </c>
      <c r="D365" s="101" t="str">
        <f>"Chemistry 148"</f>
        <v>Chemistry 148</v>
      </c>
      <c r="E365" s="102" t="s">
        <v>2814</v>
      </c>
      <c r="F365" s="100">
        <v>20</v>
      </c>
      <c r="G365" s="100">
        <v>13</v>
      </c>
      <c r="H365" s="100">
        <v>0.65</v>
      </c>
      <c r="I365" s="100">
        <v>26</v>
      </c>
      <c r="J365" s="100">
        <v>6</v>
      </c>
      <c r="K365" s="100">
        <v>4</v>
      </c>
      <c r="L365" s="100">
        <v>3</v>
      </c>
      <c r="M365" s="100">
        <v>1</v>
      </c>
      <c r="N365" s="100">
        <v>3</v>
      </c>
      <c r="O365" s="100">
        <v>1</v>
      </c>
      <c r="P365" s="100">
        <v>3.38</v>
      </c>
      <c r="Q365" s="100">
        <v>35.58</v>
      </c>
      <c r="R365" s="100">
        <v>3</v>
      </c>
      <c r="S365" s="100">
        <v>1</v>
      </c>
      <c r="T365" s="100">
        <v>0</v>
      </c>
      <c r="U365" s="100">
        <v>0</v>
      </c>
      <c r="V365" s="100">
        <v>0</v>
      </c>
      <c r="W365" s="100">
        <v>1</v>
      </c>
      <c r="X365" s="100">
        <v>0</v>
      </c>
      <c r="Y365" s="100">
        <v>0</v>
      </c>
      <c r="Z365" s="100">
        <v>1</v>
      </c>
      <c r="AA365" s="100">
        <v>0</v>
      </c>
      <c r="AB365" s="100">
        <v>0</v>
      </c>
      <c r="AC365" s="100">
        <v>1</v>
      </c>
      <c r="AD365" s="100">
        <v>0</v>
      </c>
      <c r="AE365" s="100">
        <v>0</v>
      </c>
      <c r="AF365" s="100">
        <v>0</v>
      </c>
      <c r="AG365" s="100">
        <v>1</v>
      </c>
      <c r="AH365" s="100">
        <v>0</v>
      </c>
      <c r="AI365" s="100">
        <v>1</v>
      </c>
      <c r="AJ365" s="100">
        <v>0</v>
      </c>
      <c r="AK365" s="100">
        <v>0</v>
      </c>
      <c r="AL365" s="100">
        <v>0</v>
      </c>
      <c r="AM365" s="100">
        <v>0</v>
      </c>
      <c r="AN365" s="100">
        <v>0</v>
      </c>
      <c r="AO365" s="100">
        <v>0</v>
      </c>
      <c r="AP365" s="100">
        <v>0</v>
      </c>
      <c r="AQ365" s="100">
        <v>0</v>
      </c>
      <c r="AR365" s="100">
        <v>0</v>
      </c>
      <c r="AS365" s="100">
        <v>0</v>
      </c>
      <c r="AT365" s="100">
        <v>1</v>
      </c>
      <c r="AU365" s="100">
        <v>0</v>
      </c>
      <c r="AV365" s="100">
        <v>0</v>
      </c>
      <c r="AW365" s="100">
        <v>0</v>
      </c>
      <c r="AX365" s="100">
        <v>0</v>
      </c>
      <c r="AY365" s="100">
        <v>0</v>
      </c>
      <c r="AZ365" s="100">
        <v>0</v>
      </c>
      <c r="BA365" s="100">
        <v>0</v>
      </c>
      <c r="BB365" s="100">
        <v>0</v>
      </c>
      <c r="BC365" s="100">
        <v>0</v>
      </c>
      <c r="BD365" s="100">
        <v>0</v>
      </c>
      <c r="BE365" s="100">
        <v>0</v>
      </c>
      <c r="BF365" s="100">
        <v>0</v>
      </c>
      <c r="BG365" s="100">
        <v>0</v>
      </c>
      <c r="BH365" s="100">
        <v>1</v>
      </c>
      <c r="BI365" s="100">
        <v>0</v>
      </c>
      <c r="BJ365" s="100">
        <v>2</v>
      </c>
      <c r="BK365" s="100">
        <v>0</v>
      </c>
      <c r="BL365" s="100">
        <v>0</v>
      </c>
      <c r="BM365" s="100">
        <v>0</v>
      </c>
      <c r="BN365" s="100">
        <v>0</v>
      </c>
      <c r="BO365" s="100">
        <v>0</v>
      </c>
      <c r="BP365" s="100">
        <v>0</v>
      </c>
      <c r="BQ365" s="100">
        <v>0</v>
      </c>
      <c r="BR365" s="100">
        <v>0</v>
      </c>
      <c r="BS365" s="100">
        <v>0</v>
      </c>
      <c r="BT365" s="100">
        <v>0</v>
      </c>
      <c r="BU365" s="100">
        <v>0</v>
      </c>
      <c r="BV365" s="100">
        <v>0</v>
      </c>
      <c r="BW365" s="100">
        <v>0</v>
      </c>
      <c r="BX365" s="100">
        <v>1</v>
      </c>
      <c r="BY365" s="100">
        <v>0</v>
      </c>
      <c r="BZ365" s="100">
        <v>1</v>
      </c>
      <c r="CA365" s="100">
        <v>0</v>
      </c>
      <c r="CB365" s="100" t="s">
        <v>2091</v>
      </c>
      <c r="CC365" s="100">
        <v>0</v>
      </c>
      <c r="CD365" s="100">
        <v>1</v>
      </c>
      <c r="CE365" s="100">
        <v>0</v>
      </c>
      <c r="CF365" s="100">
        <v>0</v>
      </c>
      <c r="CG365" s="103">
        <v>661222.64194</v>
      </c>
      <c r="CH365" s="103">
        <v>34.57</v>
      </c>
      <c r="CI365" s="103">
        <v>4872304.5778200002</v>
      </c>
      <c r="CJ365" s="103">
        <v>34.78</v>
      </c>
      <c r="CK365" s="103">
        <f t="shared" si="20"/>
        <v>1202.3446000000001</v>
      </c>
      <c r="CL365" s="103">
        <v>631964.4</v>
      </c>
      <c r="CM365" s="103">
        <v>224619.7</v>
      </c>
      <c r="CN365" s="104">
        <v>2.8134860833666862</v>
      </c>
      <c r="CO365" s="103">
        <v>213149.08108999999</v>
      </c>
      <c r="CP365" s="103">
        <v>10.89</v>
      </c>
      <c r="CQ365" s="103">
        <v>1935830.3056999999</v>
      </c>
      <c r="CR365" s="103">
        <v>11.74</v>
      </c>
      <c r="CS365" s="103">
        <f t="shared" si="21"/>
        <v>127.8486</v>
      </c>
      <c r="CT365" s="103">
        <v>305935.90000000002</v>
      </c>
      <c r="CU365" s="103">
        <v>404248</v>
      </c>
      <c r="CV365" s="104">
        <v>0.75680250737171251</v>
      </c>
      <c r="CW365" s="103">
        <v>769948.76687000005</v>
      </c>
      <c r="CX365" s="103">
        <v>49.16</v>
      </c>
      <c r="CY365" s="103">
        <v>5349059.9201499997</v>
      </c>
      <c r="CZ365" s="103">
        <v>57.791639308382585</v>
      </c>
      <c r="DA365" s="103">
        <f t="shared" si="22"/>
        <v>2841.0369884000875</v>
      </c>
      <c r="DB365" s="103">
        <v>127082.8</v>
      </c>
      <c r="DC365" s="103">
        <v>43704.1</v>
      </c>
      <c r="DD365" s="104">
        <v>2.9078004123182954</v>
      </c>
      <c r="DE365" s="103">
        <v>24683.792000000001</v>
      </c>
      <c r="DF365" s="103">
        <v>1.1000000000000001</v>
      </c>
      <c r="DG365" s="103">
        <v>914028.16981999995</v>
      </c>
      <c r="DH365" s="103">
        <v>0</v>
      </c>
      <c r="DI365" s="103">
        <f t="shared" si="23"/>
        <v>0</v>
      </c>
      <c r="DJ365" s="103">
        <v>203997.8</v>
      </c>
      <c r="DK365" s="103">
        <v>643706.6</v>
      </c>
      <c r="DL365" s="104">
        <v>0.31691115175764861</v>
      </c>
    </row>
    <row r="366" spans="1:116" s="15" customFormat="1" ht="264.95" customHeight="1" x14ac:dyDescent="0.25">
      <c r="A366" s="100" t="s">
        <v>450</v>
      </c>
      <c r="B366" s="100" t="s">
        <v>2815</v>
      </c>
      <c r="C366" s="100" t="s">
        <v>279</v>
      </c>
      <c r="D366" s="101" t="str">
        <f>"Chemistry 33"</f>
        <v>Chemistry 33</v>
      </c>
      <c r="E366" s="102" t="s">
        <v>2816</v>
      </c>
      <c r="F366" s="100">
        <v>22</v>
      </c>
      <c r="G366" s="100">
        <v>6</v>
      </c>
      <c r="H366" s="100">
        <v>0.27</v>
      </c>
      <c r="I366" s="100">
        <v>31</v>
      </c>
      <c r="J366" s="100">
        <v>9</v>
      </c>
      <c r="K366" s="100">
        <v>9</v>
      </c>
      <c r="L366" s="100">
        <v>7</v>
      </c>
      <c r="M366" s="100">
        <v>4</v>
      </c>
      <c r="N366" s="100">
        <v>6</v>
      </c>
      <c r="O366" s="100">
        <v>2</v>
      </c>
      <c r="P366" s="100">
        <v>1.52</v>
      </c>
      <c r="Q366" s="100">
        <v>98.37</v>
      </c>
      <c r="R366" s="100">
        <v>5</v>
      </c>
      <c r="S366" s="100">
        <v>1</v>
      </c>
      <c r="T366" s="100">
        <v>0</v>
      </c>
      <c r="U366" s="100">
        <v>0</v>
      </c>
      <c r="V366" s="100">
        <v>1</v>
      </c>
      <c r="W366" s="100">
        <v>0</v>
      </c>
      <c r="X366" s="100">
        <v>0</v>
      </c>
      <c r="Y366" s="100">
        <v>1</v>
      </c>
      <c r="Z366" s="100">
        <v>0</v>
      </c>
      <c r="AA366" s="100">
        <v>0</v>
      </c>
      <c r="AB366" s="100">
        <v>1</v>
      </c>
      <c r="AC366" s="100">
        <v>0</v>
      </c>
      <c r="AD366" s="100">
        <v>0</v>
      </c>
      <c r="AE366" s="100">
        <v>0</v>
      </c>
      <c r="AF366" s="100">
        <v>1</v>
      </c>
      <c r="AG366" s="100">
        <v>0</v>
      </c>
      <c r="AH366" s="100">
        <v>0</v>
      </c>
      <c r="AI366" s="100">
        <v>0</v>
      </c>
      <c r="AJ366" s="100">
        <v>1</v>
      </c>
      <c r="AK366" s="100">
        <v>0</v>
      </c>
      <c r="AL366" s="100">
        <v>0</v>
      </c>
      <c r="AM366" s="100">
        <v>0</v>
      </c>
      <c r="AN366" s="100">
        <v>1</v>
      </c>
      <c r="AO366" s="100">
        <v>1</v>
      </c>
      <c r="AP366" s="100">
        <v>0</v>
      </c>
      <c r="AQ366" s="100">
        <v>0</v>
      </c>
      <c r="AR366" s="100">
        <v>0</v>
      </c>
      <c r="AS366" s="100">
        <v>0</v>
      </c>
      <c r="AT366" s="100">
        <v>1</v>
      </c>
      <c r="AU366" s="100">
        <v>0</v>
      </c>
      <c r="AV366" s="100">
        <v>0</v>
      </c>
      <c r="AW366" s="100">
        <v>0</v>
      </c>
      <c r="AX366" s="100">
        <v>0</v>
      </c>
      <c r="AY366" s="100">
        <v>0</v>
      </c>
      <c r="AZ366" s="100">
        <v>0</v>
      </c>
      <c r="BA366" s="100">
        <v>0</v>
      </c>
      <c r="BB366" s="100">
        <v>0</v>
      </c>
      <c r="BC366" s="100">
        <v>0</v>
      </c>
      <c r="BD366" s="100">
        <v>0</v>
      </c>
      <c r="BE366" s="100">
        <v>0</v>
      </c>
      <c r="BF366" s="100">
        <v>0</v>
      </c>
      <c r="BG366" s="100">
        <v>0</v>
      </c>
      <c r="BH366" s="100">
        <v>0</v>
      </c>
      <c r="BI366" s="100">
        <v>0</v>
      </c>
      <c r="BJ366" s="100">
        <v>1</v>
      </c>
      <c r="BK366" s="100">
        <v>0</v>
      </c>
      <c r="BL366" s="100">
        <v>1</v>
      </c>
      <c r="BM366" s="100">
        <v>0</v>
      </c>
      <c r="BN366" s="100">
        <v>0</v>
      </c>
      <c r="BO366" s="100">
        <v>0</v>
      </c>
      <c r="BP366" s="100">
        <v>0</v>
      </c>
      <c r="BQ366" s="100">
        <v>0</v>
      </c>
      <c r="BR366" s="100">
        <v>0</v>
      </c>
      <c r="BS366" s="100">
        <v>0</v>
      </c>
      <c r="BT366" s="100">
        <v>0</v>
      </c>
      <c r="BU366" s="100">
        <v>0</v>
      </c>
      <c r="BV366" s="100">
        <v>1</v>
      </c>
      <c r="BW366" s="100">
        <v>1</v>
      </c>
      <c r="BX366" s="100">
        <v>0</v>
      </c>
      <c r="BY366" s="100">
        <v>0</v>
      </c>
      <c r="BZ366" s="100">
        <v>0</v>
      </c>
      <c r="CA366" s="100">
        <v>1</v>
      </c>
      <c r="CB366" s="100" t="s">
        <v>2090</v>
      </c>
      <c r="CC366" s="100">
        <v>0</v>
      </c>
      <c r="CD366" s="100">
        <v>0</v>
      </c>
      <c r="CE366" s="100">
        <v>0</v>
      </c>
      <c r="CF366" s="100">
        <v>0</v>
      </c>
      <c r="CG366" s="103">
        <v>274553.91363000002</v>
      </c>
      <c r="CH366" s="103">
        <v>8.23</v>
      </c>
      <c r="CI366" s="103">
        <v>1719297.3215900001</v>
      </c>
      <c r="CJ366" s="103">
        <v>17.350000000000001</v>
      </c>
      <c r="CK366" s="103">
        <f t="shared" si="20"/>
        <v>142.79050000000001</v>
      </c>
      <c r="CL366" s="103">
        <v>84054.8</v>
      </c>
      <c r="CM366" s="103">
        <v>77217.100000000006</v>
      </c>
      <c r="CN366" s="104">
        <v>1.0885516291080601</v>
      </c>
      <c r="CO366" s="103">
        <v>54885.518949999998</v>
      </c>
      <c r="CP366" s="103">
        <v>1.49</v>
      </c>
      <c r="CQ366" s="103">
        <v>525758.88841000001</v>
      </c>
      <c r="CR366" s="103">
        <v>4.08</v>
      </c>
      <c r="CS366" s="103">
        <f t="shared" si="21"/>
        <v>6.0792000000000002</v>
      </c>
      <c r="CT366" s="103">
        <v>11114.5</v>
      </c>
      <c r="CU366" s="103">
        <v>47858.7</v>
      </c>
      <c r="CV366" s="104">
        <v>0.23223572725544156</v>
      </c>
      <c r="CW366" s="103">
        <v>198018.45408</v>
      </c>
      <c r="CX366" s="103">
        <v>8</v>
      </c>
      <c r="CY366" s="103">
        <v>594726.81033999997</v>
      </c>
      <c r="CZ366" s="103">
        <v>9.4279661016949152</v>
      </c>
      <c r="DA366" s="103">
        <f t="shared" si="22"/>
        <v>75.423728813559322</v>
      </c>
      <c r="DB366" s="103">
        <v>19593.7</v>
      </c>
      <c r="DC366" s="103">
        <v>19697.900000000001</v>
      </c>
      <c r="DD366" s="104">
        <v>0.9947100960000812</v>
      </c>
      <c r="DE366" s="103">
        <v>18882.176159999999</v>
      </c>
      <c r="DF366" s="103">
        <v>0.61</v>
      </c>
      <c r="DG366" s="103">
        <v>281100.71098999999</v>
      </c>
      <c r="DH366" s="103">
        <v>2.52</v>
      </c>
      <c r="DI366" s="103">
        <f t="shared" si="23"/>
        <v>1.5371999999999999</v>
      </c>
      <c r="DJ366" s="103">
        <v>11442.2</v>
      </c>
      <c r="DK366" s="103">
        <v>91469.4</v>
      </c>
      <c r="DL366" s="104">
        <v>0.12509320056762155</v>
      </c>
    </row>
    <row r="367" spans="1:116" s="15" customFormat="1" ht="265.7" customHeight="1" x14ac:dyDescent="0.25">
      <c r="A367" s="100" t="s">
        <v>451</v>
      </c>
      <c r="B367" s="100" t="s">
        <v>2817</v>
      </c>
      <c r="C367" s="100" t="s">
        <v>279</v>
      </c>
      <c r="D367" s="101" t="str">
        <f>"Chemistry 41"</f>
        <v>Chemistry 41</v>
      </c>
      <c r="E367" s="102" t="s">
        <v>2818</v>
      </c>
      <c r="F367" s="100">
        <v>23</v>
      </c>
      <c r="G367" s="100">
        <v>10</v>
      </c>
      <c r="H367" s="100">
        <v>0.43</v>
      </c>
      <c r="I367" s="100">
        <v>31</v>
      </c>
      <c r="J367" s="100">
        <v>8</v>
      </c>
      <c r="K367" s="100">
        <v>8</v>
      </c>
      <c r="L367" s="100">
        <v>5</v>
      </c>
      <c r="M367" s="100">
        <v>3</v>
      </c>
      <c r="N367" s="100">
        <v>7</v>
      </c>
      <c r="O367" s="100">
        <v>3</v>
      </c>
      <c r="P367" s="100">
        <v>3.86</v>
      </c>
      <c r="Q367" s="100">
        <v>92.19</v>
      </c>
      <c r="R367" s="100">
        <v>6</v>
      </c>
      <c r="S367" s="100">
        <v>1</v>
      </c>
      <c r="T367" s="100">
        <v>0</v>
      </c>
      <c r="U367" s="100">
        <v>0</v>
      </c>
      <c r="V367" s="100">
        <v>1</v>
      </c>
      <c r="W367" s="100">
        <v>0</v>
      </c>
      <c r="X367" s="100">
        <v>0</v>
      </c>
      <c r="Y367" s="100">
        <v>1</v>
      </c>
      <c r="Z367" s="100">
        <v>0</v>
      </c>
      <c r="AA367" s="100">
        <v>0</v>
      </c>
      <c r="AB367" s="100">
        <v>1</v>
      </c>
      <c r="AC367" s="100">
        <v>0</v>
      </c>
      <c r="AD367" s="100">
        <v>0</v>
      </c>
      <c r="AE367" s="100">
        <v>0</v>
      </c>
      <c r="AF367" s="100">
        <v>0</v>
      </c>
      <c r="AG367" s="100">
        <v>1</v>
      </c>
      <c r="AH367" s="100">
        <v>0</v>
      </c>
      <c r="AI367" s="100">
        <v>0</v>
      </c>
      <c r="AJ367" s="100">
        <v>1</v>
      </c>
      <c r="AK367" s="100">
        <v>0</v>
      </c>
      <c r="AL367" s="100">
        <v>0</v>
      </c>
      <c r="AM367" s="100">
        <v>0</v>
      </c>
      <c r="AN367" s="100">
        <v>1</v>
      </c>
      <c r="AO367" s="100">
        <v>1</v>
      </c>
      <c r="AP367" s="100">
        <v>1</v>
      </c>
      <c r="AQ367" s="100">
        <v>0</v>
      </c>
      <c r="AR367" s="100">
        <v>0</v>
      </c>
      <c r="AS367" s="100">
        <v>0</v>
      </c>
      <c r="AT367" s="100">
        <v>0</v>
      </c>
      <c r="AU367" s="100">
        <v>1</v>
      </c>
      <c r="AV367" s="100">
        <v>0</v>
      </c>
      <c r="AW367" s="100">
        <v>0</v>
      </c>
      <c r="AX367" s="100">
        <v>0</v>
      </c>
      <c r="AY367" s="100">
        <v>0</v>
      </c>
      <c r="AZ367" s="100">
        <v>0</v>
      </c>
      <c r="BA367" s="100">
        <v>0</v>
      </c>
      <c r="BB367" s="100">
        <v>0</v>
      </c>
      <c r="BC367" s="100">
        <v>0</v>
      </c>
      <c r="BD367" s="100">
        <v>0</v>
      </c>
      <c r="BE367" s="100">
        <v>0</v>
      </c>
      <c r="BF367" s="100">
        <v>0</v>
      </c>
      <c r="BG367" s="100">
        <v>0</v>
      </c>
      <c r="BH367" s="100">
        <v>0</v>
      </c>
      <c r="BI367" s="100">
        <v>0</v>
      </c>
      <c r="BJ367" s="100">
        <v>2</v>
      </c>
      <c r="BK367" s="100">
        <v>0</v>
      </c>
      <c r="BL367" s="100">
        <v>0</v>
      </c>
      <c r="BM367" s="100">
        <v>1</v>
      </c>
      <c r="BN367" s="100">
        <v>0</v>
      </c>
      <c r="BO367" s="100">
        <v>0</v>
      </c>
      <c r="BP367" s="100">
        <v>0</v>
      </c>
      <c r="BQ367" s="100">
        <v>0</v>
      </c>
      <c r="BR367" s="100">
        <v>0</v>
      </c>
      <c r="BS367" s="100">
        <v>0</v>
      </c>
      <c r="BT367" s="100">
        <v>0</v>
      </c>
      <c r="BU367" s="100">
        <v>0</v>
      </c>
      <c r="BV367" s="100">
        <v>1</v>
      </c>
      <c r="BW367" s="100">
        <v>1</v>
      </c>
      <c r="BX367" s="100">
        <v>0</v>
      </c>
      <c r="BY367" s="100">
        <v>0</v>
      </c>
      <c r="BZ367" s="100">
        <v>0</v>
      </c>
      <c r="CA367" s="100">
        <v>1</v>
      </c>
      <c r="CB367" s="100" t="s">
        <v>2090</v>
      </c>
      <c r="CC367" s="100">
        <v>0</v>
      </c>
      <c r="CD367" s="100">
        <v>0</v>
      </c>
      <c r="CE367" s="100">
        <v>0</v>
      </c>
      <c r="CF367" s="100">
        <v>0</v>
      </c>
      <c r="CG367" s="103">
        <v>579270.34912999999</v>
      </c>
      <c r="CH367" s="103">
        <v>18.96</v>
      </c>
      <c r="CI367" s="103">
        <v>2655317.39378</v>
      </c>
      <c r="CJ367" s="103">
        <v>27.97</v>
      </c>
      <c r="CK367" s="103">
        <f t="shared" si="20"/>
        <v>530.31119999999999</v>
      </c>
      <c r="CL367" s="103">
        <v>86937</v>
      </c>
      <c r="CM367" s="103">
        <v>375760.9</v>
      </c>
      <c r="CN367" s="104">
        <v>0.23136254996195718</v>
      </c>
      <c r="CO367" s="103">
        <v>55251.81338</v>
      </c>
      <c r="CP367" s="103">
        <v>1.34</v>
      </c>
      <c r="CQ367" s="103">
        <v>738301.59213999996</v>
      </c>
      <c r="CR367" s="103">
        <v>6.25</v>
      </c>
      <c r="CS367" s="103">
        <f t="shared" si="21"/>
        <v>8.375</v>
      </c>
      <c r="CT367" s="103">
        <v>7899.1</v>
      </c>
      <c r="CU367" s="103">
        <v>204409.3</v>
      </c>
      <c r="CV367" s="104">
        <v>3.8643545083320574E-2</v>
      </c>
      <c r="CW367" s="103">
        <v>146231.71919999999</v>
      </c>
      <c r="CX367" s="103">
        <v>4.83</v>
      </c>
      <c r="CY367" s="103">
        <v>647962.66581000003</v>
      </c>
      <c r="CZ367" s="103">
        <v>15.40546645583917</v>
      </c>
      <c r="DA367" s="103">
        <f t="shared" si="22"/>
        <v>74.40840298170319</v>
      </c>
      <c r="DB367" s="103">
        <v>4896.1000000000004</v>
      </c>
      <c r="DC367" s="103">
        <v>107898.6</v>
      </c>
      <c r="DD367" s="104">
        <v>4.5376863091828812E-2</v>
      </c>
      <c r="DE367" s="103">
        <v>69262.396170000007</v>
      </c>
      <c r="DF367" s="103">
        <v>1.98</v>
      </c>
      <c r="DG367" s="103">
        <v>747598.86242000002</v>
      </c>
      <c r="DH367" s="103">
        <v>5.6899999999999995</v>
      </c>
      <c r="DI367" s="103">
        <f t="shared" si="23"/>
        <v>11.2662</v>
      </c>
      <c r="DJ367" s="103">
        <v>11688.3</v>
      </c>
      <c r="DK367" s="103">
        <v>226925.5</v>
      </c>
      <c r="DL367" s="104">
        <v>5.1507212719592993E-2</v>
      </c>
    </row>
    <row r="368" spans="1:116" s="15" customFormat="1" ht="265.7" customHeight="1" x14ac:dyDescent="0.25">
      <c r="A368" s="100" t="s">
        <v>452</v>
      </c>
      <c r="B368" s="100" t="s">
        <v>2819</v>
      </c>
      <c r="C368" s="100" t="s">
        <v>279</v>
      </c>
      <c r="D368" s="101" t="str">
        <f>"Chemistry 44"</f>
        <v>Chemistry 44</v>
      </c>
      <c r="E368" s="102" t="s">
        <v>2820</v>
      </c>
      <c r="F368" s="100">
        <v>27</v>
      </c>
      <c r="G368" s="100">
        <v>12</v>
      </c>
      <c r="H368" s="100">
        <v>0.44</v>
      </c>
      <c r="I368" s="100">
        <v>35</v>
      </c>
      <c r="J368" s="100">
        <v>8</v>
      </c>
      <c r="K368" s="100">
        <v>8</v>
      </c>
      <c r="L368" s="100">
        <v>4</v>
      </c>
      <c r="M368" s="100">
        <v>2</v>
      </c>
      <c r="N368" s="100">
        <v>5</v>
      </c>
      <c r="O368" s="100">
        <v>1</v>
      </c>
      <c r="P368" s="100">
        <v>4.9000000000000004</v>
      </c>
      <c r="Q368" s="100">
        <v>82.19</v>
      </c>
      <c r="R368" s="100">
        <v>6</v>
      </c>
      <c r="S368" s="100">
        <v>1</v>
      </c>
      <c r="T368" s="100">
        <v>0</v>
      </c>
      <c r="U368" s="100">
        <v>0</v>
      </c>
      <c r="V368" s="100">
        <v>1</v>
      </c>
      <c r="W368" s="100">
        <v>0</v>
      </c>
      <c r="X368" s="100">
        <v>0</v>
      </c>
      <c r="Y368" s="100">
        <v>0</v>
      </c>
      <c r="Z368" s="100">
        <v>1</v>
      </c>
      <c r="AA368" s="100">
        <v>0</v>
      </c>
      <c r="AB368" s="100">
        <v>1</v>
      </c>
      <c r="AC368" s="100">
        <v>0</v>
      </c>
      <c r="AD368" s="100">
        <v>0</v>
      </c>
      <c r="AE368" s="100">
        <v>0</v>
      </c>
      <c r="AF368" s="100">
        <v>0</v>
      </c>
      <c r="AG368" s="100">
        <v>1</v>
      </c>
      <c r="AH368" s="100">
        <v>0</v>
      </c>
      <c r="AI368" s="100">
        <v>0</v>
      </c>
      <c r="AJ368" s="100">
        <v>1</v>
      </c>
      <c r="AK368" s="100">
        <v>0</v>
      </c>
      <c r="AL368" s="100">
        <v>0</v>
      </c>
      <c r="AM368" s="100">
        <v>0</v>
      </c>
      <c r="AN368" s="100">
        <v>0</v>
      </c>
      <c r="AO368" s="100">
        <v>0</v>
      </c>
      <c r="AP368" s="100">
        <v>0</v>
      </c>
      <c r="AQ368" s="100">
        <v>0</v>
      </c>
      <c r="AR368" s="100">
        <v>0</v>
      </c>
      <c r="AS368" s="100">
        <v>0</v>
      </c>
      <c r="AT368" s="100">
        <v>1</v>
      </c>
      <c r="AU368" s="100">
        <v>0</v>
      </c>
      <c r="AV368" s="100">
        <v>0</v>
      </c>
      <c r="AW368" s="100">
        <v>0</v>
      </c>
      <c r="AX368" s="100">
        <v>1</v>
      </c>
      <c r="AY368" s="100">
        <v>0</v>
      </c>
      <c r="AZ368" s="100">
        <v>0</v>
      </c>
      <c r="BA368" s="100">
        <v>0</v>
      </c>
      <c r="BB368" s="100">
        <v>0</v>
      </c>
      <c r="BC368" s="100">
        <v>0</v>
      </c>
      <c r="BD368" s="100">
        <v>0</v>
      </c>
      <c r="BE368" s="100">
        <v>0</v>
      </c>
      <c r="BF368" s="100">
        <v>0</v>
      </c>
      <c r="BG368" s="100">
        <v>0</v>
      </c>
      <c r="BH368" s="100">
        <v>0</v>
      </c>
      <c r="BI368" s="100">
        <v>1</v>
      </c>
      <c r="BJ368" s="100">
        <v>3</v>
      </c>
      <c r="BK368" s="100">
        <v>0</v>
      </c>
      <c r="BL368" s="100">
        <v>0</v>
      </c>
      <c r="BM368" s="100">
        <v>0</v>
      </c>
      <c r="BN368" s="100">
        <v>0</v>
      </c>
      <c r="BO368" s="100">
        <v>0</v>
      </c>
      <c r="BP368" s="100">
        <v>0</v>
      </c>
      <c r="BQ368" s="100">
        <v>0</v>
      </c>
      <c r="BR368" s="100">
        <v>0</v>
      </c>
      <c r="BS368" s="100">
        <v>0</v>
      </c>
      <c r="BT368" s="100">
        <v>0</v>
      </c>
      <c r="BU368" s="100">
        <v>0</v>
      </c>
      <c r="BV368" s="100">
        <v>0</v>
      </c>
      <c r="BW368" s="100">
        <v>0</v>
      </c>
      <c r="BX368" s="100">
        <v>1</v>
      </c>
      <c r="BY368" s="100">
        <v>0</v>
      </c>
      <c r="BZ368" s="100">
        <v>1</v>
      </c>
      <c r="CA368" s="100">
        <v>0</v>
      </c>
      <c r="CB368" s="100" t="s">
        <v>2090</v>
      </c>
      <c r="CC368" s="100">
        <v>0</v>
      </c>
      <c r="CD368" s="100">
        <v>1</v>
      </c>
      <c r="CE368" s="100">
        <v>0</v>
      </c>
      <c r="CF368" s="100">
        <v>0</v>
      </c>
      <c r="CG368" s="103">
        <v>287232.87521000003</v>
      </c>
      <c r="CH368" s="103">
        <v>13.5</v>
      </c>
      <c r="CI368" s="103">
        <v>1537808.4042400001</v>
      </c>
      <c r="CJ368" s="103">
        <v>14.86</v>
      </c>
      <c r="CK368" s="103">
        <f t="shared" si="20"/>
        <v>200.60999999999999</v>
      </c>
      <c r="CL368" s="103">
        <v>21118</v>
      </c>
      <c r="CM368" s="103">
        <v>294079.90000000002</v>
      </c>
      <c r="CN368" s="104">
        <v>7.1810416148808537E-2</v>
      </c>
      <c r="CO368" s="103">
        <v>0</v>
      </c>
      <c r="CP368" s="103">
        <v>0</v>
      </c>
      <c r="CQ368" s="103">
        <v>9147.7834299999995</v>
      </c>
      <c r="CR368" s="103">
        <v>0</v>
      </c>
      <c r="CS368" s="103">
        <f t="shared" si="21"/>
        <v>0</v>
      </c>
      <c r="CT368" s="103">
        <v>844.9</v>
      </c>
      <c r="CU368" s="103">
        <v>237442.7</v>
      </c>
      <c r="CV368" s="104">
        <v>3.5583321786687903E-3</v>
      </c>
      <c r="CW368" s="103">
        <v>40213.123679999997</v>
      </c>
      <c r="CX368" s="103">
        <v>2.15</v>
      </c>
      <c r="CY368" s="103">
        <v>518003.87105000002</v>
      </c>
      <c r="CZ368" s="103">
        <v>4.7480403135498319</v>
      </c>
      <c r="DA368" s="103">
        <f t="shared" si="22"/>
        <v>10.208286674132138</v>
      </c>
      <c r="DB368" s="103">
        <v>4689.2</v>
      </c>
      <c r="DC368" s="103">
        <v>211053.1</v>
      </c>
      <c r="DD368" s="104">
        <v>2.2218105301462048E-2</v>
      </c>
      <c r="DE368" s="103">
        <v>0</v>
      </c>
      <c r="DF368" s="103">
        <v>0</v>
      </c>
      <c r="DG368" s="103">
        <v>11419.161270000001</v>
      </c>
      <c r="DH368" s="103">
        <v>0</v>
      </c>
      <c r="DI368" s="103">
        <f t="shared" si="23"/>
        <v>0</v>
      </c>
      <c r="DJ368" s="103">
        <v>0</v>
      </c>
      <c r="DK368" s="103">
        <v>514148.7</v>
      </c>
      <c r="DL368" s="104">
        <v>0</v>
      </c>
    </row>
    <row r="369" spans="1:116" s="15" customFormat="1" ht="265.7" customHeight="1" x14ac:dyDescent="0.25">
      <c r="A369" s="100" t="s">
        <v>453</v>
      </c>
      <c r="B369" s="100" t="s">
        <v>2821</v>
      </c>
      <c r="C369" s="100" t="s">
        <v>279</v>
      </c>
      <c r="D369" s="101" t="str">
        <f>"Chemistry 140"</f>
        <v>Chemistry 140</v>
      </c>
      <c r="E369" s="102" t="s">
        <v>2822</v>
      </c>
      <c r="F369" s="100">
        <v>26</v>
      </c>
      <c r="G369" s="100">
        <v>7</v>
      </c>
      <c r="H369" s="100">
        <v>0.27</v>
      </c>
      <c r="I369" s="100">
        <v>32</v>
      </c>
      <c r="J369" s="100">
        <v>6</v>
      </c>
      <c r="K369" s="100">
        <v>6</v>
      </c>
      <c r="L369" s="100">
        <v>6</v>
      </c>
      <c r="M369" s="100">
        <v>4</v>
      </c>
      <c r="N369" s="100">
        <v>5</v>
      </c>
      <c r="O369" s="100">
        <v>2</v>
      </c>
      <c r="P369" s="100">
        <v>4.3600000000000003</v>
      </c>
      <c r="Q369" s="100">
        <v>67.66</v>
      </c>
      <c r="R369" s="100">
        <v>6</v>
      </c>
      <c r="S369" s="100">
        <v>1</v>
      </c>
      <c r="T369" s="100">
        <v>0</v>
      </c>
      <c r="U369" s="100">
        <v>0</v>
      </c>
      <c r="V369" s="100">
        <v>1</v>
      </c>
      <c r="W369" s="100">
        <v>0</v>
      </c>
      <c r="X369" s="100">
        <v>0</v>
      </c>
      <c r="Y369" s="100">
        <v>1</v>
      </c>
      <c r="Z369" s="100">
        <v>0</v>
      </c>
      <c r="AA369" s="100">
        <v>0</v>
      </c>
      <c r="AB369" s="100">
        <v>1</v>
      </c>
      <c r="AC369" s="100">
        <v>0</v>
      </c>
      <c r="AD369" s="100">
        <v>0</v>
      </c>
      <c r="AE369" s="100">
        <v>0</v>
      </c>
      <c r="AF369" s="100">
        <v>0</v>
      </c>
      <c r="AG369" s="100">
        <v>1</v>
      </c>
      <c r="AH369" s="100">
        <v>0</v>
      </c>
      <c r="AI369" s="100">
        <v>0</v>
      </c>
      <c r="AJ369" s="100">
        <v>1</v>
      </c>
      <c r="AK369" s="100">
        <v>0</v>
      </c>
      <c r="AL369" s="100">
        <v>0</v>
      </c>
      <c r="AM369" s="100">
        <v>0</v>
      </c>
      <c r="AN369" s="100">
        <v>1</v>
      </c>
      <c r="AO369" s="100">
        <v>1</v>
      </c>
      <c r="AP369" s="100">
        <v>0</v>
      </c>
      <c r="AQ369" s="100">
        <v>0</v>
      </c>
      <c r="AR369" s="100">
        <v>0</v>
      </c>
      <c r="AS369" s="100">
        <v>0</v>
      </c>
      <c r="AT369" s="100">
        <v>0</v>
      </c>
      <c r="AU369" s="100">
        <v>1</v>
      </c>
      <c r="AV369" s="100">
        <v>0</v>
      </c>
      <c r="AW369" s="100">
        <v>0</v>
      </c>
      <c r="AX369" s="100">
        <v>0</v>
      </c>
      <c r="AY369" s="100">
        <v>0</v>
      </c>
      <c r="AZ369" s="100">
        <v>0</v>
      </c>
      <c r="BA369" s="100">
        <v>0</v>
      </c>
      <c r="BB369" s="100">
        <v>0</v>
      </c>
      <c r="BC369" s="100">
        <v>0</v>
      </c>
      <c r="BD369" s="100">
        <v>0</v>
      </c>
      <c r="BE369" s="100">
        <v>0</v>
      </c>
      <c r="BF369" s="100">
        <v>0</v>
      </c>
      <c r="BG369" s="100">
        <v>0</v>
      </c>
      <c r="BH369" s="100">
        <v>0</v>
      </c>
      <c r="BI369" s="100">
        <v>0</v>
      </c>
      <c r="BJ369" s="100">
        <v>1</v>
      </c>
      <c r="BK369" s="100">
        <v>0</v>
      </c>
      <c r="BL369" s="100">
        <v>0</v>
      </c>
      <c r="BM369" s="100">
        <v>1</v>
      </c>
      <c r="BN369" s="100">
        <v>0</v>
      </c>
      <c r="BO369" s="100">
        <v>0</v>
      </c>
      <c r="BP369" s="100">
        <v>0</v>
      </c>
      <c r="BQ369" s="100">
        <v>0</v>
      </c>
      <c r="BR369" s="100">
        <v>0</v>
      </c>
      <c r="BS369" s="100">
        <v>0</v>
      </c>
      <c r="BT369" s="100">
        <v>0</v>
      </c>
      <c r="BU369" s="100">
        <v>0</v>
      </c>
      <c r="BV369" s="100">
        <v>1</v>
      </c>
      <c r="BW369" s="100">
        <v>1</v>
      </c>
      <c r="BX369" s="100">
        <v>0</v>
      </c>
      <c r="BY369" s="100">
        <v>0</v>
      </c>
      <c r="BZ369" s="100">
        <v>0</v>
      </c>
      <c r="CA369" s="100">
        <v>1</v>
      </c>
      <c r="CB369" s="100" t="s">
        <v>2090</v>
      </c>
      <c r="CC369" s="100">
        <v>0</v>
      </c>
      <c r="CD369" s="100">
        <v>0</v>
      </c>
      <c r="CE369" s="100">
        <v>0</v>
      </c>
      <c r="CF369" s="100">
        <v>0</v>
      </c>
      <c r="CG369" s="103">
        <v>951571.62754999998</v>
      </c>
      <c r="CH369" s="103">
        <v>35.869999999999997</v>
      </c>
      <c r="CI369" s="103">
        <v>3353723.3865700001</v>
      </c>
      <c r="CJ369" s="103">
        <v>33.32</v>
      </c>
      <c r="CK369" s="103">
        <f t="shared" si="20"/>
        <v>1195.1884</v>
      </c>
      <c r="CL369" s="103">
        <v>61088.1</v>
      </c>
      <c r="CM369" s="103">
        <v>30579.1</v>
      </c>
      <c r="CN369" s="104">
        <v>1.9977075845920906</v>
      </c>
      <c r="CO369" s="103">
        <v>273683.15607999999</v>
      </c>
      <c r="CP369" s="103">
        <v>8.08</v>
      </c>
      <c r="CQ369" s="103">
        <v>2171390.0479600001</v>
      </c>
      <c r="CR369" s="103">
        <v>14.72</v>
      </c>
      <c r="CS369" s="103">
        <f t="shared" si="21"/>
        <v>118.9376</v>
      </c>
      <c r="CT369" s="103">
        <v>88352.3</v>
      </c>
      <c r="CU369" s="103">
        <v>68920.7</v>
      </c>
      <c r="CV369" s="104">
        <v>1.2819414196315477</v>
      </c>
      <c r="CW369" s="103">
        <v>447499.24017</v>
      </c>
      <c r="CX369" s="103">
        <v>15.92</v>
      </c>
      <c r="CY369" s="103">
        <v>2710115.16194</v>
      </c>
      <c r="CZ369" s="103">
        <v>28.731301939058174</v>
      </c>
      <c r="DA369" s="103">
        <f t="shared" si="22"/>
        <v>457.40232686980613</v>
      </c>
      <c r="DB369" s="103">
        <v>214363.1</v>
      </c>
      <c r="DC369" s="103">
        <v>143156.29999999999</v>
      </c>
      <c r="DD369" s="104">
        <v>1.4974059821328158</v>
      </c>
      <c r="DE369" s="103">
        <v>364024.72587999998</v>
      </c>
      <c r="DF369" s="103">
        <v>10.56</v>
      </c>
      <c r="DG369" s="103">
        <v>2188632.7150699999</v>
      </c>
      <c r="DH369" s="103">
        <v>14.51</v>
      </c>
      <c r="DI369" s="103">
        <f t="shared" si="23"/>
        <v>153.22560000000001</v>
      </c>
      <c r="DJ369" s="103">
        <v>127739.1</v>
      </c>
      <c r="DK369" s="103">
        <v>209094.1</v>
      </c>
      <c r="DL369" s="104">
        <v>0.61091680731307096</v>
      </c>
    </row>
    <row r="370" spans="1:116" s="15" customFormat="1" ht="265.7" customHeight="1" x14ac:dyDescent="0.25">
      <c r="A370" s="100" t="s">
        <v>454</v>
      </c>
      <c r="B370" s="100" t="s">
        <v>2823</v>
      </c>
      <c r="C370" s="100" t="s">
        <v>279</v>
      </c>
      <c r="D370" s="101" t="str">
        <f>"Chemistry 1"</f>
        <v>Chemistry 1</v>
      </c>
      <c r="E370" s="102" t="s">
        <v>2824</v>
      </c>
      <c r="F370" s="100">
        <v>19</v>
      </c>
      <c r="G370" s="100">
        <v>7</v>
      </c>
      <c r="H370" s="100">
        <v>0.37</v>
      </c>
      <c r="I370" s="100">
        <v>29</v>
      </c>
      <c r="J370" s="100">
        <v>10</v>
      </c>
      <c r="K370" s="100">
        <v>8</v>
      </c>
      <c r="L370" s="100">
        <v>7</v>
      </c>
      <c r="M370" s="100">
        <v>3</v>
      </c>
      <c r="N370" s="100">
        <v>7</v>
      </c>
      <c r="O370" s="100">
        <v>2</v>
      </c>
      <c r="P370" s="100">
        <v>1.9</v>
      </c>
      <c r="Q370" s="100">
        <v>89.78</v>
      </c>
      <c r="R370" s="100">
        <v>6</v>
      </c>
      <c r="S370" s="100">
        <v>1</v>
      </c>
      <c r="T370" s="100">
        <v>0</v>
      </c>
      <c r="U370" s="100">
        <v>0</v>
      </c>
      <c r="V370" s="100">
        <v>1</v>
      </c>
      <c r="W370" s="100">
        <v>0</v>
      </c>
      <c r="X370" s="100">
        <v>0</v>
      </c>
      <c r="Y370" s="100">
        <v>1</v>
      </c>
      <c r="Z370" s="100">
        <v>0</v>
      </c>
      <c r="AA370" s="100">
        <v>0</v>
      </c>
      <c r="AB370" s="100">
        <v>1</v>
      </c>
      <c r="AC370" s="100">
        <v>0</v>
      </c>
      <c r="AD370" s="100">
        <v>0</v>
      </c>
      <c r="AE370" s="100">
        <v>0</v>
      </c>
      <c r="AF370" s="100">
        <v>0</v>
      </c>
      <c r="AG370" s="100">
        <v>1</v>
      </c>
      <c r="AH370" s="100">
        <v>0</v>
      </c>
      <c r="AI370" s="100">
        <v>0</v>
      </c>
      <c r="AJ370" s="100">
        <v>1</v>
      </c>
      <c r="AK370" s="100">
        <v>0</v>
      </c>
      <c r="AL370" s="100">
        <v>0</v>
      </c>
      <c r="AM370" s="100">
        <v>0</v>
      </c>
      <c r="AN370" s="100">
        <v>1</v>
      </c>
      <c r="AO370" s="100">
        <v>1</v>
      </c>
      <c r="AP370" s="100">
        <v>0</v>
      </c>
      <c r="AQ370" s="100">
        <v>0</v>
      </c>
      <c r="AR370" s="100">
        <v>0</v>
      </c>
      <c r="AS370" s="100">
        <v>0</v>
      </c>
      <c r="AT370" s="100">
        <v>0</v>
      </c>
      <c r="AU370" s="100">
        <v>1</v>
      </c>
      <c r="AV370" s="100">
        <v>0</v>
      </c>
      <c r="AW370" s="100">
        <v>0</v>
      </c>
      <c r="AX370" s="100">
        <v>0</v>
      </c>
      <c r="AY370" s="100">
        <v>0</v>
      </c>
      <c r="AZ370" s="100">
        <v>0</v>
      </c>
      <c r="BA370" s="100">
        <v>0</v>
      </c>
      <c r="BB370" s="100">
        <v>0</v>
      </c>
      <c r="BC370" s="100">
        <v>0</v>
      </c>
      <c r="BD370" s="100">
        <v>0</v>
      </c>
      <c r="BE370" s="100">
        <v>0</v>
      </c>
      <c r="BF370" s="100">
        <v>0</v>
      </c>
      <c r="BG370" s="100">
        <v>0</v>
      </c>
      <c r="BH370" s="100">
        <v>0</v>
      </c>
      <c r="BI370" s="100">
        <v>0</v>
      </c>
      <c r="BJ370" s="100">
        <v>1</v>
      </c>
      <c r="BK370" s="100">
        <v>0</v>
      </c>
      <c r="BL370" s="100">
        <v>0</v>
      </c>
      <c r="BM370" s="100">
        <v>1</v>
      </c>
      <c r="BN370" s="100">
        <v>0</v>
      </c>
      <c r="BO370" s="100">
        <v>0</v>
      </c>
      <c r="BP370" s="100">
        <v>0</v>
      </c>
      <c r="BQ370" s="100">
        <v>0</v>
      </c>
      <c r="BR370" s="100">
        <v>0</v>
      </c>
      <c r="BS370" s="100">
        <v>0</v>
      </c>
      <c r="BT370" s="100">
        <v>0</v>
      </c>
      <c r="BU370" s="100">
        <v>0</v>
      </c>
      <c r="BV370" s="100">
        <v>1</v>
      </c>
      <c r="BW370" s="100">
        <v>0</v>
      </c>
      <c r="BX370" s="100">
        <v>0</v>
      </c>
      <c r="BY370" s="100">
        <v>1</v>
      </c>
      <c r="BZ370" s="100">
        <v>1</v>
      </c>
      <c r="CA370" s="100">
        <v>0</v>
      </c>
      <c r="CB370" s="100" t="s">
        <v>2090</v>
      </c>
      <c r="CC370" s="100">
        <v>0</v>
      </c>
      <c r="CD370" s="100">
        <v>0</v>
      </c>
      <c r="CE370" s="100">
        <v>0</v>
      </c>
      <c r="CF370" s="100">
        <v>0</v>
      </c>
      <c r="CG370" s="103">
        <v>152760.24382</v>
      </c>
      <c r="CH370" s="103">
        <v>6.04</v>
      </c>
      <c r="CI370" s="103">
        <v>1041372.37638</v>
      </c>
      <c r="CJ370" s="103">
        <v>10.39</v>
      </c>
      <c r="CK370" s="103">
        <f t="shared" si="20"/>
        <v>62.755600000000001</v>
      </c>
      <c r="CL370" s="103">
        <v>12469.4</v>
      </c>
      <c r="CM370" s="103">
        <v>58145.3</v>
      </c>
      <c r="CN370" s="104">
        <v>0.21445241489853864</v>
      </c>
      <c r="CO370" s="103">
        <v>0</v>
      </c>
      <c r="CP370" s="103">
        <v>0</v>
      </c>
      <c r="CQ370" s="103">
        <v>0</v>
      </c>
      <c r="CR370" s="103">
        <v>0</v>
      </c>
      <c r="CS370" s="103">
        <f t="shared" si="21"/>
        <v>0</v>
      </c>
      <c r="CT370" s="103">
        <v>1460.5</v>
      </c>
      <c r="CU370" s="103">
        <v>83337.600000000006</v>
      </c>
      <c r="CV370" s="104">
        <v>1.7525102714741003E-2</v>
      </c>
      <c r="CW370" s="103">
        <v>0</v>
      </c>
      <c r="CX370" s="103">
        <v>0</v>
      </c>
      <c r="CY370" s="103">
        <v>0</v>
      </c>
      <c r="CZ370" s="103">
        <v>0</v>
      </c>
      <c r="DA370" s="103">
        <f t="shared" si="22"/>
        <v>0</v>
      </c>
      <c r="DB370" s="103">
        <v>3055.5</v>
      </c>
      <c r="DC370" s="103">
        <v>49726.400000000001</v>
      </c>
      <c r="DD370" s="104">
        <v>6.1446233791306024E-2</v>
      </c>
      <c r="DE370" s="103">
        <v>0</v>
      </c>
      <c r="DF370" s="103">
        <v>0</v>
      </c>
      <c r="DG370" s="103">
        <v>0</v>
      </c>
      <c r="DH370" s="103">
        <v>0</v>
      </c>
      <c r="DI370" s="103">
        <f t="shared" si="23"/>
        <v>0</v>
      </c>
      <c r="DJ370" s="103">
        <v>1374</v>
      </c>
      <c r="DK370" s="103">
        <v>17690</v>
      </c>
      <c r="DL370" s="104">
        <v>7.7671000565291123E-2</v>
      </c>
    </row>
    <row r="371" spans="1:116" s="15" customFormat="1" ht="265.7" customHeight="1" x14ac:dyDescent="0.25">
      <c r="A371" s="100" t="s">
        <v>455</v>
      </c>
      <c r="B371" s="100" t="s">
        <v>2825</v>
      </c>
      <c r="C371" s="100" t="s">
        <v>279</v>
      </c>
      <c r="D371" s="101" t="str">
        <f>"Chemistry 25"</f>
        <v>Chemistry 25</v>
      </c>
      <c r="E371" s="102" t="s">
        <v>2826</v>
      </c>
      <c r="F371" s="100">
        <v>28</v>
      </c>
      <c r="G371" s="100">
        <v>18</v>
      </c>
      <c r="H371" s="100">
        <v>0.64</v>
      </c>
      <c r="I371" s="100">
        <v>35</v>
      </c>
      <c r="J371" s="100">
        <v>7</v>
      </c>
      <c r="K371" s="100">
        <v>7</v>
      </c>
      <c r="L371" s="100">
        <v>4</v>
      </c>
      <c r="M371" s="100">
        <v>1</v>
      </c>
      <c r="N371" s="100">
        <v>5</v>
      </c>
      <c r="O371" s="100">
        <v>1</v>
      </c>
      <c r="P371" s="100">
        <v>1.95</v>
      </c>
      <c r="Q371" s="100">
        <v>65.12</v>
      </c>
      <c r="R371" s="100">
        <v>6</v>
      </c>
      <c r="S371" s="100">
        <v>1</v>
      </c>
      <c r="T371" s="100">
        <v>0</v>
      </c>
      <c r="U371" s="100">
        <v>0</v>
      </c>
      <c r="V371" s="100">
        <v>1</v>
      </c>
      <c r="W371" s="100">
        <v>0</v>
      </c>
      <c r="X371" s="100">
        <v>0</v>
      </c>
      <c r="Y371" s="100">
        <v>0</v>
      </c>
      <c r="Z371" s="100">
        <v>1</v>
      </c>
      <c r="AA371" s="100">
        <v>0</v>
      </c>
      <c r="AB371" s="100">
        <v>1</v>
      </c>
      <c r="AC371" s="100">
        <v>0</v>
      </c>
      <c r="AD371" s="100">
        <v>0</v>
      </c>
      <c r="AE371" s="100">
        <v>0</v>
      </c>
      <c r="AF371" s="100">
        <v>0</v>
      </c>
      <c r="AG371" s="100">
        <v>1</v>
      </c>
      <c r="AH371" s="100">
        <v>0</v>
      </c>
      <c r="AI371" s="100">
        <v>0</v>
      </c>
      <c r="AJ371" s="100">
        <v>1</v>
      </c>
      <c r="AK371" s="100">
        <v>0</v>
      </c>
      <c r="AL371" s="100">
        <v>0</v>
      </c>
      <c r="AM371" s="100">
        <v>0</v>
      </c>
      <c r="AN371" s="100">
        <v>0</v>
      </c>
      <c r="AO371" s="100">
        <v>0</v>
      </c>
      <c r="AP371" s="100">
        <v>0</v>
      </c>
      <c r="AQ371" s="100">
        <v>0</v>
      </c>
      <c r="AR371" s="100">
        <v>1</v>
      </c>
      <c r="AS371" s="100">
        <v>0</v>
      </c>
      <c r="AT371" s="100">
        <v>1</v>
      </c>
      <c r="AU371" s="100">
        <v>0</v>
      </c>
      <c r="AV371" s="100">
        <v>0</v>
      </c>
      <c r="AW371" s="100">
        <v>0</v>
      </c>
      <c r="AX371" s="100">
        <v>0</v>
      </c>
      <c r="AY371" s="100">
        <v>0</v>
      </c>
      <c r="AZ371" s="100">
        <v>0</v>
      </c>
      <c r="BA371" s="100">
        <v>0</v>
      </c>
      <c r="BB371" s="100">
        <v>0</v>
      </c>
      <c r="BC371" s="100">
        <v>0</v>
      </c>
      <c r="BD371" s="100">
        <v>0</v>
      </c>
      <c r="BE371" s="100">
        <v>0</v>
      </c>
      <c r="BF371" s="100">
        <v>0</v>
      </c>
      <c r="BG371" s="100">
        <v>0</v>
      </c>
      <c r="BH371" s="100">
        <v>1</v>
      </c>
      <c r="BI371" s="100">
        <v>0</v>
      </c>
      <c r="BJ371" s="100">
        <v>4</v>
      </c>
      <c r="BK371" s="100">
        <v>0</v>
      </c>
      <c r="BL371" s="100">
        <v>0</v>
      </c>
      <c r="BM371" s="100">
        <v>0</v>
      </c>
      <c r="BN371" s="100">
        <v>0</v>
      </c>
      <c r="BO371" s="100">
        <v>0</v>
      </c>
      <c r="BP371" s="100">
        <v>0</v>
      </c>
      <c r="BQ371" s="100">
        <v>0</v>
      </c>
      <c r="BR371" s="100">
        <v>0</v>
      </c>
      <c r="BS371" s="100">
        <v>0</v>
      </c>
      <c r="BT371" s="100">
        <v>0</v>
      </c>
      <c r="BU371" s="100">
        <v>0</v>
      </c>
      <c r="BV371" s="100">
        <v>0</v>
      </c>
      <c r="BW371" s="100">
        <v>0</v>
      </c>
      <c r="BX371" s="100">
        <v>1</v>
      </c>
      <c r="BY371" s="100">
        <v>0</v>
      </c>
      <c r="BZ371" s="100">
        <v>0</v>
      </c>
      <c r="CA371" s="100">
        <v>0</v>
      </c>
      <c r="CB371" s="100" t="s">
        <v>2090</v>
      </c>
      <c r="CC371" s="100">
        <v>1</v>
      </c>
      <c r="CD371" s="100">
        <v>0</v>
      </c>
      <c r="CE371" s="100">
        <v>0</v>
      </c>
      <c r="CF371" s="100">
        <v>0</v>
      </c>
      <c r="CG371" s="103">
        <v>1215260.47367</v>
      </c>
      <c r="CH371" s="103">
        <v>47.97</v>
      </c>
      <c r="CI371" s="103">
        <v>3574521.9722600002</v>
      </c>
      <c r="CJ371" s="103">
        <v>30.65</v>
      </c>
      <c r="CK371" s="103">
        <f t="shared" si="20"/>
        <v>1470.2804999999998</v>
      </c>
      <c r="CL371" s="103">
        <v>46670.5</v>
      </c>
      <c r="CM371" s="103">
        <v>77121.600000000006</v>
      </c>
      <c r="CN371" s="104">
        <v>0.60515471670712218</v>
      </c>
      <c r="CO371" s="103">
        <v>49951.765099999997</v>
      </c>
      <c r="CP371" s="103">
        <v>1.76</v>
      </c>
      <c r="CQ371" s="103">
        <v>676265.29931000003</v>
      </c>
      <c r="CR371" s="103">
        <v>5.57</v>
      </c>
      <c r="CS371" s="103">
        <f t="shared" si="21"/>
        <v>9.8032000000000004</v>
      </c>
      <c r="CT371" s="103">
        <v>4692.3999999999996</v>
      </c>
      <c r="CU371" s="103">
        <v>72861</v>
      </c>
      <c r="CV371" s="104">
        <v>6.4402080674160381E-2</v>
      </c>
      <c r="CW371" s="103">
        <v>1138330.5315</v>
      </c>
      <c r="CX371" s="103">
        <v>47.98</v>
      </c>
      <c r="CY371" s="103">
        <v>3528560.5556899998</v>
      </c>
      <c r="CZ371" s="103">
        <v>33.681940700808624</v>
      </c>
      <c r="DA371" s="103">
        <f t="shared" si="22"/>
        <v>1616.0595148247976</v>
      </c>
      <c r="DB371" s="103">
        <v>6793.5</v>
      </c>
      <c r="DC371" s="103">
        <v>12156.7</v>
      </c>
      <c r="DD371" s="104">
        <v>0.558827642370051</v>
      </c>
      <c r="DE371" s="103">
        <v>203548.91568999999</v>
      </c>
      <c r="DF371" s="103">
        <v>6.96</v>
      </c>
      <c r="DG371" s="103">
        <v>1355686.8210100001</v>
      </c>
      <c r="DH371" s="103">
        <v>13.63</v>
      </c>
      <c r="DI371" s="103">
        <f t="shared" si="23"/>
        <v>94.864800000000002</v>
      </c>
      <c r="DJ371" s="103">
        <v>936.4</v>
      </c>
      <c r="DK371" s="103">
        <v>7419.2</v>
      </c>
      <c r="DL371" s="104">
        <v>0.12621306879447919</v>
      </c>
    </row>
    <row r="372" spans="1:116" s="15" customFormat="1" ht="265.7" customHeight="1" x14ac:dyDescent="0.25">
      <c r="A372" s="100" t="s">
        <v>456</v>
      </c>
      <c r="B372" s="100" t="s">
        <v>2827</v>
      </c>
      <c r="C372" s="100" t="s">
        <v>279</v>
      </c>
      <c r="D372" s="101" t="str">
        <f>"Chemistry 173"</f>
        <v>Chemistry 173</v>
      </c>
      <c r="E372" s="102" t="s">
        <v>2828</v>
      </c>
      <c r="F372" s="100">
        <v>22</v>
      </c>
      <c r="G372" s="100">
        <v>11</v>
      </c>
      <c r="H372" s="100">
        <v>0.5</v>
      </c>
      <c r="I372" s="100">
        <v>30</v>
      </c>
      <c r="J372" s="100">
        <v>8</v>
      </c>
      <c r="K372" s="100">
        <v>8</v>
      </c>
      <c r="L372" s="100">
        <v>3</v>
      </c>
      <c r="M372" s="100">
        <v>2</v>
      </c>
      <c r="N372" s="100">
        <v>6</v>
      </c>
      <c r="O372" s="100">
        <v>3</v>
      </c>
      <c r="P372" s="100">
        <v>3.32</v>
      </c>
      <c r="Q372" s="100">
        <v>93.08</v>
      </c>
      <c r="R372" s="100">
        <v>8</v>
      </c>
      <c r="S372" s="100">
        <v>1</v>
      </c>
      <c r="T372" s="100">
        <v>0</v>
      </c>
      <c r="U372" s="100">
        <v>0</v>
      </c>
      <c r="V372" s="100">
        <v>0</v>
      </c>
      <c r="W372" s="100">
        <v>0</v>
      </c>
      <c r="X372" s="100">
        <v>0</v>
      </c>
      <c r="Y372" s="100">
        <v>1</v>
      </c>
      <c r="Z372" s="100">
        <v>0</v>
      </c>
      <c r="AA372" s="100">
        <v>0</v>
      </c>
      <c r="AB372" s="100">
        <v>1</v>
      </c>
      <c r="AC372" s="100">
        <v>0</v>
      </c>
      <c r="AD372" s="100">
        <v>0</v>
      </c>
      <c r="AE372" s="100">
        <v>0</v>
      </c>
      <c r="AF372" s="100">
        <v>0</v>
      </c>
      <c r="AG372" s="100">
        <v>1</v>
      </c>
      <c r="AH372" s="100">
        <v>0</v>
      </c>
      <c r="AI372" s="100">
        <v>0</v>
      </c>
      <c r="AJ372" s="100">
        <v>1</v>
      </c>
      <c r="AK372" s="100">
        <v>0</v>
      </c>
      <c r="AL372" s="100">
        <v>0</v>
      </c>
      <c r="AM372" s="100">
        <v>0</v>
      </c>
      <c r="AN372" s="100">
        <v>1</v>
      </c>
      <c r="AO372" s="100">
        <v>0</v>
      </c>
      <c r="AP372" s="100">
        <v>0</v>
      </c>
      <c r="AQ372" s="100">
        <v>0</v>
      </c>
      <c r="AR372" s="100">
        <v>0</v>
      </c>
      <c r="AS372" s="100">
        <v>0</v>
      </c>
      <c r="AT372" s="100">
        <v>1</v>
      </c>
      <c r="AU372" s="100">
        <v>1</v>
      </c>
      <c r="AV372" s="100">
        <v>0</v>
      </c>
      <c r="AW372" s="100">
        <v>0</v>
      </c>
      <c r="AX372" s="100">
        <v>0</v>
      </c>
      <c r="AY372" s="100">
        <v>0</v>
      </c>
      <c r="AZ372" s="100">
        <v>0</v>
      </c>
      <c r="BA372" s="100">
        <v>0</v>
      </c>
      <c r="BB372" s="100">
        <v>1</v>
      </c>
      <c r="BC372" s="100">
        <v>0</v>
      </c>
      <c r="BD372" s="100">
        <v>0</v>
      </c>
      <c r="BE372" s="100">
        <v>0</v>
      </c>
      <c r="BF372" s="100">
        <v>0</v>
      </c>
      <c r="BG372" s="100">
        <v>0</v>
      </c>
      <c r="BH372" s="100">
        <v>0</v>
      </c>
      <c r="BI372" s="100">
        <v>0</v>
      </c>
      <c r="BJ372" s="100">
        <v>4</v>
      </c>
      <c r="BK372" s="100">
        <v>0</v>
      </c>
      <c r="BL372" s="100">
        <v>1</v>
      </c>
      <c r="BM372" s="100">
        <v>1</v>
      </c>
      <c r="BN372" s="100">
        <v>0</v>
      </c>
      <c r="BO372" s="100">
        <v>0</v>
      </c>
      <c r="BP372" s="100">
        <v>0</v>
      </c>
      <c r="BQ372" s="100">
        <v>1</v>
      </c>
      <c r="BR372" s="100">
        <v>0</v>
      </c>
      <c r="BS372" s="100">
        <v>0</v>
      </c>
      <c r="BT372" s="100">
        <v>0</v>
      </c>
      <c r="BU372" s="100">
        <v>1</v>
      </c>
      <c r="BV372" s="100">
        <v>1</v>
      </c>
      <c r="BW372" s="100">
        <v>0</v>
      </c>
      <c r="BX372" s="100">
        <v>1</v>
      </c>
      <c r="BY372" s="100">
        <v>0</v>
      </c>
      <c r="BZ372" s="100">
        <v>0</v>
      </c>
      <c r="CA372" s="100">
        <v>0</v>
      </c>
      <c r="CB372" s="100" t="s">
        <v>2090</v>
      </c>
      <c r="CC372" s="100">
        <v>0</v>
      </c>
      <c r="CD372" s="100">
        <v>0</v>
      </c>
      <c r="CE372" s="100">
        <v>0</v>
      </c>
      <c r="CF372" s="100">
        <v>1</v>
      </c>
      <c r="CG372" s="103">
        <v>360353.89905000001</v>
      </c>
      <c r="CH372" s="103">
        <v>16.27</v>
      </c>
      <c r="CI372" s="103">
        <v>1540219.7093400001</v>
      </c>
      <c r="CJ372" s="103">
        <v>16.149999999999999</v>
      </c>
      <c r="CK372" s="103">
        <f t="shared" si="20"/>
        <v>262.76049999999998</v>
      </c>
      <c r="CL372" s="103">
        <v>8791.5</v>
      </c>
      <c r="CM372" s="103">
        <v>46192.7</v>
      </c>
      <c r="CN372" s="104">
        <v>0.19032228036031668</v>
      </c>
      <c r="CO372" s="103">
        <v>19227.76857</v>
      </c>
      <c r="CP372" s="103">
        <v>0.67</v>
      </c>
      <c r="CQ372" s="103">
        <v>244232.96197999999</v>
      </c>
      <c r="CR372" s="103">
        <v>1.63</v>
      </c>
      <c r="CS372" s="103">
        <f t="shared" si="21"/>
        <v>1.0921000000000001</v>
      </c>
      <c r="CT372" s="103">
        <v>3563.7</v>
      </c>
      <c r="CU372" s="103">
        <v>291589.5</v>
      </c>
      <c r="CV372" s="104">
        <v>1.2221633495033257E-2</v>
      </c>
      <c r="CW372" s="103">
        <v>128940.15534</v>
      </c>
      <c r="CX372" s="103">
        <v>5.43</v>
      </c>
      <c r="CY372" s="103">
        <v>1043663.36094</v>
      </c>
      <c r="CZ372" s="103">
        <v>10.940604990064033</v>
      </c>
      <c r="DA372" s="103">
        <f t="shared" si="22"/>
        <v>59.407485096047694</v>
      </c>
      <c r="DB372" s="103">
        <v>16578.5</v>
      </c>
      <c r="DC372" s="103">
        <v>273390.90000000002</v>
      </c>
      <c r="DD372" s="104">
        <v>6.0640277346466175E-2</v>
      </c>
      <c r="DE372" s="103">
        <v>20022.6531</v>
      </c>
      <c r="DF372" s="103">
        <v>0.74</v>
      </c>
      <c r="DG372" s="103">
        <v>134812.49155000001</v>
      </c>
      <c r="DH372" s="103">
        <v>1.9</v>
      </c>
      <c r="DI372" s="103">
        <f t="shared" si="23"/>
        <v>1.4059999999999999</v>
      </c>
      <c r="DJ372" s="103">
        <v>2018.6</v>
      </c>
      <c r="DK372" s="103">
        <v>243612.9</v>
      </c>
      <c r="DL372" s="104">
        <v>8.2860965080256421E-3</v>
      </c>
    </row>
    <row r="373" spans="1:116" s="15" customFormat="1" ht="265.7" customHeight="1" x14ac:dyDescent="0.25">
      <c r="A373" s="100" t="s">
        <v>457</v>
      </c>
      <c r="B373" s="100" t="s">
        <v>2829</v>
      </c>
      <c r="C373" s="100" t="s">
        <v>279</v>
      </c>
      <c r="D373" s="101" t="str">
        <f>"Chemistry 54"</f>
        <v>Chemistry 54</v>
      </c>
      <c r="E373" s="102" t="s">
        <v>2830</v>
      </c>
      <c r="F373" s="100">
        <v>21</v>
      </c>
      <c r="G373" s="100">
        <v>15</v>
      </c>
      <c r="H373" s="100">
        <v>0.71</v>
      </c>
      <c r="I373" s="100">
        <v>30</v>
      </c>
      <c r="J373" s="100">
        <v>9</v>
      </c>
      <c r="K373" s="100">
        <v>9</v>
      </c>
      <c r="L373" s="100">
        <v>4</v>
      </c>
      <c r="M373" s="100">
        <v>1</v>
      </c>
      <c r="N373" s="100">
        <v>6</v>
      </c>
      <c r="O373" s="100">
        <v>4</v>
      </c>
      <c r="P373" s="100">
        <v>-2.09</v>
      </c>
      <c r="Q373" s="100">
        <v>133.56</v>
      </c>
      <c r="R373" s="100">
        <v>12</v>
      </c>
      <c r="S373" s="100">
        <v>1</v>
      </c>
      <c r="T373" s="100">
        <v>0</v>
      </c>
      <c r="U373" s="100">
        <v>0</v>
      </c>
      <c r="V373" s="100">
        <v>1</v>
      </c>
      <c r="W373" s="100">
        <v>0</v>
      </c>
      <c r="X373" s="100">
        <v>0</v>
      </c>
      <c r="Y373" s="100">
        <v>1</v>
      </c>
      <c r="Z373" s="100">
        <v>0</v>
      </c>
      <c r="AA373" s="100">
        <v>0</v>
      </c>
      <c r="AB373" s="100">
        <v>1</v>
      </c>
      <c r="AC373" s="100">
        <v>0</v>
      </c>
      <c r="AD373" s="100">
        <v>0</v>
      </c>
      <c r="AE373" s="100">
        <v>1</v>
      </c>
      <c r="AF373" s="100">
        <v>0</v>
      </c>
      <c r="AG373" s="100">
        <v>0</v>
      </c>
      <c r="AH373" s="100">
        <v>0</v>
      </c>
      <c r="AI373" s="100">
        <v>0</v>
      </c>
      <c r="AJ373" s="100">
        <v>1</v>
      </c>
      <c r="AK373" s="100">
        <v>0</v>
      </c>
      <c r="AL373" s="100">
        <v>0</v>
      </c>
      <c r="AM373" s="100">
        <v>0</v>
      </c>
      <c r="AN373" s="100">
        <v>1</v>
      </c>
      <c r="AO373" s="100">
        <v>0</v>
      </c>
      <c r="AP373" s="100">
        <v>0</v>
      </c>
      <c r="AQ373" s="100">
        <v>0</v>
      </c>
      <c r="AR373" s="100">
        <v>0</v>
      </c>
      <c r="AS373" s="100">
        <v>0</v>
      </c>
      <c r="AT373" s="100">
        <v>1</v>
      </c>
      <c r="AU373" s="100">
        <v>0</v>
      </c>
      <c r="AV373" s="100">
        <v>0</v>
      </c>
      <c r="AW373" s="100">
        <v>1</v>
      </c>
      <c r="AX373" s="100">
        <v>0</v>
      </c>
      <c r="AY373" s="100">
        <v>0</v>
      </c>
      <c r="AZ373" s="100">
        <v>0</v>
      </c>
      <c r="BA373" s="100">
        <v>0</v>
      </c>
      <c r="BB373" s="100">
        <v>0</v>
      </c>
      <c r="BC373" s="100">
        <v>0</v>
      </c>
      <c r="BD373" s="100">
        <v>0</v>
      </c>
      <c r="BE373" s="100">
        <v>0</v>
      </c>
      <c r="BF373" s="100">
        <v>0</v>
      </c>
      <c r="BG373" s="100">
        <v>0</v>
      </c>
      <c r="BH373" s="100">
        <v>0</v>
      </c>
      <c r="BI373" s="100">
        <v>0</v>
      </c>
      <c r="BJ373" s="100">
        <v>3</v>
      </c>
      <c r="BK373" s="100">
        <v>0</v>
      </c>
      <c r="BL373" s="100">
        <v>1</v>
      </c>
      <c r="BM373" s="100">
        <v>0</v>
      </c>
      <c r="BN373" s="100">
        <v>0</v>
      </c>
      <c r="BO373" s="100">
        <v>0</v>
      </c>
      <c r="BP373" s="100">
        <v>0</v>
      </c>
      <c r="BQ373" s="100">
        <v>1</v>
      </c>
      <c r="BR373" s="100">
        <v>0</v>
      </c>
      <c r="BS373" s="100">
        <v>0</v>
      </c>
      <c r="BT373" s="100">
        <v>0</v>
      </c>
      <c r="BU373" s="100">
        <v>1</v>
      </c>
      <c r="BV373" s="100">
        <v>0</v>
      </c>
      <c r="BW373" s="100">
        <v>1</v>
      </c>
      <c r="BX373" s="100">
        <v>0</v>
      </c>
      <c r="BY373" s="100">
        <v>0</v>
      </c>
      <c r="BZ373" s="100">
        <v>0</v>
      </c>
      <c r="CA373" s="100">
        <v>1</v>
      </c>
      <c r="CB373" s="100" t="s">
        <v>2090</v>
      </c>
      <c r="CC373" s="100">
        <v>0</v>
      </c>
      <c r="CD373" s="100">
        <v>0</v>
      </c>
      <c r="CE373" s="100">
        <v>0</v>
      </c>
      <c r="CF373" s="100">
        <v>0</v>
      </c>
      <c r="CG373" s="103">
        <v>174495.03932000001</v>
      </c>
      <c r="CH373" s="103">
        <v>12.53</v>
      </c>
      <c r="CI373" s="103">
        <v>1849867.49554</v>
      </c>
      <c r="CJ373" s="103">
        <v>25.24</v>
      </c>
      <c r="CK373" s="103">
        <f t="shared" si="20"/>
        <v>316.25719999999995</v>
      </c>
      <c r="CL373" s="103">
        <v>69444.100000000006</v>
      </c>
      <c r="CM373" s="103">
        <v>68822.7</v>
      </c>
      <c r="CN373" s="104">
        <v>1.009028997699887</v>
      </c>
      <c r="CO373" s="103">
        <v>0</v>
      </c>
      <c r="CP373" s="103">
        <v>0</v>
      </c>
      <c r="CQ373" s="103">
        <v>150210.71755</v>
      </c>
      <c r="CR373" s="103">
        <v>2.92</v>
      </c>
      <c r="CS373" s="103">
        <f t="shared" si="21"/>
        <v>0</v>
      </c>
      <c r="CT373" s="103">
        <v>13330.6</v>
      </c>
      <c r="CU373" s="103">
        <v>243449.8</v>
      </c>
      <c r="CV373" s="104">
        <v>5.4757079282874752E-2</v>
      </c>
      <c r="CW373" s="103">
        <v>0</v>
      </c>
      <c r="CX373" s="103">
        <v>0</v>
      </c>
      <c r="CY373" s="103">
        <v>13103.519969999999</v>
      </c>
      <c r="CZ373" s="103">
        <v>0</v>
      </c>
      <c r="DA373" s="103">
        <f t="shared" si="22"/>
        <v>0</v>
      </c>
      <c r="DB373" s="103">
        <v>1707.5</v>
      </c>
      <c r="DC373" s="103">
        <v>38686.199999999997</v>
      </c>
      <c r="DD373" s="104">
        <v>4.4137185869896761E-2</v>
      </c>
      <c r="DE373" s="103">
        <v>0</v>
      </c>
      <c r="DF373" s="103">
        <v>0</v>
      </c>
      <c r="DG373" s="103">
        <v>10437.90821</v>
      </c>
      <c r="DH373" s="103">
        <v>0</v>
      </c>
      <c r="DI373" s="103">
        <f t="shared" si="23"/>
        <v>0</v>
      </c>
      <c r="DJ373" s="103">
        <v>1723</v>
      </c>
      <c r="DK373" s="103">
        <v>282234.59999999998</v>
      </c>
      <c r="DL373" s="104">
        <v>6.1048503620746717E-3</v>
      </c>
    </row>
    <row r="374" spans="1:116" s="15" customFormat="1" ht="265.7" customHeight="1" x14ac:dyDescent="0.25">
      <c r="A374" s="100" t="s">
        <v>458</v>
      </c>
      <c r="B374" s="100" t="s">
        <v>2831</v>
      </c>
      <c r="C374" s="100" t="s">
        <v>279</v>
      </c>
      <c r="D374" s="101" t="str">
        <f>"Chemistry 40"</f>
        <v>Chemistry 40</v>
      </c>
      <c r="E374" s="102" t="s">
        <v>2832</v>
      </c>
      <c r="F374" s="100">
        <v>31</v>
      </c>
      <c r="G374" s="100">
        <v>11</v>
      </c>
      <c r="H374" s="100">
        <v>0.35</v>
      </c>
      <c r="I374" s="100">
        <v>41</v>
      </c>
      <c r="J374" s="100">
        <v>10</v>
      </c>
      <c r="K374" s="100">
        <v>10</v>
      </c>
      <c r="L374" s="100">
        <v>5</v>
      </c>
      <c r="M374" s="100">
        <v>3</v>
      </c>
      <c r="N374" s="100">
        <v>5</v>
      </c>
      <c r="O374" s="100">
        <v>3</v>
      </c>
      <c r="P374" s="100">
        <v>3.69</v>
      </c>
      <c r="Q374" s="100">
        <v>103.43</v>
      </c>
      <c r="R374" s="100">
        <v>6</v>
      </c>
      <c r="S374" s="100">
        <v>1</v>
      </c>
      <c r="T374" s="100">
        <v>0</v>
      </c>
      <c r="U374" s="100">
        <v>0</v>
      </c>
      <c r="V374" s="100">
        <v>1</v>
      </c>
      <c r="W374" s="100">
        <v>0</v>
      </c>
      <c r="X374" s="100">
        <v>0</v>
      </c>
      <c r="Y374" s="100">
        <v>1</v>
      </c>
      <c r="Z374" s="100">
        <v>0</v>
      </c>
      <c r="AA374" s="100">
        <v>0</v>
      </c>
      <c r="AB374" s="100">
        <v>1</v>
      </c>
      <c r="AC374" s="100">
        <v>0</v>
      </c>
      <c r="AD374" s="100">
        <v>0</v>
      </c>
      <c r="AE374" s="100">
        <v>0</v>
      </c>
      <c r="AF374" s="100">
        <v>0</v>
      </c>
      <c r="AG374" s="100">
        <v>1</v>
      </c>
      <c r="AH374" s="100">
        <v>0</v>
      </c>
      <c r="AI374" s="100">
        <v>0</v>
      </c>
      <c r="AJ374" s="100">
        <v>1</v>
      </c>
      <c r="AK374" s="100">
        <v>0</v>
      </c>
      <c r="AL374" s="100">
        <v>0</v>
      </c>
      <c r="AM374" s="100">
        <v>0</v>
      </c>
      <c r="AN374" s="100">
        <v>0</v>
      </c>
      <c r="AO374" s="100">
        <v>1</v>
      </c>
      <c r="AP374" s="100">
        <v>0</v>
      </c>
      <c r="AQ374" s="100">
        <v>0</v>
      </c>
      <c r="AR374" s="100">
        <v>0</v>
      </c>
      <c r="AS374" s="100">
        <v>0</v>
      </c>
      <c r="AT374" s="100">
        <v>1</v>
      </c>
      <c r="AU374" s="100">
        <v>0</v>
      </c>
      <c r="AV374" s="100">
        <v>0</v>
      </c>
      <c r="AW374" s="100">
        <v>0</v>
      </c>
      <c r="AX374" s="100">
        <v>0</v>
      </c>
      <c r="AY374" s="100">
        <v>0</v>
      </c>
      <c r="AZ374" s="100">
        <v>0</v>
      </c>
      <c r="BA374" s="100">
        <v>0</v>
      </c>
      <c r="BB374" s="100">
        <v>0</v>
      </c>
      <c r="BC374" s="100">
        <v>0</v>
      </c>
      <c r="BD374" s="100">
        <v>0</v>
      </c>
      <c r="BE374" s="100">
        <v>0</v>
      </c>
      <c r="BF374" s="100">
        <v>0</v>
      </c>
      <c r="BG374" s="100">
        <v>0</v>
      </c>
      <c r="BH374" s="100">
        <v>0</v>
      </c>
      <c r="BI374" s="100">
        <v>0</v>
      </c>
      <c r="BJ374" s="100">
        <v>3</v>
      </c>
      <c r="BK374" s="100">
        <v>0</v>
      </c>
      <c r="BL374" s="100">
        <v>1</v>
      </c>
      <c r="BM374" s="100">
        <v>0</v>
      </c>
      <c r="BN374" s="100">
        <v>0</v>
      </c>
      <c r="BO374" s="100">
        <v>0</v>
      </c>
      <c r="BP374" s="100">
        <v>0</v>
      </c>
      <c r="BQ374" s="100">
        <v>0</v>
      </c>
      <c r="BR374" s="100">
        <v>0</v>
      </c>
      <c r="BS374" s="100">
        <v>0</v>
      </c>
      <c r="BT374" s="100">
        <v>0</v>
      </c>
      <c r="BU374" s="100">
        <v>0</v>
      </c>
      <c r="BV374" s="100">
        <v>0</v>
      </c>
      <c r="BW374" s="100">
        <v>1</v>
      </c>
      <c r="BX374" s="100">
        <v>0</v>
      </c>
      <c r="BY374" s="100">
        <v>0</v>
      </c>
      <c r="BZ374" s="100">
        <v>1</v>
      </c>
      <c r="CA374" s="100">
        <v>0</v>
      </c>
      <c r="CB374" s="100" t="s">
        <v>2090</v>
      </c>
      <c r="CC374" s="100">
        <v>0</v>
      </c>
      <c r="CD374" s="100">
        <v>0</v>
      </c>
      <c r="CE374" s="100">
        <v>0</v>
      </c>
      <c r="CF374" s="100">
        <v>0</v>
      </c>
      <c r="CG374" s="103">
        <v>459850.77721999999</v>
      </c>
      <c r="CH374" s="103">
        <v>20.58</v>
      </c>
      <c r="CI374" s="103">
        <v>1334447.87864</v>
      </c>
      <c r="CJ374" s="103">
        <v>25.1</v>
      </c>
      <c r="CK374" s="103">
        <f t="shared" si="20"/>
        <v>516.55799999999999</v>
      </c>
      <c r="CL374" s="103">
        <v>51680.800000000003</v>
      </c>
      <c r="CM374" s="103">
        <v>172313</v>
      </c>
      <c r="CN374" s="104">
        <v>0.29992397555611011</v>
      </c>
      <c r="CO374" s="103">
        <v>82361.010020000002</v>
      </c>
      <c r="CP374" s="103">
        <v>3.11</v>
      </c>
      <c r="CQ374" s="103">
        <v>170756.22756</v>
      </c>
      <c r="CR374" s="103">
        <v>10.31</v>
      </c>
      <c r="CS374" s="103">
        <f t="shared" si="21"/>
        <v>32.064100000000003</v>
      </c>
      <c r="CT374" s="103">
        <v>23029.4</v>
      </c>
      <c r="CU374" s="103">
        <v>334824.90000000002</v>
      </c>
      <c r="CV374" s="104">
        <v>6.8780428217853573E-2</v>
      </c>
      <c r="CW374" s="103">
        <v>0</v>
      </c>
      <c r="CX374" s="103">
        <v>0</v>
      </c>
      <c r="CY374" s="103">
        <v>3308.5135500000001</v>
      </c>
      <c r="CZ374" s="103">
        <v>1.6556703597659654</v>
      </c>
      <c r="DA374" s="103">
        <f t="shared" si="22"/>
        <v>0</v>
      </c>
      <c r="DB374" s="103">
        <v>0</v>
      </c>
      <c r="DC374" s="103">
        <v>19094</v>
      </c>
      <c r="DD374" s="104">
        <v>0</v>
      </c>
      <c r="DE374" s="103">
        <v>0</v>
      </c>
      <c r="DF374" s="103">
        <v>0</v>
      </c>
      <c r="DG374" s="103">
        <v>0</v>
      </c>
      <c r="DH374" s="103">
        <v>0</v>
      </c>
      <c r="DI374" s="103">
        <f t="shared" si="23"/>
        <v>0</v>
      </c>
      <c r="DJ374" s="103">
        <v>7791</v>
      </c>
      <c r="DK374" s="103">
        <v>174640.6</v>
      </c>
      <c r="DL374" s="104">
        <v>4.4611619520317725E-2</v>
      </c>
    </row>
    <row r="375" spans="1:116" s="15" customFormat="1" ht="265.7" customHeight="1" x14ac:dyDescent="0.25">
      <c r="A375" s="100" t="s">
        <v>459</v>
      </c>
      <c r="B375" s="100" t="s">
        <v>2833</v>
      </c>
      <c r="C375" s="100" t="s">
        <v>279</v>
      </c>
      <c r="D375" s="101" t="str">
        <f>"Chemistry 159"</f>
        <v>Chemistry 159</v>
      </c>
      <c r="E375" s="102" t="s">
        <v>2834</v>
      </c>
      <c r="F375" s="100">
        <v>21</v>
      </c>
      <c r="G375" s="100">
        <v>11</v>
      </c>
      <c r="H375" s="100">
        <v>0.52</v>
      </c>
      <c r="I375" s="100">
        <v>30</v>
      </c>
      <c r="J375" s="100">
        <v>9</v>
      </c>
      <c r="K375" s="100">
        <v>9</v>
      </c>
      <c r="L375" s="100">
        <v>5</v>
      </c>
      <c r="M375" s="100">
        <v>2</v>
      </c>
      <c r="N375" s="100">
        <v>6</v>
      </c>
      <c r="O375" s="100">
        <v>2</v>
      </c>
      <c r="P375" s="100">
        <v>0.85</v>
      </c>
      <c r="Q375" s="100">
        <v>109.59</v>
      </c>
      <c r="R375" s="100">
        <v>8</v>
      </c>
      <c r="S375" s="100">
        <v>1</v>
      </c>
      <c r="T375" s="100">
        <v>0</v>
      </c>
      <c r="U375" s="100">
        <v>0</v>
      </c>
      <c r="V375" s="100">
        <v>1</v>
      </c>
      <c r="W375" s="100">
        <v>0</v>
      </c>
      <c r="X375" s="100">
        <v>0</v>
      </c>
      <c r="Y375" s="100">
        <v>1</v>
      </c>
      <c r="Z375" s="100">
        <v>0</v>
      </c>
      <c r="AA375" s="100">
        <v>0</v>
      </c>
      <c r="AB375" s="100">
        <v>1</v>
      </c>
      <c r="AC375" s="100">
        <v>0</v>
      </c>
      <c r="AD375" s="100">
        <v>0</v>
      </c>
      <c r="AE375" s="100">
        <v>0</v>
      </c>
      <c r="AF375" s="100">
        <v>1</v>
      </c>
      <c r="AG375" s="100">
        <v>0</v>
      </c>
      <c r="AH375" s="100">
        <v>0</v>
      </c>
      <c r="AI375" s="100">
        <v>0</v>
      </c>
      <c r="AJ375" s="100">
        <v>1</v>
      </c>
      <c r="AK375" s="100">
        <v>0</v>
      </c>
      <c r="AL375" s="100">
        <v>0</v>
      </c>
      <c r="AM375" s="100">
        <v>0</v>
      </c>
      <c r="AN375" s="100">
        <v>1</v>
      </c>
      <c r="AO375" s="100">
        <v>0</v>
      </c>
      <c r="AP375" s="100">
        <v>0</v>
      </c>
      <c r="AQ375" s="100">
        <v>0</v>
      </c>
      <c r="AR375" s="100">
        <v>0</v>
      </c>
      <c r="AS375" s="100">
        <v>0</v>
      </c>
      <c r="AT375" s="100">
        <v>1</v>
      </c>
      <c r="AU375" s="100">
        <v>0</v>
      </c>
      <c r="AV375" s="100">
        <v>1</v>
      </c>
      <c r="AW375" s="100">
        <v>0</v>
      </c>
      <c r="AX375" s="100">
        <v>0</v>
      </c>
      <c r="AY375" s="100">
        <v>0</v>
      </c>
      <c r="AZ375" s="100">
        <v>0</v>
      </c>
      <c r="BA375" s="100">
        <v>0</v>
      </c>
      <c r="BB375" s="100">
        <v>0</v>
      </c>
      <c r="BC375" s="100">
        <v>0</v>
      </c>
      <c r="BD375" s="100">
        <v>0</v>
      </c>
      <c r="BE375" s="100">
        <v>0</v>
      </c>
      <c r="BF375" s="100">
        <v>0</v>
      </c>
      <c r="BG375" s="100">
        <v>0</v>
      </c>
      <c r="BH375" s="100">
        <v>0</v>
      </c>
      <c r="BI375" s="100">
        <v>0</v>
      </c>
      <c r="BJ375" s="100">
        <v>2</v>
      </c>
      <c r="BK375" s="100">
        <v>0</v>
      </c>
      <c r="BL375" s="100">
        <v>1</v>
      </c>
      <c r="BM375" s="100">
        <v>0</v>
      </c>
      <c r="BN375" s="100">
        <v>0</v>
      </c>
      <c r="BO375" s="100">
        <v>0</v>
      </c>
      <c r="BP375" s="100">
        <v>0</v>
      </c>
      <c r="BQ375" s="100">
        <v>0</v>
      </c>
      <c r="BR375" s="100">
        <v>0</v>
      </c>
      <c r="BS375" s="100">
        <v>0</v>
      </c>
      <c r="BT375" s="100">
        <v>0</v>
      </c>
      <c r="BU375" s="100">
        <v>0</v>
      </c>
      <c r="BV375" s="100">
        <v>1</v>
      </c>
      <c r="BW375" s="100">
        <v>0</v>
      </c>
      <c r="BX375" s="100">
        <v>1</v>
      </c>
      <c r="BY375" s="100">
        <v>0</v>
      </c>
      <c r="BZ375" s="100">
        <v>1</v>
      </c>
      <c r="CA375" s="100">
        <v>0</v>
      </c>
      <c r="CB375" s="100" t="s">
        <v>2090</v>
      </c>
      <c r="CC375" s="100">
        <v>1</v>
      </c>
      <c r="CD375" s="100">
        <v>0</v>
      </c>
      <c r="CE375" s="100">
        <v>0</v>
      </c>
      <c r="CF375" s="100">
        <v>0</v>
      </c>
      <c r="CG375" s="103">
        <v>181957.64694999999</v>
      </c>
      <c r="CH375" s="103">
        <v>12.33</v>
      </c>
      <c r="CI375" s="103">
        <v>1542228.6781899999</v>
      </c>
      <c r="CJ375" s="103">
        <v>10.87</v>
      </c>
      <c r="CK375" s="103">
        <f t="shared" si="20"/>
        <v>134.02709999999999</v>
      </c>
      <c r="CL375" s="103">
        <v>4074.5</v>
      </c>
      <c r="CM375" s="103">
        <v>330953.90000000002</v>
      </c>
      <c r="CN375" s="104">
        <v>1.231138234056163E-2</v>
      </c>
      <c r="CO375" s="103">
        <v>43903.804040000003</v>
      </c>
      <c r="CP375" s="103">
        <v>2.66</v>
      </c>
      <c r="CQ375" s="103">
        <v>473125.00003</v>
      </c>
      <c r="CR375" s="103">
        <v>4.5</v>
      </c>
      <c r="CS375" s="103">
        <f t="shared" si="21"/>
        <v>11.97</v>
      </c>
      <c r="CT375" s="103">
        <v>2471.5</v>
      </c>
      <c r="CU375" s="103">
        <v>343353.3</v>
      </c>
      <c r="CV375" s="104">
        <v>7.1981250799104017E-3</v>
      </c>
      <c r="CW375" s="103">
        <v>86768.056389999998</v>
      </c>
      <c r="CX375" s="103">
        <v>6.19</v>
      </c>
      <c r="CY375" s="103">
        <v>1094832.1859899999</v>
      </c>
      <c r="CZ375" s="103">
        <v>10.782747603833865</v>
      </c>
      <c r="DA375" s="103">
        <f t="shared" si="22"/>
        <v>66.745207667731634</v>
      </c>
      <c r="DB375" s="103">
        <v>227.7</v>
      </c>
      <c r="DC375" s="103">
        <v>56726.5</v>
      </c>
      <c r="DD375" s="104">
        <v>4.0139969855358601E-3</v>
      </c>
      <c r="DE375" s="103">
        <v>83008.512199999997</v>
      </c>
      <c r="DF375" s="103">
        <v>4.8499999999999996</v>
      </c>
      <c r="DG375" s="103">
        <v>625727.79922000004</v>
      </c>
      <c r="DH375" s="103">
        <v>4.82</v>
      </c>
      <c r="DI375" s="103">
        <f t="shared" si="23"/>
        <v>23.376999999999999</v>
      </c>
      <c r="DJ375" s="103">
        <v>1885.4</v>
      </c>
      <c r="DK375" s="103">
        <v>466125.8</v>
      </c>
      <c r="DL375" s="104">
        <v>4.0448308160586696E-3</v>
      </c>
    </row>
    <row r="376" spans="1:116" s="15" customFormat="1" ht="265.7" customHeight="1" x14ac:dyDescent="0.25">
      <c r="A376" s="100" t="s">
        <v>460</v>
      </c>
      <c r="B376" s="100" t="s">
        <v>2835</v>
      </c>
      <c r="C376" s="100" t="s">
        <v>279</v>
      </c>
      <c r="D376" s="101" t="str">
        <f>"Chemistry 59"</f>
        <v>Chemistry 59</v>
      </c>
      <c r="E376" s="102" t="s">
        <v>2836</v>
      </c>
      <c r="F376" s="100">
        <v>24</v>
      </c>
      <c r="G376" s="100">
        <v>9</v>
      </c>
      <c r="H376" s="100">
        <v>0.38</v>
      </c>
      <c r="I376" s="100">
        <v>32</v>
      </c>
      <c r="J376" s="100">
        <v>8</v>
      </c>
      <c r="K376" s="100">
        <v>8</v>
      </c>
      <c r="L376" s="100">
        <v>4</v>
      </c>
      <c r="M376" s="100">
        <v>2</v>
      </c>
      <c r="N376" s="100">
        <v>5</v>
      </c>
      <c r="O376" s="100">
        <v>2</v>
      </c>
      <c r="P376" s="100">
        <v>3.83</v>
      </c>
      <c r="Q376" s="100">
        <v>90.97</v>
      </c>
      <c r="R376" s="100">
        <v>7</v>
      </c>
      <c r="S376" s="100">
        <v>1</v>
      </c>
      <c r="T376" s="100">
        <v>0</v>
      </c>
      <c r="U376" s="100">
        <v>0</v>
      </c>
      <c r="V376" s="100">
        <v>1</v>
      </c>
      <c r="W376" s="100">
        <v>0</v>
      </c>
      <c r="X376" s="100">
        <v>0</v>
      </c>
      <c r="Y376" s="100">
        <v>1</v>
      </c>
      <c r="Z376" s="100">
        <v>0</v>
      </c>
      <c r="AA376" s="100">
        <v>0</v>
      </c>
      <c r="AB376" s="100">
        <v>1</v>
      </c>
      <c r="AC376" s="100">
        <v>0</v>
      </c>
      <c r="AD376" s="100">
        <v>0</v>
      </c>
      <c r="AE376" s="100">
        <v>0</v>
      </c>
      <c r="AF376" s="100">
        <v>0</v>
      </c>
      <c r="AG376" s="100">
        <v>1</v>
      </c>
      <c r="AH376" s="100">
        <v>0</v>
      </c>
      <c r="AI376" s="100">
        <v>0</v>
      </c>
      <c r="AJ376" s="100">
        <v>1</v>
      </c>
      <c r="AK376" s="100">
        <v>0</v>
      </c>
      <c r="AL376" s="100">
        <v>0</v>
      </c>
      <c r="AM376" s="100">
        <v>0</v>
      </c>
      <c r="AN376" s="100">
        <v>0</v>
      </c>
      <c r="AO376" s="100">
        <v>0</v>
      </c>
      <c r="AP376" s="100">
        <v>0</v>
      </c>
      <c r="AQ376" s="100">
        <v>0</v>
      </c>
      <c r="AR376" s="100">
        <v>0</v>
      </c>
      <c r="AS376" s="100">
        <v>0</v>
      </c>
      <c r="AT376" s="100">
        <v>1</v>
      </c>
      <c r="AU376" s="100">
        <v>0</v>
      </c>
      <c r="AV376" s="100">
        <v>0</v>
      </c>
      <c r="AW376" s="100">
        <v>0</v>
      </c>
      <c r="AX376" s="100">
        <v>1</v>
      </c>
      <c r="AY376" s="100">
        <v>0</v>
      </c>
      <c r="AZ376" s="100">
        <v>0</v>
      </c>
      <c r="BA376" s="100">
        <v>0</v>
      </c>
      <c r="BB376" s="100">
        <v>0</v>
      </c>
      <c r="BC376" s="100">
        <v>0</v>
      </c>
      <c r="BD376" s="100">
        <v>0</v>
      </c>
      <c r="BE376" s="100">
        <v>0</v>
      </c>
      <c r="BF376" s="100">
        <v>0</v>
      </c>
      <c r="BG376" s="100">
        <v>0</v>
      </c>
      <c r="BH376" s="100">
        <v>0</v>
      </c>
      <c r="BI376" s="100">
        <v>1</v>
      </c>
      <c r="BJ376" s="100">
        <v>3</v>
      </c>
      <c r="BK376" s="100">
        <v>0</v>
      </c>
      <c r="BL376" s="100">
        <v>1</v>
      </c>
      <c r="BM376" s="100">
        <v>0</v>
      </c>
      <c r="BN376" s="100">
        <v>0</v>
      </c>
      <c r="BO376" s="100">
        <v>0</v>
      </c>
      <c r="BP376" s="100">
        <v>0</v>
      </c>
      <c r="BQ376" s="100">
        <v>0</v>
      </c>
      <c r="BR376" s="100">
        <v>0</v>
      </c>
      <c r="BS376" s="100">
        <v>0</v>
      </c>
      <c r="BT376" s="100">
        <v>0</v>
      </c>
      <c r="BU376" s="100">
        <v>0</v>
      </c>
      <c r="BV376" s="100">
        <v>0</v>
      </c>
      <c r="BW376" s="100">
        <v>0</v>
      </c>
      <c r="BX376" s="100">
        <v>1</v>
      </c>
      <c r="BY376" s="100">
        <v>0</v>
      </c>
      <c r="BZ376" s="100">
        <v>1</v>
      </c>
      <c r="CA376" s="100">
        <v>0</v>
      </c>
      <c r="CB376" s="100" t="s">
        <v>2090</v>
      </c>
      <c r="CC376" s="100">
        <v>0</v>
      </c>
      <c r="CD376" s="100">
        <v>1</v>
      </c>
      <c r="CE376" s="100">
        <v>0</v>
      </c>
      <c r="CF376" s="100">
        <v>0</v>
      </c>
      <c r="CG376" s="103">
        <v>0</v>
      </c>
      <c r="CH376" s="103">
        <v>0</v>
      </c>
      <c r="CI376" s="103">
        <v>0</v>
      </c>
      <c r="CJ376" s="103">
        <v>0</v>
      </c>
      <c r="CK376" s="103">
        <f t="shared" si="20"/>
        <v>0</v>
      </c>
      <c r="CL376" s="103">
        <v>0</v>
      </c>
      <c r="CM376" s="103">
        <v>579094.9</v>
      </c>
      <c r="CN376" s="104">
        <v>0</v>
      </c>
      <c r="CO376" s="103">
        <v>0</v>
      </c>
      <c r="CP376" s="103">
        <v>0</v>
      </c>
      <c r="CQ376" s="103">
        <v>389103.71603000001</v>
      </c>
      <c r="CR376" s="103">
        <v>0</v>
      </c>
      <c r="CS376" s="103">
        <f t="shared" si="21"/>
        <v>0</v>
      </c>
      <c r="CT376" s="103">
        <v>27845.7</v>
      </c>
      <c r="CU376" s="103">
        <v>837196.5</v>
      </c>
      <c r="CV376" s="104">
        <v>3.3260650277443828E-2</v>
      </c>
      <c r="CW376" s="103">
        <v>38934.90137</v>
      </c>
      <c r="CX376" s="103">
        <v>1.6800000000000002</v>
      </c>
      <c r="CY376" s="103">
        <v>592710.89101000002</v>
      </c>
      <c r="CZ376" s="103">
        <v>5.2690962428071764</v>
      </c>
      <c r="DA376" s="103">
        <f t="shared" si="22"/>
        <v>8.8520816879160567</v>
      </c>
      <c r="DB376" s="103">
        <v>15319.8</v>
      </c>
      <c r="DC376" s="103">
        <v>449420.2</v>
      </c>
      <c r="DD376" s="104">
        <v>3.4087920391651289E-2</v>
      </c>
      <c r="DE376" s="103">
        <v>39790.141660000001</v>
      </c>
      <c r="DF376" s="103">
        <v>1.71</v>
      </c>
      <c r="DG376" s="103">
        <v>369062.13702000002</v>
      </c>
      <c r="DH376" s="103">
        <v>3.21</v>
      </c>
      <c r="DI376" s="103">
        <f t="shared" si="23"/>
        <v>5.4890999999999996</v>
      </c>
      <c r="DJ376" s="103">
        <v>2425.5</v>
      </c>
      <c r="DK376" s="103">
        <v>96722.1</v>
      </c>
      <c r="DL376" s="104">
        <v>2.5076998948533994E-2</v>
      </c>
    </row>
    <row r="377" spans="1:116" s="15" customFormat="1" ht="265.7" customHeight="1" x14ac:dyDescent="0.25">
      <c r="A377" s="100" t="s">
        <v>461</v>
      </c>
      <c r="B377" s="100" t="s">
        <v>2837</v>
      </c>
      <c r="C377" s="100" t="s">
        <v>279</v>
      </c>
      <c r="D377" s="101" t="str">
        <f>"Chemistry 113"</f>
        <v>Chemistry 113</v>
      </c>
      <c r="E377" s="102" t="s">
        <v>2838</v>
      </c>
      <c r="F377" s="100">
        <v>30</v>
      </c>
      <c r="G377" s="100">
        <v>16</v>
      </c>
      <c r="H377" s="100">
        <v>0.53</v>
      </c>
      <c r="I377" s="100">
        <v>38</v>
      </c>
      <c r="J377" s="100">
        <v>8</v>
      </c>
      <c r="K377" s="100">
        <v>8</v>
      </c>
      <c r="L377" s="100">
        <v>4</v>
      </c>
      <c r="M377" s="100">
        <v>2</v>
      </c>
      <c r="N377" s="100">
        <v>6</v>
      </c>
      <c r="O377" s="100">
        <v>5</v>
      </c>
      <c r="P377" s="100">
        <v>1.53</v>
      </c>
      <c r="Q377" s="100">
        <v>113.93</v>
      </c>
      <c r="R377" s="100">
        <v>10</v>
      </c>
      <c r="S377" s="100">
        <v>1</v>
      </c>
      <c r="T377" s="100">
        <v>0</v>
      </c>
      <c r="U377" s="100">
        <v>0</v>
      </c>
      <c r="V377" s="100">
        <v>1</v>
      </c>
      <c r="W377" s="100">
        <v>0</v>
      </c>
      <c r="X377" s="100">
        <v>0</v>
      </c>
      <c r="Y377" s="100">
        <v>1</v>
      </c>
      <c r="Z377" s="100">
        <v>0</v>
      </c>
      <c r="AA377" s="100">
        <v>0</v>
      </c>
      <c r="AB377" s="100">
        <v>1</v>
      </c>
      <c r="AC377" s="100">
        <v>0</v>
      </c>
      <c r="AD377" s="100">
        <v>0</v>
      </c>
      <c r="AE377" s="100">
        <v>0</v>
      </c>
      <c r="AF377" s="100">
        <v>1</v>
      </c>
      <c r="AG377" s="100">
        <v>0</v>
      </c>
      <c r="AH377" s="100">
        <v>0</v>
      </c>
      <c r="AI377" s="100">
        <v>0</v>
      </c>
      <c r="AJ377" s="100">
        <v>1</v>
      </c>
      <c r="AK377" s="100">
        <v>0</v>
      </c>
      <c r="AL377" s="100">
        <v>0</v>
      </c>
      <c r="AM377" s="100">
        <v>0</v>
      </c>
      <c r="AN377" s="100">
        <v>0</v>
      </c>
      <c r="AO377" s="100">
        <v>0</v>
      </c>
      <c r="AP377" s="100">
        <v>1</v>
      </c>
      <c r="AQ377" s="100">
        <v>0</v>
      </c>
      <c r="AR377" s="100">
        <v>0</v>
      </c>
      <c r="AS377" s="100">
        <v>0</v>
      </c>
      <c r="AT377" s="100">
        <v>1</v>
      </c>
      <c r="AU377" s="100">
        <v>0</v>
      </c>
      <c r="AV377" s="100">
        <v>0</v>
      </c>
      <c r="AW377" s="100">
        <v>0</v>
      </c>
      <c r="AX377" s="100">
        <v>0</v>
      </c>
      <c r="AY377" s="100">
        <v>0</v>
      </c>
      <c r="AZ377" s="100">
        <v>0</v>
      </c>
      <c r="BA377" s="100">
        <v>0</v>
      </c>
      <c r="BB377" s="100">
        <v>0</v>
      </c>
      <c r="BC377" s="100">
        <v>0</v>
      </c>
      <c r="BD377" s="100">
        <v>0</v>
      </c>
      <c r="BE377" s="100">
        <v>0</v>
      </c>
      <c r="BF377" s="100">
        <v>0</v>
      </c>
      <c r="BG377" s="100">
        <v>0</v>
      </c>
      <c r="BH377" s="100">
        <v>1</v>
      </c>
      <c r="BI377" s="100">
        <v>0</v>
      </c>
      <c r="BJ377" s="100">
        <v>5</v>
      </c>
      <c r="BK377" s="100">
        <v>0</v>
      </c>
      <c r="BL377" s="100">
        <v>1</v>
      </c>
      <c r="BM377" s="100">
        <v>0</v>
      </c>
      <c r="BN377" s="100">
        <v>0</v>
      </c>
      <c r="BO377" s="100">
        <v>0</v>
      </c>
      <c r="BP377" s="100">
        <v>0</v>
      </c>
      <c r="BQ377" s="100">
        <v>0</v>
      </c>
      <c r="BR377" s="100">
        <v>0</v>
      </c>
      <c r="BS377" s="100">
        <v>0</v>
      </c>
      <c r="BT377" s="100">
        <v>0</v>
      </c>
      <c r="BU377" s="100">
        <v>0</v>
      </c>
      <c r="BV377" s="100">
        <v>0</v>
      </c>
      <c r="BW377" s="100">
        <v>0</v>
      </c>
      <c r="BX377" s="100">
        <v>1</v>
      </c>
      <c r="BY377" s="100">
        <v>0</v>
      </c>
      <c r="BZ377" s="100">
        <v>1</v>
      </c>
      <c r="CA377" s="100">
        <v>0</v>
      </c>
      <c r="CB377" s="100" t="s">
        <v>2090</v>
      </c>
      <c r="CC377" s="100">
        <v>1</v>
      </c>
      <c r="CD377" s="100">
        <v>0</v>
      </c>
      <c r="CE377" s="100">
        <v>0</v>
      </c>
      <c r="CF377" s="100">
        <v>0</v>
      </c>
      <c r="CG377" s="103">
        <v>530007.14621000004</v>
      </c>
      <c r="CH377" s="103">
        <v>32.68</v>
      </c>
      <c r="CI377" s="103">
        <v>1618188.61983</v>
      </c>
      <c r="CJ377" s="103">
        <v>18.05</v>
      </c>
      <c r="CK377" s="103">
        <f t="shared" si="20"/>
        <v>589.87400000000002</v>
      </c>
      <c r="CL377" s="103">
        <v>114733.8</v>
      </c>
      <c r="CM377" s="103">
        <v>145959.5</v>
      </c>
      <c r="CN377" s="104">
        <v>0.78606599775965258</v>
      </c>
      <c r="CO377" s="103">
        <v>68102.92469</v>
      </c>
      <c r="CP377" s="103">
        <v>4.07</v>
      </c>
      <c r="CQ377" s="103">
        <v>625011.64139999996</v>
      </c>
      <c r="CR377" s="103">
        <v>6.65</v>
      </c>
      <c r="CS377" s="103">
        <f t="shared" si="21"/>
        <v>27.065500000000004</v>
      </c>
      <c r="CT377" s="103">
        <v>62808.3</v>
      </c>
      <c r="CU377" s="103">
        <v>413028.1</v>
      </c>
      <c r="CV377" s="104">
        <v>0.15206786172659925</v>
      </c>
      <c r="CW377" s="103">
        <v>1013435.87047</v>
      </c>
      <c r="CX377" s="103">
        <v>58.99</v>
      </c>
      <c r="CY377" s="103">
        <v>2362754.8094899999</v>
      </c>
      <c r="CZ377" s="103">
        <v>36.3719130533743</v>
      </c>
      <c r="DA377" s="103">
        <f t="shared" si="22"/>
        <v>2145.57915101855</v>
      </c>
      <c r="DB377" s="103">
        <v>104085.6</v>
      </c>
      <c r="DC377" s="103">
        <v>106714</v>
      </c>
      <c r="DD377" s="104">
        <v>0.97536967970463118</v>
      </c>
      <c r="DE377" s="103">
        <v>34249.485390000002</v>
      </c>
      <c r="DF377" s="103">
        <v>2.2000000000000002</v>
      </c>
      <c r="DG377" s="103">
        <v>244844.26592999999</v>
      </c>
      <c r="DH377" s="103">
        <v>2.9699999999999998</v>
      </c>
      <c r="DI377" s="103">
        <f t="shared" si="23"/>
        <v>6.5339999999999998</v>
      </c>
      <c r="DJ377" s="103">
        <v>29797.3</v>
      </c>
      <c r="DK377" s="103">
        <v>429314.1</v>
      </c>
      <c r="DL377" s="104">
        <v>6.9406758361768225E-2</v>
      </c>
    </row>
    <row r="378" spans="1:116" s="15" customFormat="1" ht="265.7" customHeight="1" x14ac:dyDescent="0.25">
      <c r="A378" s="100" t="s">
        <v>462</v>
      </c>
      <c r="B378" s="100" t="s">
        <v>2839</v>
      </c>
      <c r="C378" s="100" t="s">
        <v>279</v>
      </c>
      <c r="D378" s="101" t="str">
        <f>"Chemistry 26"</f>
        <v>Chemistry 26</v>
      </c>
      <c r="E378" s="102" t="s">
        <v>2840</v>
      </c>
      <c r="F378" s="100">
        <v>24</v>
      </c>
      <c r="G378" s="100">
        <v>7</v>
      </c>
      <c r="H378" s="100">
        <v>0.28999999999999998</v>
      </c>
      <c r="I378" s="100">
        <v>34</v>
      </c>
      <c r="J378" s="100">
        <v>10</v>
      </c>
      <c r="K378" s="100">
        <v>10</v>
      </c>
      <c r="L378" s="100">
        <v>7</v>
      </c>
      <c r="M378" s="100">
        <v>5</v>
      </c>
      <c r="N378" s="100">
        <v>8</v>
      </c>
      <c r="O378" s="100">
        <v>2</v>
      </c>
      <c r="P378" s="100">
        <v>0.41</v>
      </c>
      <c r="Q378" s="100">
        <v>123.49</v>
      </c>
      <c r="R378" s="100">
        <v>5</v>
      </c>
      <c r="S378" s="100">
        <v>1</v>
      </c>
      <c r="T378" s="100">
        <v>0</v>
      </c>
      <c r="U378" s="100">
        <v>0</v>
      </c>
      <c r="V378" s="100">
        <v>1</v>
      </c>
      <c r="W378" s="100">
        <v>0</v>
      </c>
      <c r="X378" s="100">
        <v>0</v>
      </c>
      <c r="Y378" s="100">
        <v>1</v>
      </c>
      <c r="Z378" s="100">
        <v>0</v>
      </c>
      <c r="AA378" s="100">
        <v>0</v>
      </c>
      <c r="AB378" s="100">
        <v>1</v>
      </c>
      <c r="AC378" s="100">
        <v>0</v>
      </c>
      <c r="AD378" s="100">
        <v>0</v>
      </c>
      <c r="AE378" s="100">
        <v>0</v>
      </c>
      <c r="AF378" s="100">
        <v>1</v>
      </c>
      <c r="AG378" s="100">
        <v>0</v>
      </c>
      <c r="AH378" s="100">
        <v>0</v>
      </c>
      <c r="AI378" s="100">
        <v>0</v>
      </c>
      <c r="AJ378" s="100">
        <v>1</v>
      </c>
      <c r="AK378" s="100">
        <v>0</v>
      </c>
      <c r="AL378" s="100">
        <v>0</v>
      </c>
      <c r="AM378" s="100">
        <v>0</v>
      </c>
      <c r="AN378" s="100">
        <v>1</v>
      </c>
      <c r="AO378" s="100">
        <v>1</v>
      </c>
      <c r="AP378" s="100">
        <v>1</v>
      </c>
      <c r="AQ378" s="100">
        <v>0</v>
      </c>
      <c r="AR378" s="100">
        <v>0</v>
      </c>
      <c r="AS378" s="100">
        <v>0</v>
      </c>
      <c r="AT378" s="100">
        <v>0</v>
      </c>
      <c r="AU378" s="100">
        <v>0</v>
      </c>
      <c r="AV378" s="100">
        <v>0</v>
      </c>
      <c r="AW378" s="100">
        <v>0</v>
      </c>
      <c r="AX378" s="100">
        <v>0</v>
      </c>
      <c r="AY378" s="100">
        <v>0</v>
      </c>
      <c r="AZ378" s="100">
        <v>0</v>
      </c>
      <c r="BA378" s="100">
        <v>0</v>
      </c>
      <c r="BB378" s="100">
        <v>0</v>
      </c>
      <c r="BC378" s="100">
        <v>0</v>
      </c>
      <c r="BD378" s="100">
        <v>0</v>
      </c>
      <c r="BE378" s="100">
        <v>0</v>
      </c>
      <c r="BF378" s="100">
        <v>0</v>
      </c>
      <c r="BG378" s="100">
        <v>0</v>
      </c>
      <c r="BH378" s="100">
        <v>0</v>
      </c>
      <c r="BI378" s="100">
        <v>0</v>
      </c>
      <c r="BJ378" s="100">
        <v>1</v>
      </c>
      <c r="BK378" s="100">
        <v>0</v>
      </c>
      <c r="BL378" s="100">
        <v>0</v>
      </c>
      <c r="BM378" s="100">
        <v>0</v>
      </c>
      <c r="BN378" s="100">
        <v>0</v>
      </c>
      <c r="BO378" s="100">
        <v>0</v>
      </c>
      <c r="BP378" s="100">
        <v>0</v>
      </c>
      <c r="BQ378" s="100">
        <v>1</v>
      </c>
      <c r="BR378" s="100">
        <v>0</v>
      </c>
      <c r="BS378" s="100">
        <v>0</v>
      </c>
      <c r="BT378" s="100">
        <v>0</v>
      </c>
      <c r="BU378" s="100">
        <v>1</v>
      </c>
      <c r="BV378" s="100">
        <v>1</v>
      </c>
      <c r="BW378" s="100">
        <v>1</v>
      </c>
      <c r="BX378" s="100">
        <v>0</v>
      </c>
      <c r="BY378" s="100">
        <v>0</v>
      </c>
      <c r="BZ378" s="100">
        <v>0</v>
      </c>
      <c r="CA378" s="100">
        <v>1</v>
      </c>
      <c r="CB378" s="100" t="s">
        <v>2090</v>
      </c>
      <c r="CC378" s="100">
        <v>0</v>
      </c>
      <c r="CD378" s="100">
        <v>0</v>
      </c>
      <c r="CE378" s="100">
        <v>0</v>
      </c>
      <c r="CF378" s="100">
        <v>0</v>
      </c>
      <c r="CG378" s="103">
        <v>12832.724039999999</v>
      </c>
      <c r="CH378" s="103">
        <v>0.52</v>
      </c>
      <c r="CI378" s="103">
        <v>44790.643179999999</v>
      </c>
      <c r="CJ378" s="103">
        <v>2.77</v>
      </c>
      <c r="CK378" s="103">
        <f t="shared" si="20"/>
        <v>1.4404000000000001</v>
      </c>
      <c r="CL378" s="103">
        <v>980.3</v>
      </c>
      <c r="CM378" s="103">
        <v>160992.70000000001</v>
      </c>
      <c r="CN378" s="104">
        <v>6.0890959652207827E-3</v>
      </c>
      <c r="CO378" s="103">
        <v>0</v>
      </c>
      <c r="CP378" s="103">
        <v>0</v>
      </c>
      <c r="CQ378" s="103">
        <v>745.22907999999995</v>
      </c>
      <c r="CR378" s="103">
        <v>1.44</v>
      </c>
      <c r="CS378" s="103">
        <f t="shared" si="21"/>
        <v>0</v>
      </c>
      <c r="CT378" s="103">
        <v>1176.3</v>
      </c>
      <c r="CU378" s="103">
        <v>103702.7</v>
      </c>
      <c r="CV378" s="104">
        <v>1.1343002641204135E-2</v>
      </c>
      <c r="CW378" s="103">
        <v>31781.209699999999</v>
      </c>
      <c r="CX378" s="103">
        <v>1.24</v>
      </c>
      <c r="CY378" s="103">
        <v>409929.13371000002</v>
      </c>
      <c r="CZ378" s="103">
        <v>9.1484401021427786</v>
      </c>
      <c r="DA378" s="103">
        <f t="shared" si="22"/>
        <v>11.344065726657046</v>
      </c>
      <c r="DB378" s="103">
        <v>2722.2</v>
      </c>
      <c r="DC378" s="103">
        <v>31843.1</v>
      </c>
      <c r="DD378" s="104">
        <v>8.5487907898414414E-2</v>
      </c>
      <c r="DE378" s="103">
        <v>0</v>
      </c>
      <c r="DF378" s="103">
        <v>0</v>
      </c>
      <c r="DG378" s="103">
        <v>389.64064999999999</v>
      </c>
      <c r="DH378" s="103">
        <v>0</v>
      </c>
      <c r="DI378" s="103">
        <f t="shared" si="23"/>
        <v>0</v>
      </c>
      <c r="DJ378" s="103">
        <v>1012.2</v>
      </c>
      <c r="DK378" s="103">
        <v>28042.6</v>
      </c>
      <c r="DL378" s="104">
        <v>3.609508390805418E-2</v>
      </c>
    </row>
    <row r="379" spans="1:116" s="15" customFormat="1" ht="265.7" customHeight="1" x14ac:dyDescent="0.25">
      <c r="A379" s="100" t="s">
        <v>463</v>
      </c>
      <c r="B379" s="100" t="s">
        <v>2841</v>
      </c>
      <c r="C379" s="100" t="s">
        <v>279</v>
      </c>
      <c r="D379" s="105" t="str">
        <f>"Chemistry 165"</f>
        <v>Chemistry 165</v>
      </c>
      <c r="E379" s="102" t="s">
        <v>2842</v>
      </c>
      <c r="F379" s="100">
        <v>28</v>
      </c>
      <c r="G379" s="100">
        <v>7</v>
      </c>
      <c r="H379" s="100">
        <v>0.25</v>
      </c>
      <c r="I379" s="100">
        <v>37</v>
      </c>
      <c r="J379" s="100">
        <v>9</v>
      </c>
      <c r="K379" s="100">
        <v>8</v>
      </c>
      <c r="L379" s="100">
        <v>5</v>
      </c>
      <c r="M379" s="100">
        <v>3</v>
      </c>
      <c r="N379" s="100">
        <v>4</v>
      </c>
      <c r="O379" s="100">
        <v>1</v>
      </c>
      <c r="P379" s="100">
        <v>4.6399999999999997</v>
      </c>
      <c r="Q379" s="100">
        <v>68.25</v>
      </c>
      <c r="R379" s="100">
        <v>4</v>
      </c>
      <c r="S379" s="100">
        <v>1</v>
      </c>
      <c r="T379" s="100">
        <v>0</v>
      </c>
      <c r="U379" s="100">
        <v>0</v>
      </c>
      <c r="V379" s="100">
        <v>1</v>
      </c>
      <c r="W379" s="100">
        <v>0</v>
      </c>
      <c r="X379" s="100">
        <v>0</v>
      </c>
      <c r="Y379" s="100">
        <v>0</v>
      </c>
      <c r="Z379" s="100">
        <v>1</v>
      </c>
      <c r="AA379" s="100">
        <v>0</v>
      </c>
      <c r="AB379" s="100">
        <v>1</v>
      </c>
      <c r="AC379" s="100">
        <v>0</v>
      </c>
      <c r="AD379" s="100">
        <v>0</v>
      </c>
      <c r="AE379" s="100">
        <v>0</v>
      </c>
      <c r="AF379" s="100">
        <v>0</v>
      </c>
      <c r="AG379" s="100">
        <v>1</v>
      </c>
      <c r="AH379" s="100">
        <v>0</v>
      </c>
      <c r="AI379" s="100">
        <v>0</v>
      </c>
      <c r="AJ379" s="100">
        <v>1</v>
      </c>
      <c r="AK379" s="100">
        <v>0</v>
      </c>
      <c r="AL379" s="100">
        <v>0</v>
      </c>
      <c r="AM379" s="100">
        <v>0</v>
      </c>
      <c r="AN379" s="100">
        <v>1</v>
      </c>
      <c r="AO379" s="100">
        <v>0</v>
      </c>
      <c r="AP379" s="100">
        <v>0</v>
      </c>
      <c r="AQ379" s="100">
        <v>0</v>
      </c>
      <c r="AR379" s="100">
        <v>0</v>
      </c>
      <c r="AS379" s="100">
        <v>0</v>
      </c>
      <c r="AT379" s="100">
        <v>1</v>
      </c>
      <c r="AU379" s="100">
        <v>0</v>
      </c>
      <c r="AV379" s="100">
        <v>0</v>
      </c>
      <c r="AW379" s="100">
        <v>0</v>
      </c>
      <c r="AX379" s="100">
        <v>0</v>
      </c>
      <c r="AY379" s="100">
        <v>0</v>
      </c>
      <c r="AZ379" s="100">
        <v>0</v>
      </c>
      <c r="BA379" s="100">
        <v>0</v>
      </c>
      <c r="BB379" s="100">
        <v>0</v>
      </c>
      <c r="BC379" s="100">
        <v>0</v>
      </c>
      <c r="BD379" s="100">
        <v>0</v>
      </c>
      <c r="BE379" s="100">
        <v>0</v>
      </c>
      <c r="BF379" s="100">
        <v>0</v>
      </c>
      <c r="BG379" s="100">
        <v>0</v>
      </c>
      <c r="BH379" s="100">
        <v>0</v>
      </c>
      <c r="BI379" s="100">
        <v>1</v>
      </c>
      <c r="BJ379" s="100">
        <v>2</v>
      </c>
      <c r="BK379" s="100">
        <v>0</v>
      </c>
      <c r="BL379" s="100">
        <v>0</v>
      </c>
      <c r="BM379" s="100">
        <v>0</v>
      </c>
      <c r="BN379" s="100">
        <v>0</v>
      </c>
      <c r="BO379" s="100">
        <v>0</v>
      </c>
      <c r="BP379" s="100">
        <v>0</v>
      </c>
      <c r="BQ379" s="100">
        <v>0</v>
      </c>
      <c r="BR379" s="100">
        <v>0</v>
      </c>
      <c r="BS379" s="100">
        <v>0</v>
      </c>
      <c r="BT379" s="100">
        <v>0</v>
      </c>
      <c r="BU379" s="100">
        <v>0</v>
      </c>
      <c r="BV379" s="100">
        <v>0</v>
      </c>
      <c r="BW379" s="100">
        <v>1</v>
      </c>
      <c r="BX379" s="100">
        <v>0</v>
      </c>
      <c r="BY379" s="100">
        <v>0</v>
      </c>
      <c r="BZ379" s="100">
        <v>0</v>
      </c>
      <c r="CA379" s="100">
        <v>1</v>
      </c>
      <c r="CB379" s="100" t="s">
        <v>2090</v>
      </c>
      <c r="CC379" s="100">
        <v>0</v>
      </c>
      <c r="CD379" s="100">
        <v>0</v>
      </c>
      <c r="CE379" s="100">
        <v>0</v>
      </c>
      <c r="CF379" s="100">
        <v>0</v>
      </c>
      <c r="CG379" s="103">
        <v>430697.70634999999</v>
      </c>
      <c r="CH379" s="103">
        <v>22.96</v>
      </c>
      <c r="CI379" s="103">
        <v>1308601.1354100001</v>
      </c>
      <c r="CJ379" s="103">
        <v>16.7</v>
      </c>
      <c r="CK379" s="103">
        <f t="shared" si="20"/>
        <v>383.43200000000002</v>
      </c>
      <c r="CL379" s="103">
        <v>38064.6</v>
      </c>
      <c r="CM379" s="103">
        <v>425335.7</v>
      </c>
      <c r="CN379" s="104">
        <v>8.9493075704672798E-2</v>
      </c>
      <c r="CO379" s="103">
        <v>20114.31005</v>
      </c>
      <c r="CP379" s="103">
        <v>0.65</v>
      </c>
      <c r="CQ379" s="103">
        <v>74082.401270000002</v>
      </c>
      <c r="CR379" s="103">
        <v>1.48</v>
      </c>
      <c r="CS379" s="103">
        <f t="shared" si="21"/>
        <v>0.96199999999999997</v>
      </c>
      <c r="CT379" s="103">
        <v>3771.6</v>
      </c>
      <c r="CU379" s="103">
        <v>399514.6</v>
      </c>
      <c r="CV379" s="104">
        <v>9.4404559933479286E-3</v>
      </c>
      <c r="CW379" s="103">
        <v>318118.31283000001</v>
      </c>
      <c r="CX379" s="103">
        <v>14.81</v>
      </c>
      <c r="CY379" s="103">
        <v>1206212.9057</v>
      </c>
      <c r="CZ379" s="103">
        <v>21.549227799227801</v>
      </c>
      <c r="DA379" s="103">
        <f t="shared" si="22"/>
        <v>319.14406370656371</v>
      </c>
      <c r="DB379" s="103">
        <v>17259.3</v>
      </c>
      <c r="DC379" s="103">
        <v>396321.6</v>
      </c>
      <c r="DD379" s="104">
        <v>4.3548724066515679E-2</v>
      </c>
      <c r="DE379" s="103">
        <v>34340.057979999998</v>
      </c>
      <c r="DF379" s="103">
        <v>1.05</v>
      </c>
      <c r="DG379" s="103">
        <v>186124.60279</v>
      </c>
      <c r="DH379" s="103">
        <v>3.52</v>
      </c>
      <c r="DI379" s="103">
        <f t="shared" si="23"/>
        <v>3.6960000000000002</v>
      </c>
      <c r="DJ379" s="103">
        <v>4001.5</v>
      </c>
      <c r="DK379" s="103">
        <v>491592.2</v>
      </c>
      <c r="DL379" s="104">
        <v>8.1398769142390793E-3</v>
      </c>
    </row>
    <row r="380" spans="1:116" s="15" customFormat="1" ht="213.95" customHeight="1" x14ac:dyDescent="0.25">
      <c r="A380" s="100" t="s">
        <v>464</v>
      </c>
      <c r="B380" s="100" t="s">
        <v>2843</v>
      </c>
      <c r="C380" s="100" t="s">
        <v>279</v>
      </c>
      <c r="D380" s="105" t="str">
        <f>"Chemistry 112"</f>
        <v>Chemistry 112</v>
      </c>
      <c r="E380" s="102" t="s">
        <v>2844</v>
      </c>
      <c r="F380" s="100">
        <v>21</v>
      </c>
      <c r="G380" s="100">
        <v>4</v>
      </c>
      <c r="H380" s="100">
        <v>0.19</v>
      </c>
      <c r="I380" s="100">
        <v>28</v>
      </c>
      <c r="J380" s="100">
        <v>7</v>
      </c>
      <c r="K380" s="100">
        <v>7</v>
      </c>
      <c r="L380" s="100">
        <v>3</v>
      </c>
      <c r="M380" s="100">
        <v>3</v>
      </c>
      <c r="N380" s="100">
        <v>4</v>
      </c>
      <c r="O380" s="100">
        <v>2</v>
      </c>
      <c r="P380" s="100">
        <v>3.52</v>
      </c>
      <c r="Q380" s="100">
        <v>78.5</v>
      </c>
      <c r="R380" s="100">
        <v>4</v>
      </c>
      <c r="S380" s="100">
        <v>1</v>
      </c>
      <c r="T380" s="100">
        <v>0</v>
      </c>
      <c r="U380" s="100">
        <v>0</v>
      </c>
      <c r="V380" s="100">
        <v>0</v>
      </c>
      <c r="W380" s="100">
        <v>0</v>
      </c>
      <c r="X380" s="100">
        <v>0</v>
      </c>
      <c r="Y380" s="100">
        <v>1</v>
      </c>
      <c r="Z380" s="100">
        <v>0</v>
      </c>
      <c r="AA380" s="100">
        <v>0</v>
      </c>
      <c r="AB380" s="100">
        <v>1</v>
      </c>
      <c r="AC380" s="100">
        <v>0</v>
      </c>
      <c r="AD380" s="100">
        <v>0</v>
      </c>
      <c r="AE380" s="100">
        <v>0</v>
      </c>
      <c r="AF380" s="100">
        <v>0</v>
      </c>
      <c r="AG380" s="100">
        <v>1</v>
      </c>
      <c r="AH380" s="100">
        <v>0</v>
      </c>
      <c r="AI380" s="100">
        <v>0</v>
      </c>
      <c r="AJ380" s="100">
        <v>1</v>
      </c>
      <c r="AK380" s="100">
        <v>0</v>
      </c>
      <c r="AL380" s="100">
        <v>0</v>
      </c>
      <c r="AM380" s="100">
        <v>0</v>
      </c>
      <c r="AN380" s="100">
        <v>0</v>
      </c>
      <c r="AO380" s="100">
        <v>0</v>
      </c>
      <c r="AP380" s="100">
        <v>0</v>
      </c>
      <c r="AQ380" s="100">
        <v>0</v>
      </c>
      <c r="AR380" s="100">
        <v>0</v>
      </c>
      <c r="AS380" s="100">
        <v>0</v>
      </c>
      <c r="AT380" s="100">
        <v>1</v>
      </c>
      <c r="AU380" s="100">
        <v>0</v>
      </c>
      <c r="AV380" s="100">
        <v>0</v>
      </c>
      <c r="AW380" s="100">
        <v>0</v>
      </c>
      <c r="AX380" s="100">
        <v>0</v>
      </c>
      <c r="AY380" s="100">
        <v>0</v>
      </c>
      <c r="AZ380" s="100">
        <v>0</v>
      </c>
      <c r="BA380" s="100">
        <v>0</v>
      </c>
      <c r="BB380" s="100">
        <v>0</v>
      </c>
      <c r="BC380" s="100">
        <v>0</v>
      </c>
      <c r="BD380" s="100">
        <v>0</v>
      </c>
      <c r="BE380" s="100">
        <v>0</v>
      </c>
      <c r="BF380" s="100">
        <v>1</v>
      </c>
      <c r="BG380" s="100">
        <v>0</v>
      </c>
      <c r="BH380" s="100">
        <v>0</v>
      </c>
      <c r="BI380" s="100">
        <v>0</v>
      </c>
      <c r="BJ380" s="100">
        <v>2</v>
      </c>
      <c r="BK380" s="100">
        <v>0</v>
      </c>
      <c r="BL380" s="100">
        <v>1</v>
      </c>
      <c r="BM380" s="100">
        <v>0</v>
      </c>
      <c r="BN380" s="100">
        <v>0</v>
      </c>
      <c r="BO380" s="100">
        <v>0</v>
      </c>
      <c r="BP380" s="100">
        <v>0</v>
      </c>
      <c r="BQ380" s="100">
        <v>0</v>
      </c>
      <c r="BR380" s="100">
        <v>0</v>
      </c>
      <c r="BS380" s="100">
        <v>0</v>
      </c>
      <c r="BT380" s="100">
        <v>0</v>
      </c>
      <c r="BU380" s="100">
        <v>0</v>
      </c>
      <c r="BV380" s="100">
        <v>0</v>
      </c>
      <c r="BW380" s="100">
        <v>0</v>
      </c>
      <c r="BX380" s="100">
        <v>1</v>
      </c>
      <c r="BY380" s="100">
        <v>0</v>
      </c>
      <c r="BZ380" s="100">
        <v>1</v>
      </c>
      <c r="CA380" s="100">
        <v>0</v>
      </c>
      <c r="CB380" s="100" t="s">
        <v>2090</v>
      </c>
      <c r="CC380" s="100">
        <v>0</v>
      </c>
      <c r="CD380" s="100">
        <v>0</v>
      </c>
      <c r="CE380" s="100">
        <v>0</v>
      </c>
      <c r="CF380" s="100">
        <v>0</v>
      </c>
      <c r="CG380" s="103">
        <v>42517.761350000001</v>
      </c>
      <c r="CH380" s="103">
        <v>1.27</v>
      </c>
      <c r="CI380" s="103">
        <v>5925.3521499999997</v>
      </c>
      <c r="CJ380" s="103">
        <v>6.35</v>
      </c>
      <c r="CK380" s="103">
        <f t="shared" si="20"/>
        <v>8.0644999999999989</v>
      </c>
      <c r="CL380" s="103">
        <v>1899.1</v>
      </c>
      <c r="CM380" s="103">
        <v>521791.3</v>
      </c>
      <c r="CN380" s="104">
        <v>3.6395777392225588E-3</v>
      </c>
      <c r="CO380" s="103">
        <v>0</v>
      </c>
      <c r="CP380" s="103">
        <v>0</v>
      </c>
      <c r="CQ380" s="103">
        <v>259372.75716000001</v>
      </c>
      <c r="CR380" s="103">
        <v>2.12</v>
      </c>
      <c r="CS380" s="103">
        <f t="shared" si="21"/>
        <v>0</v>
      </c>
      <c r="CT380" s="103">
        <v>89676.4</v>
      </c>
      <c r="CU380" s="103">
        <v>781749.6</v>
      </c>
      <c r="CV380" s="104">
        <v>0.11471243477451092</v>
      </c>
      <c r="CW380" s="103">
        <v>0</v>
      </c>
      <c r="CX380" s="103">
        <v>0</v>
      </c>
      <c r="CY380" s="103">
        <v>31737.73619</v>
      </c>
      <c r="CZ380" s="103">
        <v>0.94571358388602311</v>
      </c>
      <c r="DA380" s="103">
        <f t="shared" si="22"/>
        <v>0</v>
      </c>
      <c r="DB380" s="103">
        <v>2825.8</v>
      </c>
      <c r="DC380" s="103">
        <v>695547.8</v>
      </c>
      <c r="DD380" s="104">
        <v>4.0626970569096763E-3</v>
      </c>
      <c r="DE380" s="103">
        <v>86782.430800000002</v>
      </c>
      <c r="DF380" s="103">
        <v>2.04</v>
      </c>
      <c r="DG380" s="103">
        <v>685927.58071000001</v>
      </c>
      <c r="DH380" s="103">
        <v>4.8100000000000005</v>
      </c>
      <c r="DI380" s="103">
        <f t="shared" si="23"/>
        <v>9.812400000000002</v>
      </c>
      <c r="DJ380" s="103">
        <v>54890.6</v>
      </c>
      <c r="DK380" s="103">
        <v>563195.19999999995</v>
      </c>
      <c r="DL380" s="104">
        <v>9.7462833490058159E-2</v>
      </c>
    </row>
    <row r="381" spans="1:116" s="15" customFormat="1" ht="213.95" customHeight="1" x14ac:dyDescent="0.25">
      <c r="A381" s="100" t="s">
        <v>465</v>
      </c>
      <c r="B381" s="100" t="s">
        <v>2845</v>
      </c>
      <c r="C381" s="100" t="s">
        <v>279</v>
      </c>
      <c r="D381" s="115" t="str">
        <f>"Chemistry 186"</f>
        <v>Chemistry 186</v>
      </c>
      <c r="E381" s="102" t="s">
        <v>2846</v>
      </c>
      <c r="F381" s="100">
        <v>19</v>
      </c>
      <c r="G381" s="100">
        <v>12</v>
      </c>
      <c r="H381" s="100">
        <v>0.63</v>
      </c>
      <c r="I381" s="100">
        <v>25</v>
      </c>
      <c r="J381" s="100">
        <v>6</v>
      </c>
      <c r="K381" s="100">
        <v>6</v>
      </c>
      <c r="L381" s="100">
        <v>2</v>
      </c>
      <c r="M381" s="100">
        <v>1</v>
      </c>
      <c r="N381" s="100">
        <v>3</v>
      </c>
      <c r="O381" s="100">
        <v>3</v>
      </c>
      <c r="P381" s="100">
        <v>1.89</v>
      </c>
      <c r="Q381" s="100">
        <v>61.36</v>
      </c>
      <c r="R381" s="100">
        <v>5</v>
      </c>
      <c r="S381" s="100">
        <v>1</v>
      </c>
      <c r="T381" s="100">
        <v>0</v>
      </c>
      <c r="U381" s="100">
        <v>0</v>
      </c>
      <c r="V381" s="100">
        <v>0</v>
      </c>
      <c r="W381" s="100">
        <v>1</v>
      </c>
      <c r="X381" s="100">
        <v>0</v>
      </c>
      <c r="Y381" s="100">
        <v>1</v>
      </c>
      <c r="Z381" s="100">
        <v>0</v>
      </c>
      <c r="AA381" s="100">
        <v>0</v>
      </c>
      <c r="AB381" s="100">
        <v>0</v>
      </c>
      <c r="AC381" s="100">
        <v>1</v>
      </c>
      <c r="AD381" s="100">
        <v>0</v>
      </c>
      <c r="AE381" s="100">
        <v>0</v>
      </c>
      <c r="AF381" s="100">
        <v>0</v>
      </c>
      <c r="AG381" s="100">
        <v>1</v>
      </c>
      <c r="AH381" s="100">
        <v>0</v>
      </c>
      <c r="AI381" s="100">
        <v>0</v>
      </c>
      <c r="AJ381" s="100">
        <v>1</v>
      </c>
      <c r="AK381" s="100">
        <v>0</v>
      </c>
      <c r="AL381" s="100">
        <v>0</v>
      </c>
      <c r="AM381" s="100">
        <v>0</v>
      </c>
      <c r="AN381" s="100">
        <v>0</v>
      </c>
      <c r="AO381" s="100">
        <v>0</v>
      </c>
      <c r="AP381" s="100">
        <v>1</v>
      </c>
      <c r="AQ381" s="100">
        <v>0</v>
      </c>
      <c r="AR381" s="100">
        <v>0</v>
      </c>
      <c r="AS381" s="100">
        <v>0</v>
      </c>
      <c r="AT381" s="100">
        <v>1</v>
      </c>
      <c r="AU381" s="100">
        <v>0</v>
      </c>
      <c r="AV381" s="100">
        <v>0</v>
      </c>
      <c r="AW381" s="100">
        <v>0</v>
      </c>
      <c r="AX381" s="100">
        <v>0</v>
      </c>
      <c r="AY381" s="100">
        <v>0</v>
      </c>
      <c r="AZ381" s="100">
        <v>0</v>
      </c>
      <c r="BA381" s="100">
        <v>0</v>
      </c>
      <c r="BB381" s="100">
        <v>0</v>
      </c>
      <c r="BC381" s="100">
        <v>0</v>
      </c>
      <c r="BD381" s="100">
        <v>0</v>
      </c>
      <c r="BE381" s="100">
        <v>0</v>
      </c>
      <c r="BF381" s="100">
        <v>0</v>
      </c>
      <c r="BG381" s="100">
        <v>0</v>
      </c>
      <c r="BH381" s="100">
        <v>0</v>
      </c>
      <c r="BI381" s="100">
        <v>0</v>
      </c>
      <c r="BJ381" s="100">
        <v>2</v>
      </c>
      <c r="BK381" s="100">
        <v>0</v>
      </c>
      <c r="BL381" s="100">
        <v>1</v>
      </c>
      <c r="BM381" s="100">
        <v>0</v>
      </c>
      <c r="BN381" s="100">
        <v>0</v>
      </c>
      <c r="BO381" s="100">
        <v>0</v>
      </c>
      <c r="BP381" s="100">
        <v>0</v>
      </c>
      <c r="BQ381" s="100">
        <v>0</v>
      </c>
      <c r="BR381" s="100">
        <v>0</v>
      </c>
      <c r="BS381" s="100">
        <v>0</v>
      </c>
      <c r="BT381" s="100">
        <v>0</v>
      </c>
      <c r="BU381" s="100">
        <v>0</v>
      </c>
      <c r="BV381" s="100">
        <v>0</v>
      </c>
      <c r="BW381" s="100">
        <v>1</v>
      </c>
      <c r="BX381" s="100">
        <v>0</v>
      </c>
      <c r="BY381" s="100">
        <v>0</v>
      </c>
      <c r="BZ381" s="100">
        <v>0</v>
      </c>
      <c r="CA381" s="100">
        <v>1</v>
      </c>
      <c r="CB381" s="100" t="s">
        <v>2090</v>
      </c>
      <c r="CC381" s="100">
        <v>0</v>
      </c>
      <c r="CD381" s="100">
        <v>0</v>
      </c>
      <c r="CE381" s="100">
        <v>0</v>
      </c>
      <c r="CF381" s="100">
        <v>0</v>
      </c>
      <c r="CG381" s="103">
        <v>780565.48033000005</v>
      </c>
      <c r="CH381" s="103">
        <v>46.33</v>
      </c>
      <c r="CI381" s="103">
        <v>3895736.7248800001</v>
      </c>
      <c r="CJ381" s="103">
        <v>27.4</v>
      </c>
      <c r="CK381" s="103">
        <f t="shared" si="20"/>
        <v>1269.4419999999998</v>
      </c>
      <c r="CL381" s="103">
        <v>296889</v>
      </c>
      <c r="CM381" s="103">
        <v>247711.3</v>
      </c>
      <c r="CN381" s="104">
        <v>1.1985282867596272</v>
      </c>
      <c r="CO381" s="103">
        <v>91453.720879999993</v>
      </c>
      <c r="CP381" s="103">
        <v>5.38</v>
      </c>
      <c r="CQ381" s="103">
        <v>2020725.31238</v>
      </c>
      <c r="CR381" s="103">
        <v>13.75</v>
      </c>
      <c r="CS381" s="103">
        <f t="shared" si="21"/>
        <v>73.974999999999994</v>
      </c>
      <c r="CT381" s="103">
        <v>289451.09999999998</v>
      </c>
      <c r="CU381" s="103">
        <v>777728.8</v>
      </c>
      <c r="CV381" s="104">
        <v>0.37217485066773914</v>
      </c>
      <c r="CW381" s="103">
        <v>618505.5601</v>
      </c>
      <c r="CX381" s="103">
        <v>37.47</v>
      </c>
      <c r="CY381" s="103">
        <v>4604946.9753400004</v>
      </c>
      <c r="CZ381" s="103">
        <v>43.135680697327672</v>
      </c>
      <c r="DA381" s="103">
        <f t="shared" si="22"/>
        <v>1616.2939557288678</v>
      </c>
      <c r="DB381" s="103">
        <v>287757.59999999998</v>
      </c>
      <c r="DC381" s="103">
        <v>350240.9</v>
      </c>
      <c r="DD381" s="104">
        <v>0.82159907652133135</v>
      </c>
      <c r="DE381" s="103">
        <v>85893.214959999998</v>
      </c>
      <c r="DF381" s="103">
        <v>5.38</v>
      </c>
      <c r="DG381" s="103">
        <v>1768123.2438300001</v>
      </c>
      <c r="DH381" s="103">
        <v>11.63</v>
      </c>
      <c r="DI381" s="103">
        <f t="shared" si="23"/>
        <v>62.569400000000002</v>
      </c>
      <c r="DJ381" s="103">
        <v>118751.4</v>
      </c>
      <c r="DK381" s="103">
        <v>518306.3</v>
      </c>
      <c r="DL381" s="104">
        <v>0.22911432872801277</v>
      </c>
    </row>
    <row r="382" spans="1:116" s="15" customFormat="1" ht="265.7" customHeight="1" x14ac:dyDescent="0.25">
      <c r="A382" s="100" t="s">
        <v>466</v>
      </c>
      <c r="B382" s="100" t="s">
        <v>2847</v>
      </c>
      <c r="C382" s="100" t="s">
        <v>279</v>
      </c>
      <c r="D382" s="101" t="str">
        <f>"Chemistry 131"</f>
        <v>Chemistry 131</v>
      </c>
      <c r="E382" s="102" t="s">
        <v>2848</v>
      </c>
      <c r="F382" s="100">
        <v>31</v>
      </c>
      <c r="G382" s="100">
        <v>11</v>
      </c>
      <c r="H382" s="100">
        <v>0.35</v>
      </c>
      <c r="I382" s="100">
        <v>39</v>
      </c>
      <c r="J382" s="100">
        <v>8</v>
      </c>
      <c r="K382" s="100">
        <v>5</v>
      </c>
      <c r="L382" s="100">
        <v>5</v>
      </c>
      <c r="M382" s="100">
        <v>4</v>
      </c>
      <c r="N382" s="100">
        <v>4</v>
      </c>
      <c r="O382" s="100">
        <v>3</v>
      </c>
      <c r="P382" s="100">
        <v>6.95</v>
      </c>
      <c r="Q382" s="100">
        <v>65.63</v>
      </c>
      <c r="R382" s="100">
        <v>9</v>
      </c>
      <c r="S382" s="100">
        <v>1</v>
      </c>
      <c r="T382" s="100">
        <v>0</v>
      </c>
      <c r="U382" s="100">
        <v>0</v>
      </c>
      <c r="V382" s="100">
        <v>1</v>
      </c>
      <c r="W382" s="100">
        <v>0</v>
      </c>
      <c r="X382" s="100">
        <v>0</v>
      </c>
      <c r="Y382" s="100">
        <v>1</v>
      </c>
      <c r="Z382" s="100">
        <v>0</v>
      </c>
      <c r="AA382" s="100">
        <v>0</v>
      </c>
      <c r="AB382" s="100">
        <v>1</v>
      </c>
      <c r="AC382" s="100">
        <v>0</v>
      </c>
      <c r="AD382" s="100">
        <v>0</v>
      </c>
      <c r="AE382" s="100">
        <v>0</v>
      </c>
      <c r="AF382" s="100">
        <v>0</v>
      </c>
      <c r="AG382" s="100">
        <v>1</v>
      </c>
      <c r="AH382" s="100">
        <v>0</v>
      </c>
      <c r="AI382" s="100">
        <v>0</v>
      </c>
      <c r="AJ382" s="100">
        <v>1</v>
      </c>
      <c r="AK382" s="100">
        <v>0</v>
      </c>
      <c r="AL382" s="100">
        <v>0</v>
      </c>
      <c r="AM382" s="100">
        <v>0</v>
      </c>
      <c r="AN382" s="100">
        <v>1</v>
      </c>
      <c r="AO382" s="100">
        <v>1</v>
      </c>
      <c r="AP382" s="100">
        <v>0</v>
      </c>
      <c r="AQ382" s="100">
        <v>0</v>
      </c>
      <c r="AR382" s="100">
        <v>0</v>
      </c>
      <c r="AS382" s="100">
        <v>0</v>
      </c>
      <c r="AT382" s="100">
        <v>0</v>
      </c>
      <c r="AU382" s="100">
        <v>1</v>
      </c>
      <c r="AV382" s="100">
        <v>0</v>
      </c>
      <c r="AW382" s="100">
        <v>0</v>
      </c>
      <c r="AX382" s="100">
        <v>0</v>
      </c>
      <c r="AY382" s="100">
        <v>0</v>
      </c>
      <c r="AZ382" s="100">
        <v>0</v>
      </c>
      <c r="BA382" s="100">
        <v>0</v>
      </c>
      <c r="BB382" s="100">
        <v>0</v>
      </c>
      <c r="BC382" s="100">
        <v>0</v>
      </c>
      <c r="BD382" s="100">
        <v>0</v>
      </c>
      <c r="BE382" s="100">
        <v>0</v>
      </c>
      <c r="BF382" s="100">
        <v>0</v>
      </c>
      <c r="BG382" s="100">
        <v>0</v>
      </c>
      <c r="BH382" s="100">
        <v>0</v>
      </c>
      <c r="BI382" s="100">
        <v>0</v>
      </c>
      <c r="BJ382" s="100">
        <v>1</v>
      </c>
      <c r="BK382" s="100">
        <v>0</v>
      </c>
      <c r="BL382" s="100">
        <v>0</v>
      </c>
      <c r="BM382" s="100">
        <v>1</v>
      </c>
      <c r="BN382" s="100">
        <v>0</v>
      </c>
      <c r="BO382" s="100">
        <v>0</v>
      </c>
      <c r="BP382" s="100">
        <v>0</v>
      </c>
      <c r="BQ382" s="100">
        <v>0</v>
      </c>
      <c r="BR382" s="100">
        <v>1</v>
      </c>
      <c r="BS382" s="100">
        <v>1</v>
      </c>
      <c r="BT382" s="100">
        <v>0</v>
      </c>
      <c r="BU382" s="100">
        <v>0</v>
      </c>
      <c r="BV382" s="100">
        <v>0</v>
      </c>
      <c r="BW382" s="100">
        <v>1</v>
      </c>
      <c r="BX382" s="100">
        <v>0</v>
      </c>
      <c r="BY382" s="100">
        <v>0</v>
      </c>
      <c r="BZ382" s="100">
        <v>0</v>
      </c>
      <c r="CA382" s="100">
        <v>1</v>
      </c>
      <c r="CB382" s="100" t="s">
        <v>2090</v>
      </c>
      <c r="CC382" s="100">
        <v>0</v>
      </c>
      <c r="CD382" s="100">
        <v>0</v>
      </c>
      <c r="CE382" s="100">
        <v>0</v>
      </c>
      <c r="CF382" s="100">
        <v>0</v>
      </c>
      <c r="CG382" s="103">
        <v>305214.16164000001</v>
      </c>
      <c r="CH382" s="103">
        <v>11.64</v>
      </c>
      <c r="CI382" s="103">
        <v>1979839.9119500001</v>
      </c>
      <c r="CJ382" s="103">
        <v>23.52</v>
      </c>
      <c r="CK382" s="103">
        <f t="shared" si="20"/>
        <v>273.77280000000002</v>
      </c>
      <c r="CL382" s="103">
        <v>16366.6</v>
      </c>
      <c r="CM382" s="103">
        <v>426001.6</v>
      </c>
      <c r="CN382" s="104">
        <v>3.8419104529184872E-2</v>
      </c>
      <c r="CO382" s="103">
        <v>59933.597529999999</v>
      </c>
      <c r="CP382" s="103">
        <v>1.97</v>
      </c>
      <c r="CQ382" s="103">
        <v>226559.38951000001</v>
      </c>
      <c r="CR382" s="103">
        <v>3.42</v>
      </c>
      <c r="CS382" s="103">
        <f t="shared" si="21"/>
        <v>6.7374000000000001</v>
      </c>
      <c r="CT382" s="103">
        <v>20088.400000000001</v>
      </c>
      <c r="CU382" s="103">
        <v>384400.8</v>
      </c>
      <c r="CV382" s="104">
        <v>5.2258996339237591E-2</v>
      </c>
      <c r="CW382" s="103">
        <v>253751.71836999999</v>
      </c>
      <c r="CX382" s="103">
        <v>8.91</v>
      </c>
      <c r="CY382" s="103">
        <v>1575197.6233699999</v>
      </c>
      <c r="CZ382" s="103">
        <v>19.66</v>
      </c>
      <c r="DA382" s="103">
        <f t="shared" si="22"/>
        <v>175.17060000000001</v>
      </c>
      <c r="DB382" s="103">
        <v>12480.1</v>
      </c>
      <c r="DC382" s="103">
        <v>379247.1</v>
      </c>
      <c r="DD382" s="104">
        <v>3.290756870652406E-2</v>
      </c>
      <c r="DE382" s="103">
        <v>45154.365850000002</v>
      </c>
      <c r="DF382" s="103">
        <v>1.51</v>
      </c>
      <c r="DG382" s="103">
        <v>93807.259120000002</v>
      </c>
      <c r="DH382" s="103">
        <v>1.1100000000000001</v>
      </c>
      <c r="DI382" s="103">
        <f t="shared" si="23"/>
        <v>1.6761000000000001</v>
      </c>
      <c r="DJ382" s="103">
        <v>4369.2</v>
      </c>
      <c r="DK382" s="103">
        <v>311908.7</v>
      </c>
      <c r="DL382" s="104">
        <v>1.4007945273729137E-2</v>
      </c>
    </row>
    <row r="383" spans="1:116" s="15" customFormat="1" ht="265.7" customHeight="1" x14ac:dyDescent="0.25">
      <c r="A383" s="100" t="s">
        <v>467</v>
      </c>
      <c r="B383" s="100" t="s">
        <v>2849</v>
      </c>
      <c r="C383" s="100" t="s">
        <v>279</v>
      </c>
      <c r="D383" s="105" t="str">
        <f>"Chemistry 89"</f>
        <v>Chemistry 89</v>
      </c>
      <c r="E383" s="102" t="s">
        <v>2850</v>
      </c>
      <c r="F383" s="100">
        <v>21</v>
      </c>
      <c r="G383" s="100">
        <v>7</v>
      </c>
      <c r="H383" s="100">
        <v>0.33</v>
      </c>
      <c r="I383" s="100">
        <v>26</v>
      </c>
      <c r="J383" s="100">
        <v>5</v>
      </c>
      <c r="K383" s="100">
        <v>5</v>
      </c>
      <c r="L383" s="100">
        <v>3</v>
      </c>
      <c r="M383" s="100">
        <v>2</v>
      </c>
      <c r="N383" s="100">
        <v>3</v>
      </c>
      <c r="O383" s="100">
        <v>1</v>
      </c>
      <c r="P383" s="100">
        <v>2.71</v>
      </c>
      <c r="Q383" s="100">
        <v>52.65</v>
      </c>
      <c r="R383" s="100">
        <v>4</v>
      </c>
      <c r="S383" s="100">
        <v>1</v>
      </c>
      <c r="T383" s="100">
        <v>0</v>
      </c>
      <c r="U383" s="100">
        <v>0</v>
      </c>
      <c r="V383" s="100">
        <v>0</v>
      </c>
      <c r="W383" s="100">
        <v>1</v>
      </c>
      <c r="X383" s="100">
        <v>0</v>
      </c>
      <c r="Y383" s="100">
        <v>0</v>
      </c>
      <c r="Z383" s="100">
        <v>1</v>
      </c>
      <c r="AA383" s="100">
        <v>0</v>
      </c>
      <c r="AB383" s="100">
        <v>0</v>
      </c>
      <c r="AC383" s="100">
        <v>1</v>
      </c>
      <c r="AD383" s="100">
        <v>0</v>
      </c>
      <c r="AE383" s="100">
        <v>0</v>
      </c>
      <c r="AF383" s="100">
        <v>0</v>
      </c>
      <c r="AG383" s="100">
        <v>1</v>
      </c>
      <c r="AH383" s="100">
        <v>0</v>
      </c>
      <c r="AI383" s="100">
        <v>0</v>
      </c>
      <c r="AJ383" s="100">
        <v>1</v>
      </c>
      <c r="AK383" s="100">
        <v>0</v>
      </c>
      <c r="AL383" s="100">
        <v>0</v>
      </c>
      <c r="AM383" s="100">
        <v>0</v>
      </c>
      <c r="AN383" s="100">
        <v>0</v>
      </c>
      <c r="AO383" s="100">
        <v>0</v>
      </c>
      <c r="AP383" s="100">
        <v>0</v>
      </c>
      <c r="AQ383" s="100">
        <v>0</v>
      </c>
      <c r="AR383" s="100">
        <v>1</v>
      </c>
      <c r="AS383" s="100">
        <v>0</v>
      </c>
      <c r="AT383" s="100">
        <v>1</v>
      </c>
      <c r="AU383" s="100">
        <v>0</v>
      </c>
      <c r="AV383" s="100">
        <v>0</v>
      </c>
      <c r="AW383" s="100">
        <v>0</v>
      </c>
      <c r="AX383" s="100">
        <v>0</v>
      </c>
      <c r="AY383" s="100">
        <v>0</v>
      </c>
      <c r="AZ383" s="100">
        <v>0</v>
      </c>
      <c r="BA383" s="100">
        <v>0</v>
      </c>
      <c r="BB383" s="100">
        <v>0</v>
      </c>
      <c r="BC383" s="100">
        <v>0</v>
      </c>
      <c r="BD383" s="100">
        <v>0</v>
      </c>
      <c r="BE383" s="100">
        <v>0</v>
      </c>
      <c r="BF383" s="100">
        <v>0</v>
      </c>
      <c r="BG383" s="100">
        <v>0</v>
      </c>
      <c r="BH383" s="100">
        <v>0</v>
      </c>
      <c r="BI383" s="100">
        <v>0</v>
      </c>
      <c r="BJ383" s="100">
        <v>3</v>
      </c>
      <c r="BK383" s="100">
        <v>0</v>
      </c>
      <c r="BL383" s="100">
        <v>0</v>
      </c>
      <c r="BM383" s="100">
        <v>0</v>
      </c>
      <c r="BN383" s="100">
        <v>0</v>
      </c>
      <c r="BO383" s="100">
        <v>0</v>
      </c>
      <c r="BP383" s="100">
        <v>0</v>
      </c>
      <c r="BQ383" s="100">
        <v>0</v>
      </c>
      <c r="BR383" s="100">
        <v>0</v>
      </c>
      <c r="BS383" s="100">
        <v>0</v>
      </c>
      <c r="BT383" s="100">
        <v>0</v>
      </c>
      <c r="BU383" s="100">
        <v>0</v>
      </c>
      <c r="BV383" s="100">
        <v>0</v>
      </c>
      <c r="BW383" s="100">
        <v>1</v>
      </c>
      <c r="BX383" s="100">
        <v>0</v>
      </c>
      <c r="BY383" s="100">
        <v>0</v>
      </c>
      <c r="BZ383" s="100">
        <v>1</v>
      </c>
      <c r="CA383" s="100">
        <v>1</v>
      </c>
      <c r="CB383" s="100" t="s">
        <v>2090</v>
      </c>
      <c r="CC383" s="100">
        <v>0</v>
      </c>
      <c r="CD383" s="100">
        <v>0</v>
      </c>
      <c r="CE383" s="100">
        <v>0</v>
      </c>
      <c r="CF383" s="100">
        <v>0</v>
      </c>
      <c r="CG383" s="103">
        <v>314506.24907999998</v>
      </c>
      <c r="CH383" s="103">
        <v>9.9700000000000006</v>
      </c>
      <c r="CI383" s="103">
        <v>1970173.9533299999</v>
      </c>
      <c r="CJ383" s="103">
        <v>12</v>
      </c>
      <c r="CK383" s="103">
        <f t="shared" si="20"/>
        <v>119.64000000000001</v>
      </c>
      <c r="CL383" s="103">
        <v>38961.699999999997</v>
      </c>
      <c r="CM383" s="103">
        <v>289688.59999999998</v>
      </c>
      <c r="CN383" s="104">
        <v>0.13449510957628294</v>
      </c>
      <c r="CO383" s="103">
        <v>46586.275289999998</v>
      </c>
      <c r="CP383" s="103">
        <v>0.87</v>
      </c>
      <c r="CQ383" s="103">
        <v>192229.35743999999</v>
      </c>
      <c r="CR383" s="103">
        <v>1.87</v>
      </c>
      <c r="CS383" s="103">
        <f t="shared" si="21"/>
        <v>1.6269</v>
      </c>
      <c r="CT383" s="103">
        <v>5505.1</v>
      </c>
      <c r="CU383" s="103">
        <v>336512.5</v>
      </c>
      <c r="CV383" s="104">
        <v>1.6359273429664575E-2</v>
      </c>
      <c r="CW383" s="103">
        <v>331015.92715</v>
      </c>
      <c r="CX383" s="103">
        <v>11.1</v>
      </c>
      <c r="CY383" s="103">
        <v>2436655.4363699998</v>
      </c>
      <c r="CZ383" s="103">
        <v>13.669372063220846</v>
      </c>
      <c r="DA383" s="103">
        <f t="shared" si="22"/>
        <v>151.73002990175138</v>
      </c>
      <c r="DB383" s="103">
        <v>33772.5</v>
      </c>
      <c r="DC383" s="103">
        <v>273411</v>
      </c>
      <c r="DD383" s="104">
        <v>0.12352282826952829</v>
      </c>
      <c r="DE383" s="103">
        <v>0</v>
      </c>
      <c r="DF383" s="103">
        <v>0</v>
      </c>
      <c r="DG383" s="103">
        <v>54250.649279999998</v>
      </c>
      <c r="DH383" s="103">
        <v>0.79</v>
      </c>
      <c r="DI383" s="103">
        <f t="shared" si="23"/>
        <v>0</v>
      </c>
      <c r="DJ383" s="103">
        <v>5740.9</v>
      </c>
      <c r="DK383" s="103">
        <v>540890.19999999995</v>
      </c>
      <c r="DL383" s="104">
        <v>1.0613799251678067E-2</v>
      </c>
    </row>
    <row r="384" spans="1:116" s="15" customFormat="1" ht="265.7" customHeight="1" x14ac:dyDescent="0.25">
      <c r="A384" s="100" t="s">
        <v>468</v>
      </c>
      <c r="B384" s="100" t="s">
        <v>2851</v>
      </c>
      <c r="C384" s="100" t="s">
        <v>279</v>
      </c>
      <c r="D384" s="101" t="str">
        <f>"Chemistry 101"</f>
        <v>Chemistry 101</v>
      </c>
      <c r="E384" s="102" t="s">
        <v>2852</v>
      </c>
      <c r="F384" s="100">
        <v>23</v>
      </c>
      <c r="G384" s="100">
        <v>5</v>
      </c>
      <c r="H384" s="100">
        <v>0.22</v>
      </c>
      <c r="I384" s="100">
        <v>28</v>
      </c>
      <c r="J384" s="100">
        <v>5</v>
      </c>
      <c r="K384" s="100">
        <v>5</v>
      </c>
      <c r="L384" s="100">
        <v>3</v>
      </c>
      <c r="M384" s="100">
        <v>3</v>
      </c>
      <c r="N384" s="100">
        <v>4</v>
      </c>
      <c r="O384" s="100">
        <v>2</v>
      </c>
      <c r="P384" s="100">
        <v>3.83</v>
      </c>
      <c r="Q384" s="100">
        <v>54.02</v>
      </c>
      <c r="R384" s="100">
        <v>5</v>
      </c>
      <c r="S384" s="100">
        <v>1</v>
      </c>
      <c r="T384" s="100">
        <v>0</v>
      </c>
      <c r="U384" s="100">
        <v>0</v>
      </c>
      <c r="V384" s="100">
        <v>0</v>
      </c>
      <c r="W384" s="100">
        <v>0</v>
      </c>
      <c r="X384" s="100">
        <v>0</v>
      </c>
      <c r="Y384" s="100">
        <v>1</v>
      </c>
      <c r="Z384" s="100">
        <v>0</v>
      </c>
      <c r="AA384" s="100">
        <v>0</v>
      </c>
      <c r="AB384" s="100">
        <v>1</v>
      </c>
      <c r="AC384" s="100">
        <v>0</v>
      </c>
      <c r="AD384" s="100">
        <v>0</v>
      </c>
      <c r="AE384" s="100">
        <v>0</v>
      </c>
      <c r="AF384" s="100">
        <v>0</v>
      </c>
      <c r="AG384" s="100">
        <v>1</v>
      </c>
      <c r="AH384" s="100">
        <v>0</v>
      </c>
      <c r="AI384" s="100">
        <v>0</v>
      </c>
      <c r="AJ384" s="100">
        <v>1</v>
      </c>
      <c r="AK384" s="100">
        <v>0</v>
      </c>
      <c r="AL384" s="100">
        <v>0</v>
      </c>
      <c r="AM384" s="100">
        <v>0</v>
      </c>
      <c r="AN384" s="100">
        <v>0</v>
      </c>
      <c r="AO384" s="100">
        <v>1</v>
      </c>
      <c r="AP384" s="100">
        <v>0</v>
      </c>
      <c r="AQ384" s="100">
        <v>0</v>
      </c>
      <c r="AR384" s="100">
        <v>1</v>
      </c>
      <c r="AS384" s="100">
        <v>0</v>
      </c>
      <c r="AT384" s="100">
        <v>1</v>
      </c>
      <c r="AU384" s="100">
        <v>0</v>
      </c>
      <c r="AV384" s="100">
        <v>0</v>
      </c>
      <c r="AW384" s="100">
        <v>0</v>
      </c>
      <c r="AX384" s="100">
        <v>0</v>
      </c>
      <c r="AY384" s="100">
        <v>0</v>
      </c>
      <c r="AZ384" s="100">
        <v>0</v>
      </c>
      <c r="BA384" s="100">
        <v>0</v>
      </c>
      <c r="BB384" s="100">
        <v>0</v>
      </c>
      <c r="BC384" s="100">
        <v>0</v>
      </c>
      <c r="BD384" s="100">
        <v>0</v>
      </c>
      <c r="BE384" s="100">
        <v>1</v>
      </c>
      <c r="BF384" s="100">
        <v>0</v>
      </c>
      <c r="BG384" s="100">
        <v>0</v>
      </c>
      <c r="BH384" s="100">
        <v>0</v>
      </c>
      <c r="BI384" s="100">
        <v>0</v>
      </c>
      <c r="BJ384" s="100">
        <v>3</v>
      </c>
      <c r="BK384" s="100">
        <v>0</v>
      </c>
      <c r="BL384" s="100">
        <v>1</v>
      </c>
      <c r="BM384" s="100">
        <v>0</v>
      </c>
      <c r="BN384" s="100">
        <v>0</v>
      </c>
      <c r="BO384" s="100">
        <v>0</v>
      </c>
      <c r="BP384" s="100">
        <v>0</v>
      </c>
      <c r="BQ384" s="100">
        <v>0</v>
      </c>
      <c r="BR384" s="100">
        <v>0</v>
      </c>
      <c r="BS384" s="100">
        <v>0</v>
      </c>
      <c r="BT384" s="100">
        <v>0</v>
      </c>
      <c r="BU384" s="100">
        <v>0</v>
      </c>
      <c r="BV384" s="100">
        <v>0</v>
      </c>
      <c r="BW384" s="100">
        <v>1</v>
      </c>
      <c r="BX384" s="100">
        <v>0</v>
      </c>
      <c r="BY384" s="100">
        <v>0</v>
      </c>
      <c r="BZ384" s="100">
        <v>1</v>
      </c>
      <c r="CA384" s="100">
        <v>1</v>
      </c>
      <c r="CB384" s="100" t="s">
        <v>2090</v>
      </c>
      <c r="CC384" s="100">
        <v>0</v>
      </c>
      <c r="CD384" s="100">
        <v>0</v>
      </c>
      <c r="CE384" s="100">
        <v>0</v>
      </c>
      <c r="CF384" s="100">
        <v>0</v>
      </c>
      <c r="CG384" s="103">
        <v>202182.18767000001</v>
      </c>
      <c r="CH384" s="103">
        <v>6.92</v>
      </c>
      <c r="CI384" s="103">
        <v>1013600.59941</v>
      </c>
      <c r="CJ384" s="103">
        <v>9.68</v>
      </c>
      <c r="CK384" s="103">
        <f t="shared" si="20"/>
        <v>66.985599999999991</v>
      </c>
      <c r="CL384" s="103">
        <v>30082.9</v>
      </c>
      <c r="CM384" s="103">
        <v>213015.3</v>
      </c>
      <c r="CN384" s="104">
        <v>0.1412241280321179</v>
      </c>
      <c r="CO384" s="103">
        <v>22960.482680000001</v>
      </c>
      <c r="CP384" s="103">
        <v>0.63</v>
      </c>
      <c r="CQ384" s="103">
        <v>117530.36407</v>
      </c>
      <c r="CR384" s="103">
        <v>0.79</v>
      </c>
      <c r="CS384" s="103">
        <f t="shared" si="21"/>
        <v>0.49770000000000003</v>
      </c>
      <c r="CT384" s="103">
        <v>3043.2</v>
      </c>
      <c r="CU384" s="103">
        <v>51456.3</v>
      </c>
      <c r="CV384" s="104">
        <v>5.9141446236903927E-2</v>
      </c>
      <c r="CW384" s="103">
        <v>62970.106939999998</v>
      </c>
      <c r="CX384" s="103">
        <v>2.2599999999999998</v>
      </c>
      <c r="CY384" s="103">
        <v>534564.74083000002</v>
      </c>
      <c r="CZ384" s="103">
        <v>4.9511472170380939</v>
      </c>
      <c r="DA384" s="103">
        <f t="shared" si="22"/>
        <v>11.189592710506091</v>
      </c>
      <c r="DB384" s="103">
        <v>24318.2</v>
      </c>
      <c r="DC384" s="103">
        <v>391340.2</v>
      </c>
      <c r="DD384" s="104">
        <v>6.2140817631309027E-2</v>
      </c>
      <c r="DE384" s="103">
        <v>158985.10225</v>
      </c>
      <c r="DF384" s="103">
        <v>4.55</v>
      </c>
      <c r="DG384" s="103">
        <v>133919.77501000001</v>
      </c>
      <c r="DH384" s="103">
        <v>8.43</v>
      </c>
      <c r="DI384" s="103">
        <f t="shared" si="23"/>
        <v>38.356499999999997</v>
      </c>
      <c r="DJ384" s="103">
        <v>6621.9</v>
      </c>
      <c r="DK384" s="103">
        <v>163349.79999999999</v>
      </c>
      <c r="DL384" s="104">
        <v>4.0538157989786335E-2</v>
      </c>
    </row>
    <row r="385" spans="1:116" s="15" customFormat="1" ht="265.7" customHeight="1" x14ac:dyDescent="0.25">
      <c r="A385" s="100" t="s">
        <v>469</v>
      </c>
      <c r="B385" s="100" t="s">
        <v>2853</v>
      </c>
      <c r="C385" s="100" t="s">
        <v>279</v>
      </c>
      <c r="D385" s="101" t="str">
        <f>"Chemistry 10"</f>
        <v>Chemistry 10</v>
      </c>
      <c r="E385" s="102" t="s">
        <v>2854</v>
      </c>
      <c r="F385" s="100">
        <v>21</v>
      </c>
      <c r="G385" s="100">
        <v>9</v>
      </c>
      <c r="H385" s="100">
        <v>0.43</v>
      </c>
      <c r="I385" s="100">
        <v>28</v>
      </c>
      <c r="J385" s="100">
        <v>7</v>
      </c>
      <c r="K385" s="100">
        <v>7</v>
      </c>
      <c r="L385" s="100">
        <v>4</v>
      </c>
      <c r="M385" s="100">
        <v>1</v>
      </c>
      <c r="N385" s="100">
        <v>5</v>
      </c>
      <c r="O385" s="100">
        <v>1</v>
      </c>
      <c r="P385" s="100">
        <v>2.0099999999999998</v>
      </c>
      <c r="Q385" s="100">
        <v>65.12</v>
      </c>
      <c r="R385" s="100">
        <v>7</v>
      </c>
      <c r="S385" s="100">
        <v>1</v>
      </c>
      <c r="T385" s="100">
        <v>0</v>
      </c>
      <c r="U385" s="100">
        <v>0</v>
      </c>
      <c r="V385" s="100">
        <v>1</v>
      </c>
      <c r="W385" s="100">
        <v>0</v>
      </c>
      <c r="X385" s="100">
        <v>0</v>
      </c>
      <c r="Y385" s="100">
        <v>0</v>
      </c>
      <c r="Z385" s="100">
        <v>1</v>
      </c>
      <c r="AA385" s="100">
        <v>0</v>
      </c>
      <c r="AB385" s="100">
        <v>1</v>
      </c>
      <c r="AC385" s="100">
        <v>0</v>
      </c>
      <c r="AD385" s="100">
        <v>0</v>
      </c>
      <c r="AE385" s="100">
        <v>0</v>
      </c>
      <c r="AF385" s="100">
        <v>0</v>
      </c>
      <c r="AG385" s="100">
        <v>1</v>
      </c>
      <c r="AH385" s="100">
        <v>0</v>
      </c>
      <c r="AI385" s="100">
        <v>0</v>
      </c>
      <c r="AJ385" s="100">
        <v>1</v>
      </c>
      <c r="AK385" s="100">
        <v>0</v>
      </c>
      <c r="AL385" s="100">
        <v>0</v>
      </c>
      <c r="AM385" s="100">
        <v>0</v>
      </c>
      <c r="AN385" s="100">
        <v>0</v>
      </c>
      <c r="AO385" s="100">
        <v>0</v>
      </c>
      <c r="AP385" s="100">
        <v>0</v>
      </c>
      <c r="AQ385" s="100">
        <v>0</v>
      </c>
      <c r="AR385" s="100">
        <v>0</v>
      </c>
      <c r="AS385" s="100">
        <v>0</v>
      </c>
      <c r="AT385" s="100">
        <v>1</v>
      </c>
      <c r="AU385" s="100">
        <v>1</v>
      </c>
      <c r="AV385" s="100">
        <v>0</v>
      </c>
      <c r="AW385" s="100">
        <v>0</v>
      </c>
      <c r="AX385" s="100">
        <v>0</v>
      </c>
      <c r="AY385" s="100">
        <v>0</v>
      </c>
      <c r="AZ385" s="100">
        <v>0</v>
      </c>
      <c r="BA385" s="100">
        <v>0</v>
      </c>
      <c r="BB385" s="100">
        <v>0</v>
      </c>
      <c r="BC385" s="100">
        <v>0</v>
      </c>
      <c r="BD385" s="100">
        <v>0</v>
      </c>
      <c r="BE385" s="100">
        <v>0</v>
      </c>
      <c r="BF385" s="100">
        <v>0</v>
      </c>
      <c r="BG385" s="100">
        <v>0</v>
      </c>
      <c r="BH385" s="100">
        <v>0</v>
      </c>
      <c r="BI385" s="100">
        <v>0</v>
      </c>
      <c r="BJ385" s="100">
        <v>2</v>
      </c>
      <c r="BK385" s="100">
        <v>0</v>
      </c>
      <c r="BL385" s="100">
        <v>0</v>
      </c>
      <c r="BM385" s="100">
        <v>0</v>
      </c>
      <c r="BN385" s="100">
        <v>0</v>
      </c>
      <c r="BO385" s="100">
        <v>0</v>
      </c>
      <c r="BP385" s="100">
        <v>0</v>
      </c>
      <c r="BQ385" s="100">
        <v>0</v>
      </c>
      <c r="BR385" s="100">
        <v>0</v>
      </c>
      <c r="BS385" s="100">
        <v>0</v>
      </c>
      <c r="BT385" s="100">
        <v>0</v>
      </c>
      <c r="BU385" s="100">
        <v>0</v>
      </c>
      <c r="BV385" s="100">
        <v>0</v>
      </c>
      <c r="BW385" s="100">
        <v>0</v>
      </c>
      <c r="BX385" s="100">
        <v>1</v>
      </c>
      <c r="BY385" s="100">
        <v>0</v>
      </c>
      <c r="BZ385" s="100">
        <v>0</v>
      </c>
      <c r="CA385" s="100">
        <v>0</v>
      </c>
      <c r="CB385" s="100" t="s">
        <v>2090</v>
      </c>
      <c r="CC385" s="100">
        <v>0</v>
      </c>
      <c r="CD385" s="100">
        <v>0</v>
      </c>
      <c r="CE385" s="100">
        <v>0</v>
      </c>
      <c r="CF385" s="100">
        <v>1</v>
      </c>
      <c r="CG385" s="103">
        <v>166983.6778</v>
      </c>
      <c r="CH385" s="103">
        <v>9.9600000000000009</v>
      </c>
      <c r="CI385" s="103">
        <v>2130492.1629900001</v>
      </c>
      <c r="CJ385" s="103">
        <v>18.84</v>
      </c>
      <c r="CK385" s="103">
        <f t="shared" si="20"/>
        <v>187.64640000000003</v>
      </c>
      <c r="CL385" s="103">
        <v>70006.399999999994</v>
      </c>
      <c r="CM385" s="103">
        <v>457626</v>
      </c>
      <c r="CN385" s="104">
        <v>0.152977322092713</v>
      </c>
      <c r="CO385" s="103">
        <v>0</v>
      </c>
      <c r="CP385" s="103">
        <v>0</v>
      </c>
      <c r="CQ385" s="103">
        <v>52616.359420000001</v>
      </c>
      <c r="CR385" s="103">
        <v>0.68</v>
      </c>
      <c r="CS385" s="103">
        <f t="shared" si="21"/>
        <v>0</v>
      </c>
      <c r="CT385" s="103">
        <v>4431.3999999999996</v>
      </c>
      <c r="CU385" s="103">
        <v>543201.9</v>
      </c>
      <c r="CV385" s="104">
        <v>8.1579243371571412E-3</v>
      </c>
      <c r="CW385" s="103">
        <v>0</v>
      </c>
      <c r="CX385" s="103">
        <v>0</v>
      </c>
      <c r="CY385" s="103">
        <v>5281.1391599999997</v>
      </c>
      <c r="CZ385" s="103">
        <v>0</v>
      </c>
      <c r="DA385" s="103">
        <f t="shared" si="22"/>
        <v>0</v>
      </c>
      <c r="DB385" s="103">
        <v>0</v>
      </c>
      <c r="DC385" s="103">
        <v>616933.6</v>
      </c>
      <c r="DD385" s="104">
        <v>0</v>
      </c>
      <c r="DE385" s="103">
        <v>0</v>
      </c>
      <c r="DF385" s="103">
        <v>0</v>
      </c>
      <c r="DG385" s="103">
        <v>0</v>
      </c>
      <c r="DH385" s="103">
        <v>0</v>
      </c>
      <c r="DI385" s="103">
        <f t="shared" si="23"/>
        <v>0</v>
      </c>
      <c r="DJ385" s="103">
        <v>3654.3</v>
      </c>
      <c r="DK385" s="103">
        <v>331592.40000000002</v>
      </c>
      <c r="DL385" s="104">
        <v>1.1020457646194545E-2</v>
      </c>
    </row>
    <row r="386" spans="1:116" s="15" customFormat="1" x14ac:dyDescent="0.25">
      <c r="A386" s="20"/>
      <c r="B386" s="20"/>
      <c r="C386" s="20"/>
      <c r="D386" s="98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</row>
    <row r="387" spans="1:116" s="15" customFormat="1" x14ac:dyDescent="0.25">
      <c r="A387" s="20"/>
      <c r="B387" s="20"/>
      <c r="C387" s="20"/>
      <c r="D387" s="98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</row>
    <row r="388" spans="1:116" s="15" customFormat="1" x14ac:dyDescent="0.25">
      <c r="A388" s="20"/>
      <c r="B388" s="20"/>
      <c r="C388" s="20"/>
      <c r="D388" s="98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</row>
    <row r="389" spans="1:116" s="15" customFormat="1" x14ac:dyDescent="0.25">
      <c r="A389" s="20"/>
      <c r="B389" s="20"/>
      <c r="C389" s="20"/>
      <c r="D389" s="98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</row>
    <row r="390" spans="1:116" s="15" customFormat="1" x14ac:dyDescent="0.25">
      <c r="A390" s="20"/>
      <c r="B390" s="20"/>
      <c r="C390" s="20"/>
      <c r="D390" s="98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</row>
    <row r="391" spans="1:116" s="15" customFormat="1" x14ac:dyDescent="0.25">
      <c r="A391" s="20"/>
      <c r="B391" s="20"/>
      <c r="C391" s="20"/>
      <c r="D391" s="98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</row>
    <row r="392" spans="1:116" s="15" customFormat="1" x14ac:dyDescent="0.25">
      <c r="A392" s="20"/>
      <c r="B392" s="20"/>
      <c r="C392" s="20"/>
      <c r="D392" s="98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</row>
    <row r="393" spans="1:116" s="15" customFormat="1" x14ac:dyDescent="0.25">
      <c r="A393" s="20"/>
      <c r="B393" s="20"/>
      <c r="C393" s="20"/>
      <c r="D393" s="98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</row>
    <row r="394" spans="1:116" s="15" customFormat="1" x14ac:dyDescent="0.25">
      <c r="A394" s="20"/>
      <c r="B394" s="20"/>
      <c r="C394" s="20"/>
      <c r="D394" s="98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</row>
    <row r="395" spans="1:116" s="15" customFormat="1" x14ac:dyDescent="0.25">
      <c r="A395" s="20"/>
      <c r="B395" s="20"/>
      <c r="C395" s="20"/>
      <c r="D395" s="98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</row>
    <row r="396" spans="1:116" s="15" customFormat="1" x14ac:dyDescent="0.25">
      <c r="A396" s="20"/>
      <c r="B396" s="20"/>
      <c r="C396" s="20"/>
      <c r="D396" s="98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</row>
    <row r="397" spans="1:116" s="15" customFormat="1" x14ac:dyDescent="0.25">
      <c r="A397" s="20"/>
      <c r="B397" s="20"/>
      <c r="C397" s="20"/>
      <c r="D397" s="98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</row>
    <row r="398" spans="1:116" s="15" customFormat="1" x14ac:dyDescent="0.25">
      <c r="A398" s="20"/>
      <c r="B398" s="20"/>
      <c r="C398" s="20"/>
      <c r="D398" s="98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</row>
    <row r="399" spans="1:116" s="15" customFormat="1" x14ac:dyDescent="0.25">
      <c r="A399" s="20"/>
      <c r="B399" s="20"/>
      <c r="C399" s="20"/>
      <c r="D399" s="98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</row>
    <row r="400" spans="1:116" s="15" customFormat="1" x14ac:dyDescent="0.25">
      <c r="A400" s="20"/>
      <c r="B400" s="20"/>
      <c r="C400" s="20"/>
      <c r="D400" s="98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</row>
    <row r="545" spans="1:124" s="4" customFormat="1" x14ac:dyDescent="0.25">
      <c r="A545" s="2"/>
      <c r="B545" s="2"/>
      <c r="C545" s="2"/>
      <c r="D545" s="98"/>
      <c r="E545" s="15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DM545" s="15"/>
      <c r="DN545" s="15"/>
      <c r="DO545" s="15"/>
      <c r="DP545" s="15"/>
      <c r="DQ545" s="15"/>
      <c r="DR545" s="15"/>
      <c r="DS545" s="15"/>
      <c r="DT545" s="15"/>
    </row>
    <row r="546" spans="1:124" s="4" customFormat="1" x14ac:dyDescent="0.25">
      <c r="A546" s="2"/>
      <c r="B546" s="2"/>
      <c r="C546" s="2"/>
      <c r="D546" s="98"/>
      <c r="E546" s="15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DM546" s="15"/>
      <c r="DN546" s="15"/>
      <c r="DO546" s="15"/>
      <c r="DP546" s="15"/>
      <c r="DQ546" s="15"/>
      <c r="DR546" s="15"/>
      <c r="DS546" s="15"/>
      <c r="DT546" s="15"/>
    </row>
    <row r="547" spans="1:124" s="4" customFormat="1" x14ac:dyDescent="0.25">
      <c r="A547" s="2"/>
      <c r="B547" s="2"/>
      <c r="C547" s="2"/>
      <c r="D547" s="98"/>
      <c r="E547" s="15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DM547" s="15"/>
      <c r="DN547" s="15"/>
      <c r="DO547" s="15"/>
      <c r="DP547" s="15"/>
      <c r="DQ547" s="15"/>
      <c r="DR547" s="15"/>
      <c r="DS547" s="15"/>
      <c r="DT547" s="15"/>
    </row>
    <row r="548" spans="1:124" s="4" customFormat="1" x14ac:dyDescent="0.25">
      <c r="A548" s="2"/>
      <c r="B548" s="2"/>
      <c r="C548" s="2"/>
      <c r="D548" s="98"/>
      <c r="E548" s="15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DM548" s="15"/>
      <c r="DN548" s="15"/>
      <c r="DO548" s="15"/>
      <c r="DP548" s="15"/>
      <c r="DQ548" s="15"/>
      <c r="DR548" s="15"/>
      <c r="DS548" s="15"/>
      <c r="DT548" s="15"/>
    </row>
    <row r="549" spans="1:124" s="4" customFormat="1" x14ac:dyDescent="0.25">
      <c r="A549" s="2"/>
      <c r="B549" s="2"/>
      <c r="C549" s="2"/>
      <c r="D549" s="98"/>
      <c r="E549" s="15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DM549" s="15"/>
      <c r="DN549" s="15"/>
      <c r="DO549" s="15"/>
      <c r="DP549" s="15"/>
      <c r="DQ549" s="15"/>
      <c r="DR549" s="15"/>
      <c r="DS549" s="15"/>
      <c r="DT549" s="15"/>
    </row>
    <row r="550" spans="1:124" s="4" customFormat="1" x14ac:dyDescent="0.25">
      <c r="A550" s="2"/>
      <c r="B550" s="2"/>
      <c r="C550" s="2"/>
      <c r="D550" s="98"/>
      <c r="E550" s="15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DM550" s="15"/>
      <c r="DN550" s="15"/>
      <c r="DO550" s="15"/>
      <c r="DP550" s="15"/>
      <c r="DQ550" s="15"/>
      <c r="DR550" s="15"/>
      <c r="DS550" s="15"/>
      <c r="DT550" s="15"/>
    </row>
    <row r="551" spans="1:124" s="4" customFormat="1" x14ac:dyDescent="0.25">
      <c r="A551" s="2"/>
      <c r="B551" s="2"/>
      <c r="C551" s="2"/>
      <c r="D551" s="98"/>
      <c r="E551" s="15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DM551" s="15"/>
      <c r="DN551" s="15"/>
      <c r="DO551" s="15"/>
      <c r="DP551" s="15"/>
      <c r="DQ551" s="15"/>
      <c r="DR551" s="15"/>
      <c r="DS551" s="15"/>
      <c r="DT551" s="15"/>
    </row>
    <row r="552" spans="1:124" s="4" customFormat="1" x14ac:dyDescent="0.25">
      <c r="A552" s="2"/>
      <c r="B552" s="2"/>
      <c r="C552" s="2"/>
      <c r="D552" s="98"/>
      <c r="E552" s="15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DM552" s="15"/>
      <c r="DN552" s="15"/>
      <c r="DO552" s="15"/>
      <c r="DP552" s="15"/>
      <c r="DQ552" s="15"/>
      <c r="DR552" s="15"/>
      <c r="DS552" s="15"/>
      <c r="DT552" s="15"/>
    </row>
    <row r="553" spans="1:124" s="4" customFormat="1" x14ac:dyDescent="0.25">
      <c r="A553" s="2"/>
      <c r="B553" s="2"/>
      <c r="C553" s="2"/>
      <c r="D553" s="98"/>
      <c r="E553" s="15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DM553" s="15"/>
      <c r="DN553" s="15"/>
      <c r="DO553" s="15"/>
      <c r="DP553" s="15"/>
      <c r="DQ553" s="15"/>
      <c r="DR553" s="15"/>
      <c r="DS553" s="15"/>
      <c r="DT553" s="15"/>
    </row>
    <row r="554" spans="1:124" s="4" customFormat="1" x14ac:dyDescent="0.25">
      <c r="A554" s="2"/>
      <c r="B554" s="2"/>
      <c r="C554" s="2"/>
      <c r="D554" s="98"/>
      <c r="E554" s="15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DM554" s="15"/>
      <c r="DN554" s="15"/>
      <c r="DO554" s="15"/>
      <c r="DP554" s="15"/>
      <c r="DQ554" s="15"/>
      <c r="DR554" s="15"/>
      <c r="DS554" s="15"/>
      <c r="DT554" s="15"/>
    </row>
    <row r="555" spans="1:124" s="4" customFormat="1" x14ac:dyDescent="0.25">
      <c r="A555" s="2"/>
      <c r="B555" s="2"/>
      <c r="C555" s="2"/>
      <c r="D555" s="98"/>
      <c r="E555" s="15"/>
      <c r="F555" s="5"/>
      <c r="G555" s="5"/>
      <c r="H555" s="5"/>
      <c r="I555" s="5"/>
      <c r="J555" s="5"/>
      <c r="K555" s="5"/>
      <c r="M555" s="5"/>
      <c r="N555" s="5"/>
      <c r="O555" s="5"/>
      <c r="P555" s="5"/>
      <c r="Q555" s="5"/>
      <c r="R555" s="5"/>
      <c r="S555" s="6"/>
      <c r="T555" s="6"/>
      <c r="U555" s="6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O555" s="5"/>
      <c r="BJ555" s="14"/>
      <c r="BN555" s="5"/>
      <c r="BO555" s="5"/>
      <c r="BP555" s="5"/>
      <c r="BQ555" s="5"/>
      <c r="BZ555" s="14"/>
      <c r="CA555" s="14"/>
      <c r="DM555" s="15"/>
      <c r="DN555" s="15"/>
      <c r="DO555" s="15"/>
      <c r="DP555" s="15"/>
      <c r="DQ555" s="15"/>
      <c r="DR555" s="15"/>
      <c r="DS555" s="15"/>
      <c r="DT555" s="15"/>
    </row>
    <row r="556" spans="1:124" s="4" customFormat="1" x14ac:dyDescent="0.25">
      <c r="A556" s="2"/>
      <c r="B556" s="2"/>
      <c r="C556" s="2"/>
      <c r="D556" s="98"/>
      <c r="E556" s="15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DM556" s="15"/>
      <c r="DN556" s="15"/>
      <c r="DO556" s="15"/>
      <c r="DP556" s="15"/>
      <c r="DQ556" s="15"/>
      <c r="DR556" s="15"/>
      <c r="DS556" s="15"/>
      <c r="DT556" s="15"/>
    </row>
    <row r="557" spans="1:124" s="4" customFormat="1" x14ac:dyDescent="0.25">
      <c r="A557" s="2"/>
      <c r="B557" s="2"/>
      <c r="C557" s="2"/>
      <c r="D557" s="98"/>
      <c r="E557" s="15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DM557" s="15"/>
      <c r="DN557" s="15"/>
      <c r="DO557" s="15"/>
      <c r="DP557" s="15"/>
      <c r="DQ557" s="15"/>
      <c r="DR557" s="15"/>
      <c r="DS557" s="15"/>
      <c r="DT557" s="15"/>
    </row>
    <row r="558" spans="1:124" s="4" customFormat="1" x14ac:dyDescent="0.25">
      <c r="A558" s="2"/>
      <c r="B558" s="2"/>
      <c r="C558" s="2"/>
      <c r="D558" s="98"/>
      <c r="E558" s="15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DM558" s="15"/>
      <c r="DN558" s="15"/>
      <c r="DO558" s="15"/>
      <c r="DP558" s="15"/>
      <c r="DQ558" s="15"/>
      <c r="DR558" s="15"/>
      <c r="DS558" s="15"/>
      <c r="DT558" s="15"/>
    </row>
    <row r="559" spans="1:124" s="4" customFormat="1" x14ac:dyDescent="0.25">
      <c r="A559" s="2"/>
      <c r="B559" s="2"/>
      <c r="C559" s="2"/>
      <c r="D559" s="98"/>
      <c r="E559" s="15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DM559" s="15"/>
      <c r="DN559" s="15"/>
      <c r="DO559" s="15"/>
      <c r="DP559" s="15"/>
      <c r="DQ559" s="15"/>
      <c r="DR559" s="15"/>
      <c r="DS559" s="15"/>
      <c r="DT559" s="15"/>
    </row>
    <row r="560" spans="1:124" s="4" customFormat="1" x14ac:dyDescent="0.25">
      <c r="A560" s="2"/>
      <c r="B560" s="2"/>
      <c r="C560" s="2"/>
      <c r="D560" s="98"/>
      <c r="E560" s="15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DM560" s="15"/>
      <c r="DN560" s="15"/>
      <c r="DO560" s="15"/>
      <c r="DP560" s="15"/>
      <c r="DQ560" s="15"/>
      <c r="DR560" s="15"/>
      <c r="DS560" s="15"/>
      <c r="DT560" s="15"/>
    </row>
    <row r="593" spans="1:116" s="15" customFormat="1" x14ac:dyDescent="0.25">
      <c r="A593" s="16"/>
      <c r="B593" s="16"/>
      <c r="C593" s="16"/>
      <c r="D593" s="98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</row>
    <row r="594" spans="1:116" s="15" customFormat="1" x14ac:dyDescent="0.25">
      <c r="A594" s="16"/>
      <c r="B594" s="16"/>
      <c r="C594" s="16"/>
      <c r="D594" s="98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</row>
    <row r="595" spans="1:116" s="15" customFormat="1" x14ac:dyDescent="0.25">
      <c r="A595" s="16"/>
      <c r="B595" s="16"/>
      <c r="C595" s="16"/>
      <c r="D595" s="98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</row>
    <row r="596" spans="1:116" s="15" customFormat="1" x14ac:dyDescent="0.25">
      <c r="A596" s="16"/>
      <c r="B596" s="16"/>
      <c r="C596" s="16"/>
      <c r="D596" s="98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</row>
    <row r="597" spans="1:116" s="15" customFormat="1" x14ac:dyDescent="0.25">
      <c r="A597" s="16"/>
      <c r="B597" s="16"/>
      <c r="C597" s="16"/>
      <c r="D597" s="98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</row>
    <row r="598" spans="1:116" s="15" customFormat="1" x14ac:dyDescent="0.25">
      <c r="A598" s="16"/>
      <c r="B598" s="16"/>
      <c r="C598" s="16"/>
      <c r="D598" s="98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</row>
    <row r="599" spans="1:116" s="15" customFormat="1" x14ac:dyDescent="0.25">
      <c r="A599" s="16"/>
      <c r="B599" s="16"/>
      <c r="C599" s="16"/>
      <c r="D599" s="98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</row>
    <row r="600" spans="1:116" s="15" customFormat="1" x14ac:dyDescent="0.25">
      <c r="A600" s="16"/>
      <c r="B600" s="16"/>
      <c r="C600" s="16"/>
      <c r="D600" s="98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</row>
    <row r="601" spans="1:116" s="15" customFormat="1" x14ac:dyDescent="0.25">
      <c r="A601" s="16"/>
      <c r="B601" s="16"/>
      <c r="C601" s="16"/>
      <c r="D601" s="98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</row>
    <row r="602" spans="1:116" s="15" customFormat="1" x14ac:dyDescent="0.25">
      <c r="A602" s="16"/>
      <c r="B602" s="16"/>
      <c r="C602" s="16"/>
      <c r="D602" s="98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</row>
    <row r="603" spans="1:116" s="15" customFormat="1" x14ac:dyDescent="0.25">
      <c r="A603" s="16"/>
      <c r="B603" s="16"/>
      <c r="C603" s="16"/>
      <c r="D603" s="98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</row>
    <row r="604" spans="1:116" s="15" customFormat="1" x14ac:dyDescent="0.25">
      <c r="A604" s="16"/>
      <c r="B604" s="16"/>
      <c r="C604" s="16"/>
      <c r="D604" s="98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</row>
    <row r="605" spans="1:116" s="15" customFormat="1" x14ac:dyDescent="0.25">
      <c r="A605" s="16"/>
      <c r="B605" s="16"/>
      <c r="C605" s="16"/>
      <c r="D605" s="98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</row>
    <row r="606" spans="1:116" s="15" customFormat="1" x14ac:dyDescent="0.25">
      <c r="A606" s="16"/>
      <c r="B606" s="16"/>
      <c r="C606" s="16"/>
      <c r="D606" s="98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</row>
    <row r="607" spans="1:116" s="15" customFormat="1" x14ac:dyDescent="0.25">
      <c r="A607" s="16"/>
      <c r="B607" s="16"/>
      <c r="C607" s="16"/>
      <c r="D607" s="98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</row>
    <row r="608" spans="1:116" s="15" customFormat="1" x14ac:dyDescent="0.25">
      <c r="A608" s="16"/>
      <c r="B608" s="16"/>
      <c r="C608" s="16"/>
      <c r="D608" s="98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</row>
    <row r="609" spans="1:116" s="15" customFormat="1" x14ac:dyDescent="0.25">
      <c r="A609" s="16"/>
      <c r="B609" s="16"/>
      <c r="C609" s="16"/>
      <c r="D609" s="98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</row>
    <row r="610" spans="1:116" s="15" customFormat="1" x14ac:dyDescent="0.25">
      <c r="A610" s="16"/>
      <c r="B610" s="16"/>
      <c r="C610" s="16"/>
      <c r="D610" s="98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</row>
    <row r="611" spans="1:116" s="15" customFormat="1" x14ac:dyDescent="0.25">
      <c r="A611" s="16"/>
      <c r="B611" s="16"/>
      <c r="C611" s="16"/>
      <c r="D611" s="98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</row>
    <row r="612" spans="1:116" s="15" customFormat="1" x14ac:dyDescent="0.25">
      <c r="A612" s="16"/>
      <c r="B612" s="16"/>
      <c r="C612" s="16"/>
      <c r="D612" s="98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</row>
    <row r="613" spans="1:116" s="15" customFormat="1" x14ac:dyDescent="0.25">
      <c r="A613" s="16"/>
      <c r="B613" s="16"/>
      <c r="C613" s="16"/>
      <c r="D613" s="98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</row>
    <row r="614" spans="1:116" s="15" customFormat="1" x14ac:dyDescent="0.25">
      <c r="A614" s="16"/>
      <c r="B614" s="16"/>
      <c r="C614" s="16"/>
      <c r="D614" s="98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</row>
    <row r="615" spans="1:116" s="15" customFormat="1" x14ac:dyDescent="0.25">
      <c r="A615" s="16"/>
      <c r="B615" s="16"/>
      <c r="C615" s="16"/>
      <c r="D615" s="98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</row>
    <row r="616" spans="1:116" s="15" customFormat="1" x14ac:dyDescent="0.25">
      <c r="A616" s="16"/>
      <c r="B616" s="16"/>
      <c r="C616" s="16"/>
      <c r="D616" s="98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</row>
    <row r="617" spans="1:116" s="15" customFormat="1" x14ac:dyDescent="0.25">
      <c r="A617" s="16"/>
      <c r="B617" s="16"/>
      <c r="C617" s="16"/>
      <c r="D617" s="98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</row>
    <row r="618" spans="1:116" s="15" customFormat="1" x14ac:dyDescent="0.25">
      <c r="A618" s="16"/>
      <c r="B618" s="16"/>
      <c r="C618" s="16"/>
      <c r="D618" s="98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</row>
    <row r="619" spans="1:116" s="15" customFormat="1" x14ac:dyDescent="0.25">
      <c r="A619" s="16"/>
      <c r="B619" s="16"/>
      <c r="C619" s="16"/>
      <c r="D619" s="98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</row>
    <row r="620" spans="1:116" s="15" customFormat="1" x14ac:dyDescent="0.25">
      <c r="A620" s="16"/>
      <c r="B620" s="16"/>
      <c r="C620" s="16"/>
      <c r="D620" s="98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</row>
    <row r="621" spans="1:116" s="15" customFormat="1" x14ac:dyDescent="0.25">
      <c r="A621" s="16"/>
      <c r="B621" s="16"/>
      <c r="C621" s="16"/>
      <c r="D621" s="98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</row>
    <row r="622" spans="1:116" s="15" customFormat="1" x14ac:dyDescent="0.25">
      <c r="A622" s="16"/>
      <c r="B622" s="16"/>
      <c r="C622" s="16"/>
      <c r="D622" s="98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</row>
    <row r="623" spans="1:116" s="15" customFormat="1" x14ac:dyDescent="0.25">
      <c r="A623" s="16"/>
      <c r="B623" s="16"/>
      <c r="C623" s="16"/>
      <c r="D623" s="98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</row>
    <row r="624" spans="1:116" s="15" customFormat="1" x14ac:dyDescent="0.25">
      <c r="A624" s="16"/>
      <c r="B624" s="16"/>
      <c r="C624" s="16"/>
      <c r="D624" s="98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</row>
    <row r="625" spans="1:116" s="15" customFormat="1" x14ac:dyDescent="0.25">
      <c r="A625" s="16"/>
      <c r="B625" s="16"/>
      <c r="C625" s="16"/>
      <c r="D625" s="98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</row>
    <row r="626" spans="1:116" s="15" customFormat="1" x14ac:dyDescent="0.25">
      <c r="A626" s="16"/>
      <c r="B626" s="16"/>
      <c r="C626" s="16"/>
      <c r="D626" s="98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</row>
    <row r="627" spans="1:116" s="15" customFormat="1" x14ac:dyDescent="0.25">
      <c r="A627" s="16"/>
      <c r="B627" s="16"/>
      <c r="C627" s="16"/>
      <c r="D627" s="98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</row>
    <row r="628" spans="1:116" s="15" customFormat="1" x14ac:dyDescent="0.25">
      <c r="A628" s="16"/>
      <c r="B628" s="16"/>
      <c r="C628" s="16"/>
      <c r="D628" s="98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</row>
    <row r="629" spans="1:116" s="15" customFormat="1" x14ac:dyDescent="0.25">
      <c r="A629" s="16"/>
      <c r="B629" s="16"/>
      <c r="C629" s="16"/>
      <c r="D629" s="98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</row>
    <row r="630" spans="1:116" s="15" customFormat="1" x14ac:dyDescent="0.25">
      <c r="A630" s="16"/>
      <c r="B630" s="16"/>
      <c r="C630" s="16"/>
      <c r="D630" s="98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</row>
    <row r="631" spans="1:116" s="15" customFormat="1" x14ac:dyDescent="0.25">
      <c r="A631" s="16"/>
      <c r="B631" s="16"/>
      <c r="C631" s="16"/>
      <c r="D631" s="98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</row>
    <row r="632" spans="1:116" s="15" customFormat="1" x14ac:dyDescent="0.25">
      <c r="A632" s="16"/>
      <c r="B632" s="16"/>
      <c r="C632" s="16"/>
      <c r="D632" s="98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</row>
    <row r="633" spans="1:116" s="15" customFormat="1" x14ac:dyDescent="0.25">
      <c r="A633" s="16"/>
      <c r="B633" s="16"/>
      <c r="C633" s="16"/>
      <c r="D633" s="98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</row>
    <row r="634" spans="1:116" s="15" customFormat="1" x14ac:dyDescent="0.25">
      <c r="A634" s="16"/>
      <c r="B634" s="16"/>
      <c r="C634" s="16"/>
      <c r="D634" s="98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</row>
    <row r="635" spans="1:116" s="15" customFormat="1" x14ac:dyDescent="0.25">
      <c r="A635" s="16"/>
      <c r="B635" s="16"/>
      <c r="C635" s="16"/>
      <c r="D635" s="98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</row>
    <row r="636" spans="1:116" s="15" customFormat="1" x14ac:dyDescent="0.25">
      <c r="A636" s="16"/>
      <c r="B636" s="16"/>
      <c r="C636" s="16"/>
      <c r="D636" s="98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</row>
    <row r="637" spans="1:116" s="15" customFormat="1" x14ac:dyDescent="0.25">
      <c r="A637" s="16"/>
      <c r="B637" s="16"/>
      <c r="C637" s="16"/>
      <c r="D637" s="98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</row>
    <row r="638" spans="1:116" s="15" customFormat="1" x14ac:dyDescent="0.25">
      <c r="A638" s="16"/>
      <c r="B638" s="16"/>
      <c r="C638" s="16"/>
      <c r="D638" s="98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</row>
    <row r="639" spans="1:116" s="15" customFormat="1" x14ac:dyDescent="0.25">
      <c r="A639" s="16"/>
      <c r="B639" s="16"/>
      <c r="C639" s="16"/>
      <c r="D639" s="98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</row>
    <row r="640" spans="1:116" s="15" customFormat="1" x14ac:dyDescent="0.25">
      <c r="A640" s="16"/>
      <c r="B640" s="16"/>
      <c r="C640" s="16"/>
      <c r="D640" s="98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</row>
    <row r="641" spans="1:116" s="15" customFormat="1" x14ac:dyDescent="0.25">
      <c r="A641" s="16"/>
      <c r="B641" s="16"/>
      <c r="C641" s="16"/>
      <c r="D641" s="98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</row>
    <row r="642" spans="1:116" s="15" customFormat="1" x14ac:dyDescent="0.25">
      <c r="A642" s="16"/>
      <c r="B642" s="16"/>
      <c r="C642" s="16"/>
      <c r="D642" s="98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</row>
    <row r="643" spans="1:116" s="15" customFormat="1" x14ac:dyDescent="0.25">
      <c r="A643" s="16"/>
      <c r="B643" s="16"/>
      <c r="C643" s="16"/>
      <c r="D643" s="98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</row>
    <row r="644" spans="1:116" s="15" customFormat="1" x14ac:dyDescent="0.25">
      <c r="A644" s="16"/>
      <c r="B644" s="16"/>
      <c r="C644" s="16"/>
      <c r="D644" s="98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</row>
    <row r="645" spans="1:116" s="15" customFormat="1" x14ac:dyDescent="0.25">
      <c r="A645" s="16"/>
      <c r="B645" s="16"/>
      <c r="C645" s="16"/>
      <c r="D645" s="98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</row>
    <row r="646" spans="1:116" s="15" customFormat="1" x14ac:dyDescent="0.25">
      <c r="A646" s="16"/>
      <c r="B646" s="16"/>
      <c r="C646" s="16"/>
      <c r="D646" s="98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</row>
    <row r="647" spans="1:116" s="15" customFormat="1" x14ac:dyDescent="0.25">
      <c r="A647" s="16"/>
      <c r="B647" s="16"/>
      <c r="C647" s="16"/>
      <c r="D647" s="98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</row>
    <row r="648" spans="1:116" s="15" customFormat="1" x14ac:dyDescent="0.25">
      <c r="A648" s="16"/>
      <c r="B648" s="16"/>
      <c r="C648" s="16"/>
      <c r="D648" s="98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</row>
    <row r="649" spans="1:116" s="15" customFormat="1" x14ac:dyDescent="0.25">
      <c r="A649" s="16"/>
      <c r="B649" s="16"/>
      <c r="C649" s="16"/>
      <c r="D649" s="98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</row>
    <row r="650" spans="1:116" s="15" customFormat="1" x14ac:dyDescent="0.25">
      <c r="A650" s="16"/>
      <c r="B650" s="16"/>
      <c r="C650" s="16"/>
      <c r="D650" s="98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</row>
    <row r="651" spans="1:116" s="15" customFormat="1" x14ac:dyDescent="0.25">
      <c r="A651" s="16"/>
      <c r="B651" s="16"/>
      <c r="C651" s="16"/>
      <c r="D651" s="98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</row>
    <row r="652" spans="1:116" s="15" customFormat="1" x14ac:dyDescent="0.25">
      <c r="A652" s="16"/>
      <c r="B652" s="16"/>
      <c r="C652" s="16"/>
      <c r="D652" s="98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</row>
    <row r="653" spans="1:116" s="15" customFormat="1" x14ac:dyDescent="0.25">
      <c r="A653" s="16"/>
      <c r="B653" s="16"/>
      <c r="C653" s="16"/>
      <c r="D653" s="98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</row>
    <row r="654" spans="1:116" s="15" customFormat="1" x14ac:dyDescent="0.25">
      <c r="A654" s="16"/>
      <c r="B654" s="16"/>
      <c r="C654" s="16"/>
      <c r="D654" s="98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</row>
    <row r="655" spans="1:116" s="15" customFormat="1" x14ac:dyDescent="0.25">
      <c r="A655" s="16"/>
      <c r="B655" s="16"/>
      <c r="C655" s="16"/>
      <c r="D655" s="98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</row>
    <row r="656" spans="1:116" s="15" customFormat="1" x14ac:dyDescent="0.25">
      <c r="A656" s="16"/>
      <c r="B656" s="16"/>
      <c r="C656" s="16"/>
      <c r="D656" s="98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</row>
    <row r="657" spans="1:116" s="15" customFormat="1" x14ac:dyDescent="0.25">
      <c r="A657" s="16"/>
      <c r="B657" s="16"/>
      <c r="C657" s="16"/>
      <c r="D657" s="98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</row>
    <row r="658" spans="1:116" s="15" customFormat="1" x14ac:dyDescent="0.25">
      <c r="A658" s="16"/>
      <c r="B658" s="16"/>
      <c r="C658" s="16"/>
      <c r="D658" s="98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</row>
    <row r="659" spans="1:116" s="15" customFormat="1" x14ac:dyDescent="0.25">
      <c r="A659" s="16"/>
      <c r="B659" s="16"/>
      <c r="C659" s="16"/>
      <c r="D659" s="98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</row>
    <row r="660" spans="1:116" s="15" customFormat="1" x14ac:dyDescent="0.25">
      <c r="A660" s="16"/>
      <c r="B660" s="16"/>
      <c r="C660" s="16"/>
      <c r="D660" s="98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</row>
    <row r="661" spans="1:116" s="15" customFormat="1" x14ac:dyDescent="0.25">
      <c r="A661" s="16"/>
      <c r="B661" s="16"/>
      <c r="C661" s="16"/>
      <c r="D661" s="98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</row>
    <row r="662" spans="1:116" s="15" customFormat="1" x14ac:dyDescent="0.25">
      <c r="A662" s="16"/>
      <c r="B662" s="16"/>
      <c r="C662" s="16"/>
      <c r="D662" s="98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</row>
    <row r="663" spans="1:116" s="15" customFormat="1" x14ac:dyDescent="0.25">
      <c r="A663" s="16"/>
      <c r="B663" s="16"/>
      <c r="C663" s="16"/>
      <c r="D663" s="98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</row>
    <row r="664" spans="1:116" s="15" customFormat="1" x14ac:dyDescent="0.25">
      <c r="A664" s="16"/>
      <c r="B664" s="16"/>
      <c r="C664" s="16"/>
      <c r="D664" s="98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</row>
    <row r="665" spans="1:116" s="15" customFormat="1" x14ac:dyDescent="0.25">
      <c r="A665" s="16"/>
      <c r="B665" s="16"/>
      <c r="C665" s="16"/>
      <c r="D665" s="98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</row>
    <row r="666" spans="1:116" s="15" customFormat="1" x14ac:dyDescent="0.25">
      <c r="A666" s="16"/>
      <c r="B666" s="16"/>
      <c r="C666" s="16"/>
      <c r="D666" s="98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</row>
    <row r="667" spans="1:116" s="15" customFormat="1" x14ac:dyDescent="0.25">
      <c r="A667" s="16"/>
      <c r="B667" s="16"/>
      <c r="C667" s="16"/>
      <c r="D667" s="98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</row>
    <row r="668" spans="1:116" s="15" customFormat="1" x14ac:dyDescent="0.25">
      <c r="A668" s="16"/>
      <c r="B668" s="16"/>
      <c r="C668" s="16"/>
      <c r="D668" s="98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</row>
    <row r="669" spans="1:116" s="15" customFormat="1" x14ac:dyDescent="0.25">
      <c r="A669" s="16"/>
      <c r="B669" s="16"/>
      <c r="C669" s="16"/>
      <c r="D669" s="98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</row>
    <row r="670" spans="1:116" s="15" customFormat="1" x14ac:dyDescent="0.25">
      <c r="A670" s="16"/>
      <c r="B670" s="16"/>
      <c r="C670" s="16"/>
      <c r="D670" s="98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</row>
    <row r="671" spans="1:116" s="15" customFormat="1" x14ac:dyDescent="0.25">
      <c r="A671" s="16"/>
      <c r="B671" s="16"/>
      <c r="C671" s="16"/>
      <c r="D671" s="98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</row>
    <row r="672" spans="1:116" s="15" customFormat="1" x14ac:dyDescent="0.25">
      <c r="A672" s="16"/>
      <c r="B672" s="16"/>
      <c r="C672" s="16"/>
      <c r="D672" s="98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</row>
    <row r="673" spans="1:116" s="15" customFormat="1" x14ac:dyDescent="0.25">
      <c r="A673" s="16"/>
      <c r="B673" s="16"/>
      <c r="C673" s="16"/>
      <c r="D673" s="98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</row>
    <row r="674" spans="1:116" s="15" customFormat="1" x14ac:dyDescent="0.25">
      <c r="A674" s="16"/>
      <c r="B674" s="16"/>
      <c r="C674" s="16"/>
      <c r="D674" s="98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</row>
    <row r="675" spans="1:116" s="15" customFormat="1" x14ac:dyDescent="0.25">
      <c r="A675" s="16"/>
      <c r="B675" s="16"/>
      <c r="C675" s="16"/>
      <c r="D675" s="98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</row>
    <row r="676" spans="1:116" s="15" customFormat="1" x14ac:dyDescent="0.25">
      <c r="A676" s="16"/>
      <c r="B676" s="16"/>
      <c r="C676" s="16"/>
      <c r="D676" s="98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</row>
    <row r="677" spans="1:116" s="15" customFormat="1" x14ac:dyDescent="0.25">
      <c r="A677" s="16"/>
      <c r="B677" s="16"/>
      <c r="C677" s="16"/>
      <c r="D677" s="98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</row>
    <row r="678" spans="1:116" s="15" customFormat="1" x14ac:dyDescent="0.25">
      <c r="A678" s="16"/>
      <c r="B678" s="16"/>
      <c r="C678" s="16"/>
      <c r="D678" s="98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</row>
    <row r="679" spans="1:116" s="15" customFormat="1" x14ac:dyDescent="0.25">
      <c r="A679" s="16"/>
      <c r="B679" s="16"/>
      <c r="C679" s="16"/>
      <c r="D679" s="98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</row>
    <row r="680" spans="1:116" s="15" customFormat="1" x14ac:dyDescent="0.25">
      <c r="A680" s="16"/>
      <c r="B680" s="16"/>
      <c r="C680" s="16"/>
      <c r="D680" s="98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</row>
    <row r="681" spans="1:116" s="15" customFormat="1" x14ac:dyDescent="0.25">
      <c r="A681" s="16"/>
      <c r="B681" s="16"/>
      <c r="C681" s="16"/>
      <c r="D681" s="98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</row>
    <row r="682" spans="1:116" s="15" customFormat="1" x14ac:dyDescent="0.25">
      <c r="A682" s="16"/>
      <c r="B682" s="16"/>
      <c r="C682" s="16"/>
      <c r="D682" s="98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</row>
    <row r="683" spans="1:116" s="15" customFormat="1" x14ac:dyDescent="0.25">
      <c r="A683" s="16"/>
      <c r="B683" s="16"/>
      <c r="C683" s="16"/>
      <c r="D683" s="98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</row>
    <row r="684" spans="1:116" s="15" customFormat="1" x14ac:dyDescent="0.25">
      <c r="A684" s="16"/>
      <c r="B684" s="16"/>
      <c r="C684" s="16"/>
      <c r="D684" s="98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</row>
    <row r="685" spans="1:116" s="15" customFormat="1" x14ac:dyDescent="0.25">
      <c r="A685" s="16"/>
      <c r="B685" s="16"/>
      <c r="C685" s="16"/>
      <c r="D685" s="98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</row>
    <row r="686" spans="1:116" s="15" customFormat="1" x14ac:dyDescent="0.25">
      <c r="A686" s="16"/>
      <c r="B686" s="16"/>
      <c r="C686" s="16"/>
      <c r="D686" s="98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</row>
    <row r="687" spans="1:116" s="15" customFormat="1" x14ac:dyDescent="0.25">
      <c r="A687" s="16"/>
      <c r="B687" s="16"/>
      <c r="C687" s="16"/>
      <c r="D687" s="98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</row>
    <row r="688" spans="1:116" s="15" customFormat="1" x14ac:dyDescent="0.25">
      <c r="A688" s="16"/>
      <c r="B688" s="16"/>
      <c r="C688" s="16"/>
      <c r="D688" s="98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</row>
    <row r="689" spans="1:116" s="15" customFormat="1" x14ac:dyDescent="0.25">
      <c r="A689" s="16"/>
      <c r="B689" s="16"/>
      <c r="C689" s="16"/>
      <c r="D689" s="98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</row>
    <row r="690" spans="1:116" s="15" customFormat="1" x14ac:dyDescent="0.25">
      <c r="A690" s="16"/>
      <c r="B690" s="16"/>
      <c r="C690" s="16"/>
      <c r="D690" s="98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</row>
    <row r="691" spans="1:116" s="15" customFormat="1" x14ac:dyDescent="0.25">
      <c r="A691" s="16"/>
      <c r="B691" s="16"/>
      <c r="C691" s="16"/>
      <c r="D691" s="98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</row>
    <row r="692" spans="1:116" s="15" customFormat="1" x14ac:dyDescent="0.25">
      <c r="A692" s="16"/>
      <c r="B692" s="16"/>
      <c r="C692" s="16"/>
      <c r="D692" s="98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</row>
    <row r="693" spans="1:116" s="15" customFormat="1" x14ac:dyDescent="0.25">
      <c r="A693" s="16"/>
      <c r="B693" s="16"/>
      <c r="C693" s="16"/>
      <c r="D693" s="98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</row>
    <row r="694" spans="1:116" s="15" customFormat="1" x14ac:dyDescent="0.25">
      <c r="A694" s="16"/>
      <c r="B694" s="16"/>
      <c r="C694" s="16"/>
      <c r="D694" s="98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</row>
    <row r="695" spans="1:116" s="15" customFormat="1" x14ac:dyDescent="0.25">
      <c r="A695" s="16"/>
      <c r="B695" s="16"/>
      <c r="C695" s="16"/>
      <c r="D695" s="98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</row>
    <row r="696" spans="1:116" s="15" customFormat="1" x14ac:dyDescent="0.25">
      <c r="A696" s="16"/>
      <c r="B696" s="16"/>
      <c r="C696" s="16"/>
      <c r="D696" s="98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</row>
    <row r="697" spans="1:116" s="15" customFormat="1" x14ac:dyDescent="0.25">
      <c r="A697" s="16"/>
      <c r="B697" s="16"/>
      <c r="C697" s="16"/>
      <c r="D697" s="98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</row>
    <row r="698" spans="1:116" s="15" customFormat="1" x14ac:dyDescent="0.25">
      <c r="A698" s="16"/>
      <c r="B698" s="16"/>
      <c r="C698" s="16"/>
      <c r="D698" s="98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</row>
    <row r="699" spans="1:116" s="15" customFormat="1" x14ac:dyDescent="0.25">
      <c r="A699" s="16"/>
      <c r="B699" s="16"/>
      <c r="C699" s="16"/>
      <c r="D699" s="98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</row>
    <row r="700" spans="1:116" s="15" customFormat="1" x14ac:dyDescent="0.25">
      <c r="A700" s="16"/>
      <c r="B700" s="16"/>
      <c r="C700" s="16"/>
      <c r="D700" s="98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</row>
    <row r="701" spans="1:116" s="15" customFormat="1" x14ac:dyDescent="0.25">
      <c r="A701" s="16"/>
      <c r="B701" s="16"/>
      <c r="C701" s="16"/>
      <c r="D701" s="98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</row>
    <row r="702" spans="1:116" s="15" customFormat="1" x14ac:dyDescent="0.25">
      <c r="A702" s="16"/>
      <c r="B702" s="16"/>
      <c r="C702" s="16"/>
      <c r="D702" s="98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</row>
    <row r="703" spans="1:116" s="15" customFormat="1" x14ac:dyDescent="0.25">
      <c r="A703" s="16"/>
      <c r="B703" s="16"/>
      <c r="C703" s="16"/>
      <c r="D703" s="98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</row>
    <row r="704" spans="1:116" s="15" customFormat="1" x14ac:dyDescent="0.25">
      <c r="A704" s="16"/>
      <c r="B704" s="16"/>
      <c r="C704" s="16"/>
      <c r="D704" s="98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</row>
    <row r="705" spans="1:116" s="15" customFormat="1" x14ac:dyDescent="0.25">
      <c r="A705" s="16"/>
      <c r="B705" s="16"/>
      <c r="C705" s="16"/>
      <c r="D705" s="98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</row>
    <row r="706" spans="1:116" s="15" customFormat="1" x14ac:dyDescent="0.25">
      <c r="A706" s="16"/>
      <c r="B706" s="16"/>
      <c r="C706" s="16"/>
      <c r="D706" s="98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</row>
    <row r="707" spans="1:116" s="15" customFormat="1" x14ac:dyDescent="0.25">
      <c r="A707" s="16"/>
      <c r="B707" s="16"/>
      <c r="C707" s="16"/>
      <c r="D707" s="98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</row>
    <row r="708" spans="1:116" s="15" customFormat="1" x14ac:dyDescent="0.25">
      <c r="A708" s="16"/>
      <c r="B708" s="16"/>
      <c r="C708" s="16"/>
      <c r="D708" s="98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</row>
    <row r="709" spans="1:116" s="15" customFormat="1" x14ac:dyDescent="0.25">
      <c r="A709" s="16"/>
      <c r="B709" s="16"/>
      <c r="C709" s="16"/>
      <c r="D709" s="98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</row>
    <row r="710" spans="1:116" s="15" customFormat="1" x14ac:dyDescent="0.25">
      <c r="A710" s="16"/>
      <c r="B710" s="16"/>
      <c r="C710" s="16"/>
      <c r="D710" s="98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</row>
    <row r="711" spans="1:116" s="15" customFormat="1" x14ac:dyDescent="0.25">
      <c r="A711" s="16"/>
      <c r="B711" s="16"/>
      <c r="C711" s="16"/>
      <c r="D711" s="98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</row>
    <row r="712" spans="1:116" s="15" customFormat="1" x14ac:dyDescent="0.25">
      <c r="A712" s="16"/>
      <c r="B712" s="16"/>
      <c r="C712" s="16"/>
      <c r="D712" s="98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</row>
    <row r="713" spans="1:116" s="15" customFormat="1" x14ac:dyDescent="0.25">
      <c r="A713" s="16"/>
      <c r="B713" s="16"/>
      <c r="C713" s="16"/>
      <c r="D713" s="98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</row>
    <row r="714" spans="1:116" s="15" customFormat="1" x14ac:dyDescent="0.25">
      <c r="A714" s="16"/>
      <c r="B714" s="16"/>
      <c r="C714" s="16"/>
      <c r="D714" s="98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</row>
    <row r="715" spans="1:116" s="15" customFormat="1" x14ac:dyDescent="0.25">
      <c r="A715" s="16"/>
      <c r="B715" s="16"/>
      <c r="C715" s="16"/>
      <c r="D715" s="98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</row>
    <row r="716" spans="1:116" s="15" customFormat="1" x14ac:dyDescent="0.25">
      <c r="A716" s="16"/>
      <c r="B716" s="16"/>
      <c r="C716" s="16"/>
      <c r="D716" s="98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</row>
    <row r="717" spans="1:116" s="15" customFormat="1" x14ac:dyDescent="0.25">
      <c r="A717" s="16"/>
      <c r="B717" s="16"/>
      <c r="C717" s="16"/>
      <c r="D717" s="98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</row>
    <row r="718" spans="1:116" s="15" customFormat="1" x14ac:dyDescent="0.25">
      <c r="A718" s="16"/>
      <c r="B718" s="16"/>
      <c r="C718" s="16"/>
      <c r="D718" s="98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</row>
    <row r="719" spans="1:116" s="15" customFormat="1" x14ac:dyDescent="0.25">
      <c r="A719" s="16"/>
      <c r="B719" s="16"/>
      <c r="C719" s="16"/>
      <c r="D719" s="98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</row>
    <row r="720" spans="1:116" s="15" customFormat="1" x14ac:dyDescent="0.25">
      <c r="A720" s="16"/>
      <c r="B720" s="16"/>
      <c r="C720" s="16"/>
      <c r="D720" s="98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</row>
    <row r="721" spans="1:116" s="15" customFormat="1" x14ac:dyDescent="0.25">
      <c r="A721" s="16"/>
      <c r="B721" s="16"/>
      <c r="C721" s="16"/>
      <c r="D721" s="98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</row>
    <row r="722" spans="1:116" s="15" customFormat="1" x14ac:dyDescent="0.25">
      <c r="A722" s="16"/>
      <c r="B722" s="16"/>
      <c r="C722" s="16"/>
      <c r="D722" s="98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</row>
    <row r="723" spans="1:116" s="15" customFormat="1" x14ac:dyDescent="0.25">
      <c r="A723" s="16"/>
      <c r="B723" s="16"/>
      <c r="C723" s="16"/>
      <c r="D723" s="98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</row>
    <row r="724" spans="1:116" s="15" customFormat="1" x14ac:dyDescent="0.25">
      <c r="A724" s="16"/>
      <c r="B724" s="16"/>
      <c r="C724" s="16"/>
      <c r="D724" s="98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</row>
    <row r="725" spans="1:116" s="15" customFormat="1" x14ac:dyDescent="0.25">
      <c r="A725" s="16"/>
      <c r="B725" s="16"/>
      <c r="C725" s="16"/>
      <c r="D725" s="98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</row>
    <row r="726" spans="1:116" s="15" customFormat="1" x14ac:dyDescent="0.25">
      <c r="A726" s="16"/>
      <c r="B726" s="16"/>
      <c r="C726" s="16"/>
      <c r="D726" s="98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</row>
    <row r="727" spans="1:116" s="15" customFormat="1" x14ac:dyDescent="0.25">
      <c r="A727" s="16"/>
      <c r="B727" s="16"/>
      <c r="C727" s="16"/>
      <c r="D727" s="98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</row>
    <row r="728" spans="1:116" s="15" customFormat="1" x14ac:dyDescent="0.25">
      <c r="A728" s="16"/>
      <c r="B728" s="16"/>
      <c r="C728" s="16"/>
      <c r="D728" s="98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</row>
    <row r="729" spans="1:116" s="15" customFormat="1" x14ac:dyDescent="0.25">
      <c r="A729" s="16"/>
      <c r="B729" s="16"/>
      <c r="C729" s="16"/>
      <c r="D729" s="98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</row>
    <row r="730" spans="1:116" s="15" customFormat="1" x14ac:dyDescent="0.25">
      <c r="A730" s="16"/>
      <c r="B730" s="16"/>
      <c r="C730" s="16"/>
      <c r="D730" s="98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</row>
    <row r="731" spans="1:116" s="15" customFormat="1" x14ac:dyDescent="0.25">
      <c r="A731" s="16"/>
      <c r="B731" s="16"/>
      <c r="C731" s="16"/>
      <c r="D731" s="98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</row>
    <row r="732" spans="1:116" s="15" customFormat="1" x14ac:dyDescent="0.25">
      <c r="A732" s="16"/>
      <c r="B732" s="16"/>
      <c r="C732" s="16"/>
      <c r="D732" s="98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</row>
    <row r="733" spans="1:116" s="15" customFormat="1" x14ac:dyDescent="0.25">
      <c r="A733" s="16"/>
      <c r="B733" s="16"/>
      <c r="C733" s="16"/>
      <c r="D733" s="98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</row>
    <row r="734" spans="1:116" s="15" customFormat="1" x14ac:dyDescent="0.25">
      <c r="A734" s="16"/>
      <c r="B734" s="16"/>
      <c r="C734" s="16"/>
      <c r="D734" s="98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</row>
    <row r="735" spans="1:116" s="15" customFormat="1" x14ac:dyDescent="0.25">
      <c r="A735" s="16"/>
      <c r="B735" s="16"/>
      <c r="C735" s="16"/>
      <c r="D735" s="98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</row>
    <row r="736" spans="1:116" s="15" customFormat="1" x14ac:dyDescent="0.25">
      <c r="A736" s="16"/>
      <c r="B736" s="16"/>
      <c r="C736" s="16"/>
      <c r="D736" s="98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</row>
    <row r="737" spans="1:124" s="4" customFormat="1" x14ac:dyDescent="0.25">
      <c r="A737" s="2"/>
      <c r="B737" s="2"/>
      <c r="C737" s="2"/>
      <c r="D737" s="98"/>
      <c r="E737" s="15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DM737" s="15"/>
      <c r="DN737" s="15"/>
      <c r="DO737" s="15"/>
      <c r="DP737" s="15"/>
      <c r="DQ737" s="15"/>
      <c r="DR737" s="15"/>
      <c r="DS737" s="15"/>
      <c r="DT737" s="15"/>
    </row>
    <row r="738" spans="1:124" s="4" customFormat="1" x14ac:dyDescent="0.25">
      <c r="A738" s="2"/>
      <c r="B738" s="2"/>
      <c r="C738" s="2"/>
      <c r="D738" s="98"/>
      <c r="E738" s="15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DM738" s="15"/>
      <c r="DN738" s="15"/>
      <c r="DO738" s="15"/>
      <c r="DP738" s="15"/>
      <c r="DQ738" s="15"/>
      <c r="DR738" s="15"/>
      <c r="DS738" s="15"/>
      <c r="DT738" s="15"/>
    </row>
    <row r="739" spans="1:124" s="4" customFormat="1" x14ac:dyDescent="0.25">
      <c r="A739" s="2"/>
      <c r="B739" s="2"/>
      <c r="C739" s="2"/>
      <c r="D739" s="98"/>
      <c r="E739" s="15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DM739" s="15"/>
      <c r="DN739" s="15"/>
      <c r="DO739" s="15"/>
      <c r="DP739" s="15"/>
      <c r="DQ739" s="15"/>
      <c r="DR739" s="15"/>
      <c r="DS739" s="15"/>
      <c r="DT739" s="15"/>
    </row>
    <row r="740" spans="1:124" s="4" customFormat="1" x14ac:dyDescent="0.25">
      <c r="A740" s="2"/>
      <c r="B740" s="2"/>
      <c r="C740" s="2"/>
      <c r="D740" s="98"/>
      <c r="E740" s="15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DM740" s="15"/>
      <c r="DN740" s="15"/>
      <c r="DO740" s="15"/>
      <c r="DP740" s="15"/>
      <c r="DQ740" s="15"/>
      <c r="DR740" s="15"/>
      <c r="DS740" s="15"/>
      <c r="DT740" s="15"/>
    </row>
    <row r="741" spans="1:124" s="4" customFormat="1" x14ac:dyDescent="0.25">
      <c r="A741" s="2"/>
      <c r="B741" s="2"/>
      <c r="C741" s="2"/>
      <c r="D741" s="98"/>
      <c r="E741" s="15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DM741" s="15"/>
      <c r="DN741" s="15"/>
      <c r="DO741" s="15"/>
      <c r="DP741" s="15"/>
      <c r="DQ741" s="15"/>
      <c r="DR741" s="15"/>
      <c r="DS741" s="15"/>
      <c r="DT741" s="15"/>
    </row>
    <row r="742" spans="1:124" s="4" customFormat="1" x14ac:dyDescent="0.25">
      <c r="A742" s="2"/>
      <c r="B742" s="2"/>
      <c r="C742" s="2"/>
      <c r="D742" s="98"/>
      <c r="E742" s="15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DM742" s="15"/>
      <c r="DN742" s="15"/>
      <c r="DO742" s="15"/>
      <c r="DP742" s="15"/>
      <c r="DQ742" s="15"/>
      <c r="DR742" s="15"/>
      <c r="DS742" s="15"/>
      <c r="DT742" s="15"/>
    </row>
    <row r="743" spans="1:124" s="4" customFormat="1" x14ac:dyDescent="0.25">
      <c r="A743" s="2"/>
      <c r="B743" s="2"/>
      <c r="C743" s="2"/>
      <c r="D743" s="98"/>
      <c r="E743" s="15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DM743" s="15"/>
      <c r="DN743" s="15"/>
      <c r="DO743" s="15"/>
      <c r="DP743" s="15"/>
      <c r="DQ743" s="15"/>
      <c r="DR743" s="15"/>
      <c r="DS743" s="15"/>
      <c r="DT743" s="15"/>
    </row>
    <row r="744" spans="1:124" s="4" customFormat="1" x14ac:dyDescent="0.25">
      <c r="A744" s="2"/>
      <c r="B744" s="2"/>
      <c r="C744" s="2"/>
      <c r="D744" s="98"/>
      <c r="E744" s="15"/>
      <c r="F744" s="5"/>
      <c r="G744" s="5"/>
      <c r="H744" s="5"/>
      <c r="I744" s="5"/>
      <c r="J744" s="5"/>
      <c r="K744" s="5"/>
      <c r="M744" s="5"/>
      <c r="N744" s="5"/>
      <c r="O744" s="5"/>
      <c r="P744" s="5"/>
      <c r="Q744" s="5"/>
      <c r="R744" s="5"/>
      <c r="S744" s="7"/>
      <c r="T744" s="7"/>
      <c r="U744" s="7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O744" s="5"/>
      <c r="BM744" s="5"/>
      <c r="BN744" s="5"/>
      <c r="BO744" s="5"/>
      <c r="BP744" s="14"/>
      <c r="BQ744" s="5"/>
      <c r="BZ744" s="14"/>
      <c r="CA744" s="14"/>
      <c r="DM744" s="15"/>
      <c r="DN744" s="15"/>
      <c r="DO744" s="15"/>
      <c r="DP744" s="15"/>
      <c r="DQ744" s="15"/>
      <c r="DR744" s="15"/>
      <c r="DS744" s="15"/>
      <c r="DT744" s="15"/>
    </row>
    <row r="745" spans="1:124" s="4" customFormat="1" x14ac:dyDescent="0.25">
      <c r="A745" s="2"/>
      <c r="B745" s="2"/>
      <c r="C745" s="2"/>
      <c r="D745" s="98"/>
      <c r="E745" s="15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DM745" s="15"/>
      <c r="DN745" s="15"/>
      <c r="DO745" s="15"/>
      <c r="DP745" s="15"/>
      <c r="DQ745" s="15"/>
      <c r="DR745" s="15"/>
      <c r="DS745" s="15"/>
      <c r="DT745" s="15"/>
    </row>
    <row r="746" spans="1:124" s="4" customFormat="1" x14ac:dyDescent="0.25">
      <c r="A746" s="2"/>
      <c r="B746" s="2"/>
      <c r="C746" s="2"/>
      <c r="D746" s="98"/>
      <c r="E746" s="15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DM746" s="15"/>
      <c r="DN746" s="15"/>
      <c r="DO746" s="15"/>
      <c r="DP746" s="15"/>
      <c r="DQ746" s="15"/>
      <c r="DR746" s="15"/>
      <c r="DS746" s="15"/>
      <c r="DT746" s="15"/>
    </row>
    <row r="747" spans="1:124" s="4" customFormat="1" x14ac:dyDescent="0.25">
      <c r="A747" s="2"/>
      <c r="B747" s="2"/>
      <c r="C747" s="2"/>
      <c r="D747" s="98"/>
      <c r="E747" s="15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DM747" s="15"/>
      <c r="DN747" s="15"/>
      <c r="DO747" s="15"/>
      <c r="DP747" s="15"/>
      <c r="DQ747" s="15"/>
      <c r="DR747" s="15"/>
      <c r="DS747" s="15"/>
      <c r="DT747" s="15"/>
    </row>
    <row r="748" spans="1:124" s="4" customFormat="1" x14ac:dyDescent="0.25">
      <c r="A748" s="2"/>
      <c r="B748" s="2"/>
      <c r="C748" s="2"/>
      <c r="D748" s="98"/>
      <c r="E748" s="15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DM748" s="15"/>
      <c r="DN748" s="15"/>
      <c r="DO748" s="15"/>
      <c r="DP748" s="15"/>
      <c r="DQ748" s="15"/>
      <c r="DR748" s="15"/>
      <c r="DS748" s="15"/>
      <c r="DT748" s="15"/>
    </row>
    <row r="749" spans="1:124" s="4" customFormat="1" x14ac:dyDescent="0.25">
      <c r="A749" s="2"/>
      <c r="B749" s="2"/>
      <c r="C749" s="2"/>
      <c r="D749" s="98"/>
      <c r="E749" s="15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DM749" s="15"/>
      <c r="DN749" s="15"/>
      <c r="DO749" s="15"/>
      <c r="DP749" s="15"/>
      <c r="DQ749" s="15"/>
      <c r="DR749" s="15"/>
      <c r="DS749" s="15"/>
      <c r="DT749" s="15"/>
    </row>
    <row r="750" spans="1:124" s="4" customFormat="1" x14ac:dyDescent="0.25">
      <c r="A750" s="2"/>
      <c r="B750" s="2"/>
      <c r="C750" s="2"/>
      <c r="D750" s="98"/>
      <c r="E750" s="15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DM750" s="15"/>
      <c r="DN750" s="15"/>
      <c r="DO750" s="15"/>
      <c r="DP750" s="15"/>
      <c r="DQ750" s="15"/>
      <c r="DR750" s="15"/>
      <c r="DS750" s="15"/>
      <c r="DT750" s="15"/>
    </row>
    <row r="751" spans="1:124" s="4" customFormat="1" x14ac:dyDescent="0.25">
      <c r="A751" s="2"/>
      <c r="B751" s="2"/>
      <c r="C751" s="2"/>
      <c r="D751" s="98"/>
      <c r="E751" s="15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DM751" s="15"/>
      <c r="DN751" s="15"/>
      <c r="DO751" s="15"/>
      <c r="DP751" s="15"/>
      <c r="DQ751" s="15"/>
      <c r="DR751" s="15"/>
      <c r="DS751" s="15"/>
      <c r="DT751" s="15"/>
    </row>
    <row r="752" spans="1:124" s="4" customFormat="1" x14ac:dyDescent="0.25">
      <c r="A752" s="2"/>
      <c r="B752" s="2"/>
      <c r="C752" s="2"/>
      <c r="D752" s="98"/>
      <c r="E752" s="15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DM752" s="15"/>
      <c r="DN752" s="15"/>
      <c r="DO752" s="15"/>
      <c r="DP752" s="15"/>
      <c r="DQ752" s="15"/>
      <c r="DR752" s="15"/>
      <c r="DS752" s="15"/>
      <c r="DT752" s="15"/>
    </row>
    <row r="753" spans="1:116" s="15" customFormat="1" x14ac:dyDescent="0.25">
      <c r="A753" s="16"/>
      <c r="B753" s="16"/>
      <c r="C753" s="16"/>
      <c r="D753" s="98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</row>
    <row r="754" spans="1:116" s="15" customFormat="1" x14ac:dyDescent="0.25">
      <c r="A754" s="16"/>
      <c r="B754" s="16"/>
      <c r="C754" s="16"/>
      <c r="D754" s="98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</row>
    <row r="755" spans="1:116" s="15" customFormat="1" x14ac:dyDescent="0.25">
      <c r="A755" s="16"/>
      <c r="B755" s="16"/>
      <c r="C755" s="16"/>
      <c r="D755" s="98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</row>
    <row r="756" spans="1:116" s="15" customFormat="1" x14ac:dyDescent="0.25">
      <c r="A756" s="16"/>
      <c r="B756" s="16"/>
      <c r="C756" s="16"/>
      <c r="D756" s="98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</row>
    <row r="757" spans="1:116" s="15" customFormat="1" x14ac:dyDescent="0.25">
      <c r="A757" s="16"/>
      <c r="B757" s="16"/>
      <c r="C757" s="16"/>
      <c r="D757" s="98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</row>
    <row r="758" spans="1:116" s="15" customFormat="1" x14ac:dyDescent="0.25">
      <c r="A758" s="16"/>
      <c r="B758" s="16"/>
      <c r="C758" s="16"/>
      <c r="D758" s="98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</row>
    <row r="759" spans="1:116" s="15" customFormat="1" x14ac:dyDescent="0.25">
      <c r="A759" s="16"/>
      <c r="B759" s="16"/>
      <c r="C759" s="16"/>
      <c r="D759" s="98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</row>
    <row r="760" spans="1:116" s="15" customFormat="1" x14ac:dyDescent="0.25">
      <c r="A760" s="16"/>
      <c r="B760" s="16"/>
      <c r="C760" s="16"/>
      <c r="D760" s="98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</row>
    <row r="761" spans="1:116" s="15" customFormat="1" x14ac:dyDescent="0.25">
      <c r="A761" s="16"/>
      <c r="B761" s="16"/>
      <c r="C761" s="16"/>
      <c r="D761" s="98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</row>
    <row r="762" spans="1:116" s="15" customFormat="1" x14ac:dyDescent="0.25">
      <c r="A762" s="16"/>
      <c r="B762" s="16"/>
      <c r="C762" s="16"/>
      <c r="D762" s="98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</row>
    <row r="763" spans="1:116" s="15" customFormat="1" x14ac:dyDescent="0.25">
      <c r="A763" s="16"/>
      <c r="B763" s="16"/>
      <c r="C763" s="16"/>
      <c r="D763" s="98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</row>
    <row r="764" spans="1:116" s="15" customFormat="1" x14ac:dyDescent="0.25">
      <c r="A764" s="16"/>
      <c r="B764" s="16"/>
      <c r="C764" s="16"/>
      <c r="D764" s="98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</row>
    <row r="765" spans="1:116" s="15" customFormat="1" x14ac:dyDescent="0.25">
      <c r="A765" s="16"/>
      <c r="B765" s="16"/>
      <c r="C765" s="16"/>
      <c r="D765" s="98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</row>
    <row r="766" spans="1:116" s="15" customFormat="1" x14ac:dyDescent="0.25">
      <c r="A766" s="16"/>
      <c r="B766" s="16"/>
      <c r="C766" s="16"/>
      <c r="D766" s="98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</row>
    <row r="767" spans="1:116" s="15" customFormat="1" x14ac:dyDescent="0.25">
      <c r="A767" s="16"/>
      <c r="B767" s="16"/>
      <c r="C767" s="16"/>
      <c r="D767" s="98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</row>
    <row r="768" spans="1:116" s="15" customFormat="1" x14ac:dyDescent="0.25">
      <c r="A768" s="16"/>
      <c r="B768" s="16"/>
      <c r="C768" s="16"/>
      <c r="D768" s="98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</row>
    <row r="929" spans="1:124" s="4" customFormat="1" x14ac:dyDescent="0.25">
      <c r="A929" s="2"/>
      <c r="B929" s="2"/>
      <c r="C929" s="2"/>
      <c r="D929" s="98"/>
      <c r="E929" s="15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DM929" s="15"/>
      <c r="DN929" s="15"/>
      <c r="DO929" s="15"/>
      <c r="DP929" s="15"/>
      <c r="DQ929" s="15"/>
      <c r="DR929" s="15"/>
      <c r="DS929" s="15"/>
      <c r="DT929" s="15"/>
    </row>
    <row r="930" spans="1:124" s="4" customFormat="1" x14ac:dyDescent="0.25">
      <c r="A930" s="2"/>
      <c r="B930" s="2"/>
      <c r="C930" s="2"/>
      <c r="D930" s="98"/>
      <c r="E930" s="15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DM930" s="15"/>
      <c r="DN930" s="15"/>
      <c r="DO930" s="15"/>
      <c r="DP930" s="15"/>
      <c r="DQ930" s="15"/>
      <c r="DR930" s="15"/>
      <c r="DS930" s="15"/>
      <c r="DT930" s="15"/>
    </row>
    <row r="931" spans="1:124" s="4" customFormat="1" x14ac:dyDescent="0.25">
      <c r="A931" s="2"/>
      <c r="B931" s="2"/>
      <c r="C931" s="2"/>
      <c r="D931" s="98"/>
      <c r="E931" s="15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DM931" s="15"/>
      <c r="DN931" s="15"/>
      <c r="DO931" s="15"/>
      <c r="DP931" s="15"/>
      <c r="DQ931" s="15"/>
      <c r="DR931" s="15"/>
      <c r="DS931" s="15"/>
      <c r="DT931" s="15"/>
    </row>
    <row r="932" spans="1:124" s="4" customFormat="1" x14ac:dyDescent="0.25">
      <c r="A932" s="2"/>
      <c r="B932" s="2"/>
      <c r="C932" s="2"/>
      <c r="D932" s="98"/>
      <c r="E932" s="15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DM932" s="15"/>
      <c r="DN932" s="15"/>
      <c r="DO932" s="15"/>
      <c r="DP932" s="15"/>
      <c r="DQ932" s="15"/>
      <c r="DR932" s="15"/>
      <c r="DS932" s="15"/>
      <c r="DT932" s="15"/>
    </row>
    <row r="933" spans="1:124" s="4" customFormat="1" x14ac:dyDescent="0.25">
      <c r="A933" s="2"/>
      <c r="B933" s="2"/>
      <c r="C933" s="2"/>
      <c r="D933" s="98"/>
      <c r="E933" s="15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DM933" s="15"/>
      <c r="DN933" s="15"/>
      <c r="DO933" s="15"/>
      <c r="DP933" s="15"/>
      <c r="DQ933" s="15"/>
      <c r="DR933" s="15"/>
      <c r="DS933" s="15"/>
      <c r="DT933" s="15"/>
    </row>
    <row r="934" spans="1:124" s="4" customFormat="1" x14ac:dyDescent="0.25">
      <c r="A934" s="2"/>
      <c r="B934" s="2"/>
      <c r="C934" s="2"/>
      <c r="D934" s="98"/>
      <c r="E934" s="15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DM934" s="15"/>
      <c r="DN934" s="15"/>
      <c r="DO934" s="15"/>
      <c r="DP934" s="15"/>
      <c r="DQ934" s="15"/>
      <c r="DR934" s="15"/>
      <c r="DS934" s="15"/>
      <c r="DT934" s="15"/>
    </row>
    <row r="935" spans="1:124" s="4" customFormat="1" x14ac:dyDescent="0.25">
      <c r="A935" s="2"/>
      <c r="B935" s="2"/>
      <c r="C935" s="2"/>
      <c r="D935" s="98"/>
      <c r="E935" s="15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DM935" s="15"/>
      <c r="DN935" s="15"/>
      <c r="DO935" s="15"/>
      <c r="DP935" s="15"/>
      <c r="DQ935" s="15"/>
      <c r="DR935" s="15"/>
      <c r="DS935" s="15"/>
      <c r="DT935" s="15"/>
    </row>
    <row r="936" spans="1:124" s="4" customFormat="1" x14ac:dyDescent="0.25">
      <c r="A936" s="2"/>
      <c r="B936" s="2"/>
      <c r="C936" s="2"/>
      <c r="D936" s="98"/>
      <c r="E936" s="15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DM936" s="15"/>
      <c r="DN936" s="15"/>
      <c r="DO936" s="15"/>
      <c r="DP936" s="15"/>
      <c r="DQ936" s="15"/>
      <c r="DR936" s="15"/>
      <c r="DS936" s="15"/>
      <c r="DT936" s="15"/>
    </row>
    <row r="937" spans="1:124" s="4" customFormat="1" x14ac:dyDescent="0.25">
      <c r="A937" s="2"/>
      <c r="B937" s="2"/>
      <c r="C937" s="2"/>
      <c r="D937" s="98"/>
      <c r="E937" s="15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DM937" s="15"/>
      <c r="DN937" s="15"/>
      <c r="DO937" s="15"/>
      <c r="DP937" s="15"/>
      <c r="DQ937" s="15"/>
      <c r="DR937" s="15"/>
      <c r="DS937" s="15"/>
      <c r="DT937" s="15"/>
    </row>
    <row r="938" spans="1:124" s="4" customFormat="1" x14ac:dyDescent="0.25">
      <c r="A938" s="2"/>
      <c r="B938" s="2"/>
      <c r="C938" s="2"/>
      <c r="D938" s="98"/>
      <c r="E938" s="15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DM938" s="15"/>
      <c r="DN938" s="15"/>
      <c r="DO938" s="15"/>
      <c r="DP938" s="15"/>
      <c r="DQ938" s="15"/>
      <c r="DR938" s="15"/>
      <c r="DS938" s="15"/>
      <c r="DT938" s="15"/>
    </row>
    <row r="939" spans="1:124" s="4" customFormat="1" x14ac:dyDescent="0.25">
      <c r="A939" s="2"/>
      <c r="B939" s="2"/>
      <c r="C939" s="2"/>
      <c r="D939" s="98"/>
      <c r="E939" s="15"/>
      <c r="F939" s="5"/>
      <c r="G939" s="5"/>
      <c r="H939" s="5"/>
      <c r="I939" s="5"/>
      <c r="J939" s="5"/>
      <c r="K939" s="5"/>
      <c r="M939" s="5"/>
      <c r="N939" s="5"/>
      <c r="O939" s="5"/>
      <c r="P939" s="5"/>
      <c r="Q939" s="5"/>
      <c r="R939" s="5"/>
      <c r="S939" s="6"/>
      <c r="T939" s="6"/>
      <c r="U939" s="6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O939" s="5"/>
      <c r="BJ939" s="14"/>
      <c r="BN939" s="5"/>
      <c r="BO939" s="5"/>
      <c r="BP939" s="5"/>
      <c r="BQ939" s="5"/>
      <c r="BZ939" s="14"/>
      <c r="CA939" s="14"/>
      <c r="DM939" s="15"/>
      <c r="DN939" s="15"/>
      <c r="DO939" s="15"/>
      <c r="DP939" s="15"/>
      <c r="DQ939" s="15"/>
      <c r="DR939" s="15"/>
      <c r="DS939" s="15"/>
      <c r="DT939" s="15"/>
    </row>
    <row r="940" spans="1:124" s="4" customFormat="1" x14ac:dyDescent="0.25">
      <c r="A940" s="2"/>
      <c r="B940" s="2"/>
      <c r="C940" s="2"/>
      <c r="D940" s="98"/>
      <c r="E940" s="15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DM940" s="15"/>
      <c r="DN940" s="15"/>
      <c r="DO940" s="15"/>
      <c r="DP940" s="15"/>
      <c r="DQ940" s="15"/>
      <c r="DR940" s="15"/>
      <c r="DS940" s="15"/>
      <c r="DT940" s="15"/>
    </row>
    <row r="941" spans="1:124" s="4" customFormat="1" x14ac:dyDescent="0.25">
      <c r="A941" s="2"/>
      <c r="B941" s="2"/>
      <c r="C941" s="2"/>
      <c r="D941" s="98"/>
      <c r="E941" s="15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DM941" s="15"/>
      <c r="DN941" s="15"/>
      <c r="DO941" s="15"/>
      <c r="DP941" s="15"/>
      <c r="DQ941" s="15"/>
      <c r="DR941" s="15"/>
      <c r="DS941" s="15"/>
      <c r="DT941" s="15"/>
    </row>
    <row r="942" spans="1:124" s="4" customFormat="1" x14ac:dyDescent="0.25">
      <c r="A942" s="2"/>
      <c r="B942" s="2"/>
      <c r="C942" s="2"/>
      <c r="D942" s="98"/>
      <c r="E942" s="15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DM942" s="15"/>
      <c r="DN942" s="15"/>
      <c r="DO942" s="15"/>
      <c r="DP942" s="15"/>
      <c r="DQ942" s="15"/>
      <c r="DR942" s="15"/>
      <c r="DS942" s="15"/>
      <c r="DT942" s="15"/>
    </row>
    <row r="943" spans="1:124" s="4" customFormat="1" x14ac:dyDescent="0.25">
      <c r="A943" s="2"/>
      <c r="B943" s="2"/>
      <c r="C943" s="2"/>
      <c r="D943" s="98"/>
      <c r="E943" s="15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DM943" s="15"/>
      <c r="DN943" s="15"/>
      <c r="DO943" s="15"/>
      <c r="DP943" s="15"/>
      <c r="DQ943" s="15"/>
      <c r="DR943" s="15"/>
      <c r="DS943" s="15"/>
      <c r="DT943" s="15"/>
    </row>
    <row r="944" spans="1:124" s="4" customFormat="1" x14ac:dyDescent="0.25">
      <c r="A944" s="2"/>
      <c r="B944" s="2"/>
      <c r="C944" s="2"/>
      <c r="D944" s="98"/>
      <c r="E944" s="15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DM944" s="15"/>
      <c r="DN944" s="15"/>
      <c r="DO944" s="15"/>
      <c r="DP944" s="15"/>
      <c r="DQ944" s="15"/>
      <c r="DR944" s="15"/>
      <c r="DS944" s="15"/>
      <c r="DT944" s="15"/>
    </row>
    <row r="977" spans="1:116" s="15" customFormat="1" x14ac:dyDescent="0.25">
      <c r="A977" s="16"/>
      <c r="B977" s="16"/>
      <c r="C977" s="16"/>
      <c r="D977" s="98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</row>
    <row r="978" spans="1:116" s="15" customFormat="1" x14ac:dyDescent="0.25">
      <c r="A978" s="16"/>
      <c r="B978" s="16"/>
      <c r="C978" s="16"/>
      <c r="D978" s="98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</row>
    <row r="979" spans="1:116" s="15" customFormat="1" x14ac:dyDescent="0.25">
      <c r="A979" s="16"/>
      <c r="B979" s="16"/>
      <c r="C979" s="16"/>
      <c r="D979" s="98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</row>
    <row r="980" spans="1:116" s="15" customFormat="1" x14ac:dyDescent="0.25">
      <c r="A980" s="16"/>
      <c r="B980" s="16"/>
      <c r="C980" s="16"/>
      <c r="D980" s="98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</row>
    <row r="981" spans="1:116" s="15" customFormat="1" x14ac:dyDescent="0.25">
      <c r="A981" s="16"/>
      <c r="B981" s="16"/>
      <c r="C981" s="16"/>
      <c r="D981" s="98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</row>
    <row r="982" spans="1:116" s="15" customFormat="1" x14ac:dyDescent="0.25">
      <c r="A982" s="16"/>
      <c r="B982" s="16"/>
      <c r="C982" s="16"/>
      <c r="D982" s="98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</row>
    <row r="983" spans="1:116" s="15" customFormat="1" x14ac:dyDescent="0.25">
      <c r="A983" s="16"/>
      <c r="B983" s="16"/>
      <c r="C983" s="16"/>
      <c r="D983" s="98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</row>
    <row r="984" spans="1:116" s="15" customFormat="1" x14ac:dyDescent="0.25">
      <c r="A984" s="16"/>
      <c r="B984" s="16"/>
      <c r="C984" s="16"/>
      <c r="D984" s="98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</row>
    <row r="985" spans="1:116" s="15" customFormat="1" x14ac:dyDescent="0.25">
      <c r="A985" s="16"/>
      <c r="B985" s="16"/>
      <c r="C985" s="16"/>
      <c r="D985" s="98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</row>
    <row r="986" spans="1:116" s="15" customFormat="1" x14ac:dyDescent="0.25">
      <c r="A986" s="16"/>
      <c r="B986" s="16"/>
      <c r="C986" s="16"/>
      <c r="D986" s="98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</row>
    <row r="987" spans="1:116" s="15" customFormat="1" x14ac:dyDescent="0.25">
      <c r="A987" s="16"/>
      <c r="B987" s="16"/>
      <c r="C987" s="16"/>
      <c r="D987" s="98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</row>
    <row r="988" spans="1:116" s="15" customFormat="1" x14ac:dyDescent="0.25">
      <c r="A988" s="16"/>
      <c r="B988" s="16"/>
      <c r="C988" s="16"/>
      <c r="D988" s="98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</row>
    <row r="989" spans="1:116" s="15" customFormat="1" x14ac:dyDescent="0.25">
      <c r="A989" s="16"/>
      <c r="B989" s="16"/>
      <c r="C989" s="16"/>
      <c r="D989" s="98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</row>
    <row r="990" spans="1:116" s="15" customFormat="1" x14ac:dyDescent="0.25">
      <c r="A990" s="16"/>
      <c r="B990" s="16"/>
      <c r="C990" s="16"/>
      <c r="D990" s="98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</row>
    <row r="991" spans="1:116" s="15" customFormat="1" x14ac:dyDescent="0.25">
      <c r="A991" s="16"/>
      <c r="B991" s="16"/>
      <c r="C991" s="16"/>
      <c r="D991" s="98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</row>
    <row r="992" spans="1:116" s="15" customFormat="1" x14ac:dyDescent="0.25">
      <c r="A992" s="16"/>
      <c r="B992" s="16"/>
      <c r="C992" s="16"/>
      <c r="D992" s="98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</row>
    <row r="993" spans="1:116" s="15" customFormat="1" x14ac:dyDescent="0.25">
      <c r="A993" s="16"/>
      <c r="B993" s="16"/>
      <c r="C993" s="16"/>
      <c r="D993" s="98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</row>
    <row r="994" spans="1:116" s="15" customFormat="1" x14ac:dyDescent="0.25">
      <c r="A994" s="16"/>
      <c r="B994" s="16"/>
      <c r="C994" s="16"/>
      <c r="D994" s="98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</row>
    <row r="995" spans="1:116" s="15" customFormat="1" x14ac:dyDescent="0.25">
      <c r="A995" s="16"/>
      <c r="B995" s="16"/>
      <c r="C995" s="16"/>
      <c r="D995" s="98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</row>
    <row r="996" spans="1:116" s="15" customFormat="1" x14ac:dyDescent="0.25">
      <c r="A996" s="16"/>
      <c r="B996" s="16"/>
      <c r="C996" s="16"/>
      <c r="D996" s="98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</row>
    <row r="997" spans="1:116" s="15" customFormat="1" x14ac:dyDescent="0.25">
      <c r="A997" s="16"/>
      <c r="B997" s="16"/>
      <c r="C997" s="16"/>
      <c r="D997" s="98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</row>
    <row r="998" spans="1:116" s="15" customFormat="1" x14ac:dyDescent="0.25">
      <c r="A998" s="16"/>
      <c r="B998" s="16"/>
      <c r="C998" s="16"/>
      <c r="D998" s="98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</row>
    <row r="999" spans="1:116" s="15" customFormat="1" x14ac:dyDescent="0.25">
      <c r="A999" s="16"/>
      <c r="B999" s="16"/>
      <c r="C999" s="16"/>
      <c r="D999" s="98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</row>
    <row r="1000" spans="1:116" s="15" customFormat="1" x14ac:dyDescent="0.25">
      <c r="A1000" s="16"/>
      <c r="B1000" s="16"/>
      <c r="C1000" s="16"/>
      <c r="D1000" s="98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</row>
    <row r="1001" spans="1:116" s="15" customFormat="1" x14ac:dyDescent="0.25">
      <c r="A1001" s="16"/>
      <c r="B1001" s="16"/>
      <c r="C1001" s="16"/>
      <c r="D1001" s="98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  <c r="BU1001" s="14"/>
      <c r="BV1001" s="14"/>
      <c r="BW1001" s="14"/>
      <c r="BX1001" s="14"/>
      <c r="BY1001" s="14"/>
      <c r="BZ1001" s="14"/>
      <c r="CA1001" s="14"/>
      <c r="CB1001" s="14"/>
      <c r="CC1001" s="14"/>
      <c r="CD1001" s="14"/>
      <c r="CE1001" s="14"/>
      <c r="CF1001" s="1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</row>
    <row r="1002" spans="1:116" s="15" customFormat="1" x14ac:dyDescent="0.25">
      <c r="A1002" s="16"/>
      <c r="B1002" s="16"/>
      <c r="C1002" s="16"/>
      <c r="D1002" s="98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  <c r="BU1002" s="14"/>
      <c r="BV1002" s="14"/>
      <c r="BW1002" s="14"/>
      <c r="BX1002" s="14"/>
      <c r="BY1002" s="14"/>
      <c r="BZ1002" s="14"/>
      <c r="CA1002" s="14"/>
      <c r="CB1002" s="14"/>
      <c r="CC1002" s="14"/>
      <c r="CD1002" s="14"/>
      <c r="CE1002" s="14"/>
      <c r="CF1002" s="1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</row>
    <row r="1003" spans="1:116" s="15" customFormat="1" x14ac:dyDescent="0.25">
      <c r="A1003" s="16"/>
      <c r="B1003" s="16"/>
      <c r="C1003" s="16"/>
      <c r="D1003" s="98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  <c r="BU1003" s="14"/>
      <c r="BV1003" s="14"/>
      <c r="BW1003" s="14"/>
      <c r="BX1003" s="14"/>
      <c r="BY1003" s="14"/>
      <c r="BZ1003" s="14"/>
      <c r="CA1003" s="14"/>
      <c r="CB1003" s="14"/>
      <c r="CC1003" s="14"/>
      <c r="CD1003" s="14"/>
      <c r="CE1003" s="14"/>
      <c r="CF1003" s="1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</row>
    <row r="1004" spans="1:116" s="15" customFormat="1" x14ac:dyDescent="0.25">
      <c r="A1004" s="16"/>
      <c r="B1004" s="16"/>
      <c r="C1004" s="16"/>
      <c r="D1004" s="98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  <c r="BU1004" s="14"/>
      <c r="BV1004" s="14"/>
      <c r="BW1004" s="14"/>
      <c r="BX1004" s="14"/>
      <c r="BY1004" s="14"/>
      <c r="BZ1004" s="14"/>
      <c r="CA1004" s="14"/>
      <c r="CB1004" s="14"/>
      <c r="CC1004" s="14"/>
      <c r="CD1004" s="14"/>
      <c r="CE1004" s="14"/>
      <c r="CF1004" s="1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</row>
    <row r="1005" spans="1:116" s="15" customFormat="1" x14ac:dyDescent="0.25">
      <c r="A1005" s="16"/>
      <c r="B1005" s="16"/>
      <c r="C1005" s="16"/>
      <c r="D1005" s="98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  <c r="BU1005" s="14"/>
      <c r="BV1005" s="14"/>
      <c r="BW1005" s="14"/>
      <c r="BX1005" s="14"/>
      <c r="BY1005" s="14"/>
      <c r="BZ1005" s="14"/>
      <c r="CA1005" s="14"/>
      <c r="CB1005" s="14"/>
      <c r="CC1005" s="14"/>
      <c r="CD1005" s="14"/>
      <c r="CE1005" s="14"/>
      <c r="CF1005" s="1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</row>
    <row r="1006" spans="1:116" s="15" customFormat="1" x14ac:dyDescent="0.25">
      <c r="A1006" s="16"/>
      <c r="B1006" s="16"/>
      <c r="C1006" s="16"/>
      <c r="D1006" s="98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AT1006" s="14"/>
      <c r="AU1006" s="14"/>
      <c r="AV1006" s="14"/>
      <c r="AW1006" s="14"/>
      <c r="AX1006" s="14"/>
      <c r="AY1006" s="14"/>
      <c r="AZ1006" s="14"/>
      <c r="BA1006" s="14"/>
      <c r="BB1006" s="14"/>
      <c r="BC1006" s="14"/>
      <c r="BD1006" s="14"/>
      <c r="BE1006" s="14"/>
      <c r="BF1006" s="14"/>
      <c r="BG1006" s="14"/>
      <c r="BH1006" s="14"/>
      <c r="BI1006" s="14"/>
      <c r="BJ1006" s="14"/>
      <c r="BK1006" s="14"/>
      <c r="BL1006" s="14"/>
      <c r="BM1006" s="14"/>
      <c r="BN1006" s="14"/>
      <c r="BO1006" s="14"/>
      <c r="BP1006" s="14"/>
      <c r="BQ1006" s="14"/>
      <c r="BR1006" s="14"/>
      <c r="BS1006" s="14"/>
      <c r="BT1006" s="14"/>
      <c r="BU1006" s="14"/>
      <c r="BV1006" s="14"/>
      <c r="BW1006" s="14"/>
      <c r="BX1006" s="14"/>
      <c r="BY1006" s="14"/>
      <c r="BZ1006" s="14"/>
      <c r="CA1006" s="14"/>
      <c r="CB1006" s="14"/>
      <c r="CC1006" s="14"/>
      <c r="CD1006" s="14"/>
      <c r="CE1006" s="14"/>
      <c r="CF1006" s="1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</row>
    <row r="1007" spans="1:116" s="15" customFormat="1" x14ac:dyDescent="0.25">
      <c r="A1007" s="16"/>
      <c r="B1007" s="16"/>
      <c r="C1007" s="16"/>
      <c r="D1007" s="98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AT1007" s="14"/>
      <c r="AU1007" s="14"/>
      <c r="AV1007" s="14"/>
      <c r="AW1007" s="14"/>
      <c r="AX1007" s="14"/>
      <c r="AY1007" s="14"/>
      <c r="AZ1007" s="14"/>
      <c r="BA1007" s="14"/>
      <c r="BB1007" s="14"/>
      <c r="BC1007" s="14"/>
      <c r="BD1007" s="14"/>
      <c r="BE1007" s="14"/>
      <c r="BF1007" s="14"/>
      <c r="BG1007" s="14"/>
      <c r="BH1007" s="14"/>
      <c r="BI1007" s="14"/>
      <c r="BJ1007" s="14"/>
      <c r="BK1007" s="14"/>
      <c r="BL1007" s="14"/>
      <c r="BM1007" s="14"/>
      <c r="BN1007" s="14"/>
      <c r="BO1007" s="14"/>
      <c r="BP1007" s="14"/>
      <c r="BQ1007" s="14"/>
      <c r="BR1007" s="14"/>
      <c r="BS1007" s="14"/>
      <c r="BT1007" s="14"/>
      <c r="BU1007" s="14"/>
      <c r="BV1007" s="14"/>
      <c r="BW1007" s="14"/>
      <c r="BX1007" s="14"/>
      <c r="BY1007" s="14"/>
      <c r="BZ1007" s="14"/>
      <c r="CA1007" s="14"/>
      <c r="CB1007" s="14"/>
      <c r="CC1007" s="14"/>
      <c r="CD1007" s="14"/>
      <c r="CE1007" s="14"/>
      <c r="CF1007" s="1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</row>
    <row r="1008" spans="1:116" s="15" customFormat="1" x14ac:dyDescent="0.25">
      <c r="A1008" s="16"/>
      <c r="B1008" s="16"/>
      <c r="C1008" s="16"/>
      <c r="D1008" s="98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AT1008" s="14"/>
      <c r="AU1008" s="14"/>
      <c r="AV1008" s="14"/>
      <c r="AW1008" s="14"/>
      <c r="AX1008" s="14"/>
      <c r="AY1008" s="14"/>
      <c r="AZ1008" s="14"/>
      <c r="BA1008" s="14"/>
      <c r="BB1008" s="14"/>
      <c r="BC1008" s="14"/>
      <c r="BD1008" s="14"/>
      <c r="BE1008" s="14"/>
      <c r="BF1008" s="14"/>
      <c r="BG1008" s="14"/>
      <c r="BH1008" s="14"/>
      <c r="BI1008" s="14"/>
      <c r="BJ1008" s="14"/>
      <c r="BK1008" s="14"/>
      <c r="BL1008" s="14"/>
      <c r="BM1008" s="14"/>
      <c r="BN1008" s="14"/>
      <c r="BO1008" s="14"/>
      <c r="BP1008" s="14"/>
      <c r="BQ1008" s="14"/>
      <c r="BR1008" s="14"/>
      <c r="BS1008" s="14"/>
      <c r="BT1008" s="14"/>
      <c r="BU1008" s="14"/>
      <c r="BV1008" s="14"/>
      <c r="BW1008" s="14"/>
      <c r="BX1008" s="14"/>
      <c r="BY1008" s="14"/>
      <c r="BZ1008" s="14"/>
      <c r="CA1008" s="14"/>
      <c r="CB1008" s="14"/>
      <c r="CC1008" s="14"/>
      <c r="CD1008" s="14"/>
      <c r="CE1008" s="14"/>
      <c r="CF1008" s="1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</row>
    <row r="1009" spans="1:116" s="15" customFormat="1" x14ac:dyDescent="0.25">
      <c r="A1009" s="16"/>
      <c r="B1009" s="16"/>
      <c r="C1009" s="16"/>
      <c r="D1009" s="98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AT1009" s="14"/>
      <c r="AU1009" s="14"/>
      <c r="AV1009" s="14"/>
      <c r="AW1009" s="14"/>
      <c r="AX1009" s="14"/>
      <c r="AY1009" s="14"/>
      <c r="AZ1009" s="14"/>
      <c r="BA1009" s="14"/>
      <c r="BB1009" s="14"/>
      <c r="BC1009" s="14"/>
      <c r="BD1009" s="14"/>
      <c r="BE1009" s="14"/>
      <c r="BF1009" s="14"/>
      <c r="BG1009" s="14"/>
      <c r="BH1009" s="14"/>
      <c r="BI1009" s="14"/>
      <c r="BJ1009" s="14"/>
      <c r="BK1009" s="14"/>
      <c r="BL1009" s="14"/>
      <c r="BM1009" s="14"/>
      <c r="BN1009" s="14"/>
      <c r="BO1009" s="14"/>
      <c r="BP1009" s="14"/>
      <c r="BQ1009" s="14"/>
      <c r="BR1009" s="14"/>
      <c r="BS1009" s="14"/>
      <c r="BT1009" s="14"/>
      <c r="BU1009" s="14"/>
      <c r="BV1009" s="14"/>
      <c r="BW1009" s="14"/>
      <c r="BX1009" s="14"/>
      <c r="BY1009" s="14"/>
      <c r="BZ1009" s="14"/>
      <c r="CA1009" s="14"/>
      <c r="CB1009" s="14"/>
      <c r="CC1009" s="14"/>
      <c r="CD1009" s="14"/>
      <c r="CE1009" s="14"/>
      <c r="CF1009" s="1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</row>
    <row r="1010" spans="1:116" s="15" customFormat="1" x14ac:dyDescent="0.25">
      <c r="A1010" s="16"/>
      <c r="B1010" s="16"/>
      <c r="C1010" s="16"/>
      <c r="D1010" s="98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AT1010" s="14"/>
      <c r="AU1010" s="14"/>
      <c r="AV1010" s="14"/>
      <c r="AW1010" s="14"/>
      <c r="AX1010" s="14"/>
      <c r="AY1010" s="14"/>
      <c r="AZ1010" s="14"/>
      <c r="BA1010" s="14"/>
      <c r="BB1010" s="14"/>
      <c r="BC1010" s="14"/>
      <c r="BD1010" s="14"/>
      <c r="BE1010" s="14"/>
      <c r="BF1010" s="14"/>
      <c r="BG1010" s="14"/>
      <c r="BH1010" s="14"/>
      <c r="BI1010" s="14"/>
      <c r="BJ1010" s="14"/>
      <c r="BK1010" s="14"/>
      <c r="BL1010" s="14"/>
      <c r="BM1010" s="14"/>
      <c r="BN1010" s="14"/>
      <c r="BO1010" s="14"/>
      <c r="BP1010" s="14"/>
      <c r="BQ1010" s="14"/>
      <c r="BR1010" s="14"/>
      <c r="BS1010" s="14"/>
      <c r="BT1010" s="14"/>
      <c r="BU1010" s="14"/>
      <c r="BV1010" s="14"/>
      <c r="BW1010" s="14"/>
      <c r="BX1010" s="14"/>
      <c r="BY1010" s="14"/>
      <c r="BZ1010" s="14"/>
      <c r="CA1010" s="14"/>
      <c r="CB1010" s="14"/>
      <c r="CC1010" s="14"/>
      <c r="CD1010" s="14"/>
      <c r="CE1010" s="14"/>
      <c r="CF1010" s="1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</row>
    <row r="1011" spans="1:116" s="15" customFormat="1" x14ac:dyDescent="0.25">
      <c r="A1011" s="16"/>
      <c r="B1011" s="16"/>
      <c r="C1011" s="16"/>
      <c r="D1011" s="98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AT1011" s="14"/>
      <c r="AU1011" s="14"/>
      <c r="AV1011" s="14"/>
      <c r="AW1011" s="14"/>
      <c r="AX1011" s="14"/>
      <c r="AY1011" s="14"/>
      <c r="AZ1011" s="14"/>
      <c r="BA1011" s="14"/>
      <c r="BB1011" s="14"/>
      <c r="BC1011" s="14"/>
      <c r="BD1011" s="14"/>
      <c r="BE1011" s="14"/>
      <c r="BF1011" s="14"/>
      <c r="BG1011" s="14"/>
      <c r="BH1011" s="14"/>
      <c r="BI1011" s="14"/>
      <c r="BJ1011" s="14"/>
      <c r="BK1011" s="14"/>
      <c r="BL1011" s="14"/>
      <c r="BM1011" s="14"/>
      <c r="BN1011" s="14"/>
      <c r="BO1011" s="14"/>
      <c r="BP1011" s="14"/>
      <c r="BQ1011" s="14"/>
      <c r="BR1011" s="14"/>
      <c r="BS1011" s="14"/>
      <c r="BT1011" s="14"/>
      <c r="BU1011" s="14"/>
      <c r="BV1011" s="14"/>
      <c r="BW1011" s="14"/>
      <c r="BX1011" s="14"/>
      <c r="BY1011" s="14"/>
      <c r="BZ1011" s="14"/>
      <c r="CA1011" s="14"/>
      <c r="CB1011" s="14"/>
      <c r="CC1011" s="14"/>
      <c r="CD1011" s="14"/>
      <c r="CE1011" s="14"/>
      <c r="CF1011" s="1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</row>
    <row r="1012" spans="1:116" s="15" customFormat="1" x14ac:dyDescent="0.25">
      <c r="A1012" s="16"/>
      <c r="B1012" s="16"/>
      <c r="C1012" s="16"/>
      <c r="D1012" s="98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AT1012" s="14"/>
      <c r="AU1012" s="14"/>
      <c r="AV1012" s="14"/>
      <c r="AW1012" s="14"/>
      <c r="AX1012" s="14"/>
      <c r="AY1012" s="14"/>
      <c r="AZ1012" s="14"/>
      <c r="BA1012" s="14"/>
      <c r="BB1012" s="14"/>
      <c r="BC1012" s="14"/>
      <c r="BD1012" s="14"/>
      <c r="BE1012" s="14"/>
      <c r="BF1012" s="14"/>
      <c r="BG1012" s="14"/>
      <c r="BH1012" s="14"/>
      <c r="BI1012" s="14"/>
      <c r="BJ1012" s="14"/>
      <c r="BK1012" s="14"/>
      <c r="BL1012" s="14"/>
      <c r="BM1012" s="14"/>
      <c r="BN1012" s="14"/>
      <c r="BO1012" s="14"/>
      <c r="BP1012" s="14"/>
      <c r="BQ1012" s="14"/>
      <c r="BR1012" s="14"/>
      <c r="BS1012" s="14"/>
      <c r="BT1012" s="14"/>
      <c r="BU1012" s="14"/>
      <c r="BV1012" s="14"/>
      <c r="BW1012" s="14"/>
      <c r="BX1012" s="14"/>
      <c r="BY1012" s="14"/>
      <c r="BZ1012" s="14"/>
      <c r="CA1012" s="14"/>
      <c r="CB1012" s="14"/>
      <c r="CC1012" s="14"/>
      <c r="CD1012" s="14"/>
      <c r="CE1012" s="14"/>
      <c r="CF1012" s="1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</row>
    <row r="1013" spans="1:116" s="15" customFormat="1" x14ac:dyDescent="0.25">
      <c r="A1013" s="16"/>
      <c r="B1013" s="16"/>
      <c r="C1013" s="16"/>
      <c r="D1013" s="98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AT1013" s="14"/>
      <c r="AU1013" s="14"/>
      <c r="AV1013" s="14"/>
      <c r="AW1013" s="14"/>
      <c r="AX1013" s="14"/>
      <c r="AY1013" s="14"/>
      <c r="AZ1013" s="14"/>
      <c r="BA1013" s="14"/>
      <c r="BB1013" s="14"/>
      <c r="BC1013" s="14"/>
      <c r="BD1013" s="14"/>
      <c r="BE1013" s="14"/>
      <c r="BF1013" s="14"/>
      <c r="BG1013" s="14"/>
      <c r="BH1013" s="14"/>
      <c r="BI1013" s="14"/>
      <c r="BJ1013" s="14"/>
      <c r="BK1013" s="14"/>
      <c r="BL1013" s="14"/>
      <c r="BM1013" s="14"/>
      <c r="BN1013" s="14"/>
      <c r="BO1013" s="14"/>
      <c r="BP1013" s="14"/>
      <c r="BQ1013" s="14"/>
      <c r="BR1013" s="14"/>
      <c r="BS1013" s="14"/>
      <c r="BT1013" s="14"/>
      <c r="BU1013" s="14"/>
      <c r="BV1013" s="14"/>
      <c r="BW1013" s="14"/>
      <c r="BX1013" s="14"/>
      <c r="BY1013" s="14"/>
      <c r="BZ1013" s="14"/>
      <c r="CA1013" s="14"/>
      <c r="CB1013" s="14"/>
      <c r="CC1013" s="14"/>
      <c r="CD1013" s="14"/>
      <c r="CE1013" s="14"/>
      <c r="CF1013" s="1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</row>
    <row r="1014" spans="1:116" s="15" customFormat="1" x14ac:dyDescent="0.25">
      <c r="A1014" s="16"/>
      <c r="B1014" s="16"/>
      <c r="C1014" s="16"/>
      <c r="D1014" s="98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AT1014" s="14"/>
      <c r="AU1014" s="14"/>
      <c r="AV1014" s="14"/>
      <c r="AW1014" s="14"/>
      <c r="AX1014" s="14"/>
      <c r="AY1014" s="14"/>
      <c r="AZ1014" s="14"/>
      <c r="BA1014" s="14"/>
      <c r="BB1014" s="14"/>
      <c r="BC1014" s="14"/>
      <c r="BD1014" s="14"/>
      <c r="BE1014" s="14"/>
      <c r="BF1014" s="14"/>
      <c r="BG1014" s="14"/>
      <c r="BH1014" s="14"/>
      <c r="BI1014" s="14"/>
      <c r="BJ1014" s="14"/>
      <c r="BK1014" s="14"/>
      <c r="BL1014" s="14"/>
      <c r="BM1014" s="14"/>
      <c r="BN1014" s="14"/>
      <c r="BO1014" s="14"/>
      <c r="BP1014" s="14"/>
      <c r="BQ1014" s="14"/>
      <c r="BR1014" s="14"/>
      <c r="BS1014" s="14"/>
      <c r="BT1014" s="14"/>
      <c r="BU1014" s="14"/>
      <c r="BV1014" s="14"/>
      <c r="BW1014" s="14"/>
      <c r="BX1014" s="14"/>
      <c r="BY1014" s="14"/>
      <c r="BZ1014" s="14"/>
      <c r="CA1014" s="14"/>
      <c r="CB1014" s="14"/>
      <c r="CC1014" s="14"/>
      <c r="CD1014" s="14"/>
      <c r="CE1014" s="14"/>
      <c r="CF1014" s="1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</row>
    <row r="1015" spans="1:116" s="15" customFormat="1" x14ac:dyDescent="0.25">
      <c r="A1015" s="16"/>
      <c r="B1015" s="16"/>
      <c r="C1015" s="16"/>
      <c r="D1015" s="98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AT1015" s="14"/>
      <c r="AU1015" s="14"/>
      <c r="AV1015" s="14"/>
      <c r="AW1015" s="14"/>
      <c r="AX1015" s="14"/>
      <c r="AY1015" s="14"/>
      <c r="AZ1015" s="14"/>
      <c r="BA1015" s="14"/>
      <c r="BB1015" s="14"/>
      <c r="BC1015" s="14"/>
      <c r="BD1015" s="14"/>
      <c r="BE1015" s="14"/>
      <c r="BF1015" s="14"/>
      <c r="BG1015" s="14"/>
      <c r="BH1015" s="14"/>
      <c r="BI1015" s="14"/>
      <c r="BJ1015" s="14"/>
      <c r="BK1015" s="14"/>
      <c r="BL1015" s="14"/>
      <c r="BM1015" s="14"/>
      <c r="BN1015" s="14"/>
      <c r="BO1015" s="14"/>
      <c r="BP1015" s="14"/>
      <c r="BQ1015" s="14"/>
      <c r="BR1015" s="14"/>
      <c r="BS1015" s="14"/>
      <c r="BT1015" s="14"/>
      <c r="BU1015" s="14"/>
      <c r="BV1015" s="14"/>
      <c r="BW1015" s="14"/>
      <c r="BX1015" s="14"/>
      <c r="BY1015" s="14"/>
      <c r="BZ1015" s="14"/>
      <c r="CA1015" s="14"/>
      <c r="CB1015" s="14"/>
      <c r="CC1015" s="14"/>
      <c r="CD1015" s="14"/>
      <c r="CE1015" s="14"/>
      <c r="CF1015" s="1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</row>
    <row r="1016" spans="1:116" s="15" customFormat="1" x14ac:dyDescent="0.25">
      <c r="A1016" s="16"/>
      <c r="B1016" s="16"/>
      <c r="C1016" s="16"/>
      <c r="D1016" s="98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AT1016" s="14"/>
      <c r="AU1016" s="14"/>
      <c r="AV1016" s="14"/>
      <c r="AW1016" s="14"/>
      <c r="AX1016" s="14"/>
      <c r="AY1016" s="14"/>
      <c r="AZ1016" s="14"/>
      <c r="BA1016" s="14"/>
      <c r="BB1016" s="14"/>
      <c r="BC1016" s="14"/>
      <c r="BD1016" s="14"/>
      <c r="BE1016" s="14"/>
      <c r="BF1016" s="14"/>
      <c r="BG1016" s="14"/>
      <c r="BH1016" s="14"/>
      <c r="BI1016" s="14"/>
      <c r="BJ1016" s="14"/>
      <c r="BK1016" s="14"/>
      <c r="BL1016" s="14"/>
      <c r="BM1016" s="14"/>
      <c r="BN1016" s="14"/>
      <c r="BO1016" s="14"/>
      <c r="BP1016" s="14"/>
      <c r="BQ1016" s="14"/>
      <c r="BR1016" s="14"/>
      <c r="BS1016" s="14"/>
      <c r="BT1016" s="14"/>
      <c r="BU1016" s="14"/>
      <c r="BV1016" s="14"/>
      <c r="BW1016" s="14"/>
      <c r="BX1016" s="14"/>
      <c r="BY1016" s="14"/>
      <c r="BZ1016" s="14"/>
      <c r="CA1016" s="14"/>
      <c r="CB1016" s="14"/>
      <c r="CC1016" s="14"/>
      <c r="CD1016" s="14"/>
      <c r="CE1016" s="14"/>
      <c r="CF1016" s="1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</row>
    <row r="1017" spans="1:116" s="15" customFormat="1" x14ac:dyDescent="0.25">
      <c r="A1017" s="16"/>
      <c r="B1017" s="16"/>
      <c r="C1017" s="16"/>
      <c r="D1017" s="98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AT1017" s="14"/>
      <c r="AU1017" s="14"/>
      <c r="AV1017" s="14"/>
      <c r="AW1017" s="14"/>
      <c r="AX1017" s="14"/>
      <c r="AY1017" s="14"/>
      <c r="AZ1017" s="14"/>
      <c r="BA1017" s="14"/>
      <c r="BB1017" s="14"/>
      <c r="BC1017" s="14"/>
      <c r="BD1017" s="14"/>
      <c r="BE1017" s="14"/>
      <c r="BF1017" s="14"/>
      <c r="BG1017" s="14"/>
      <c r="BH1017" s="14"/>
      <c r="BI1017" s="14"/>
      <c r="BJ1017" s="14"/>
      <c r="BK1017" s="14"/>
      <c r="BL1017" s="14"/>
      <c r="BM1017" s="14"/>
      <c r="BN1017" s="14"/>
      <c r="BO1017" s="14"/>
      <c r="BP1017" s="14"/>
      <c r="BQ1017" s="14"/>
      <c r="BR1017" s="14"/>
      <c r="BS1017" s="14"/>
      <c r="BT1017" s="14"/>
      <c r="BU1017" s="14"/>
      <c r="BV1017" s="14"/>
      <c r="BW1017" s="14"/>
      <c r="BX1017" s="14"/>
      <c r="BY1017" s="14"/>
      <c r="BZ1017" s="14"/>
      <c r="CA1017" s="14"/>
      <c r="CB1017" s="14"/>
      <c r="CC1017" s="14"/>
      <c r="CD1017" s="14"/>
      <c r="CE1017" s="14"/>
      <c r="CF1017" s="1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</row>
    <row r="1018" spans="1:116" s="15" customFormat="1" x14ac:dyDescent="0.25">
      <c r="A1018" s="16"/>
      <c r="B1018" s="16"/>
      <c r="C1018" s="16"/>
      <c r="D1018" s="98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AT1018" s="14"/>
      <c r="AU1018" s="14"/>
      <c r="AV1018" s="14"/>
      <c r="AW1018" s="14"/>
      <c r="AX1018" s="14"/>
      <c r="AY1018" s="14"/>
      <c r="AZ1018" s="14"/>
      <c r="BA1018" s="14"/>
      <c r="BB1018" s="14"/>
      <c r="BC1018" s="14"/>
      <c r="BD1018" s="14"/>
      <c r="BE1018" s="14"/>
      <c r="BF1018" s="14"/>
      <c r="BG1018" s="14"/>
      <c r="BH1018" s="14"/>
      <c r="BI1018" s="14"/>
      <c r="BJ1018" s="14"/>
      <c r="BK1018" s="14"/>
      <c r="BL1018" s="14"/>
      <c r="BM1018" s="14"/>
      <c r="BN1018" s="14"/>
      <c r="BO1018" s="14"/>
      <c r="BP1018" s="14"/>
      <c r="BQ1018" s="14"/>
      <c r="BR1018" s="14"/>
      <c r="BS1018" s="14"/>
      <c r="BT1018" s="14"/>
      <c r="BU1018" s="14"/>
      <c r="BV1018" s="14"/>
      <c r="BW1018" s="14"/>
      <c r="BX1018" s="14"/>
      <c r="BY1018" s="14"/>
      <c r="BZ1018" s="14"/>
      <c r="CA1018" s="14"/>
      <c r="CB1018" s="14"/>
      <c r="CC1018" s="14"/>
      <c r="CD1018" s="14"/>
      <c r="CE1018" s="14"/>
      <c r="CF1018" s="1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</row>
    <row r="1019" spans="1:116" s="15" customFormat="1" x14ac:dyDescent="0.25">
      <c r="A1019" s="16"/>
      <c r="B1019" s="16"/>
      <c r="C1019" s="16"/>
      <c r="D1019" s="98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AT1019" s="14"/>
      <c r="AU1019" s="14"/>
      <c r="AV1019" s="14"/>
      <c r="AW1019" s="14"/>
      <c r="AX1019" s="14"/>
      <c r="AY1019" s="14"/>
      <c r="AZ1019" s="14"/>
      <c r="BA1019" s="14"/>
      <c r="BB1019" s="14"/>
      <c r="BC1019" s="14"/>
      <c r="BD1019" s="14"/>
      <c r="BE1019" s="14"/>
      <c r="BF1019" s="14"/>
      <c r="BG1019" s="14"/>
      <c r="BH1019" s="14"/>
      <c r="BI1019" s="14"/>
      <c r="BJ1019" s="14"/>
      <c r="BK1019" s="14"/>
      <c r="BL1019" s="14"/>
      <c r="BM1019" s="14"/>
      <c r="BN1019" s="14"/>
      <c r="BO1019" s="14"/>
      <c r="BP1019" s="14"/>
      <c r="BQ1019" s="14"/>
      <c r="BR1019" s="14"/>
      <c r="BS1019" s="14"/>
      <c r="BT1019" s="14"/>
      <c r="BU1019" s="14"/>
      <c r="BV1019" s="14"/>
      <c r="BW1019" s="14"/>
      <c r="BX1019" s="14"/>
      <c r="BY1019" s="14"/>
      <c r="BZ1019" s="14"/>
      <c r="CA1019" s="14"/>
      <c r="CB1019" s="14"/>
      <c r="CC1019" s="14"/>
      <c r="CD1019" s="14"/>
      <c r="CE1019" s="14"/>
      <c r="CF1019" s="1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</row>
    <row r="1020" spans="1:116" s="15" customFormat="1" x14ac:dyDescent="0.25">
      <c r="A1020" s="16"/>
      <c r="B1020" s="16"/>
      <c r="C1020" s="16"/>
      <c r="D1020" s="98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AT1020" s="14"/>
      <c r="AU1020" s="14"/>
      <c r="AV1020" s="14"/>
      <c r="AW1020" s="14"/>
      <c r="AX1020" s="14"/>
      <c r="AY1020" s="14"/>
      <c r="AZ1020" s="14"/>
      <c r="BA1020" s="14"/>
      <c r="BB1020" s="14"/>
      <c r="BC1020" s="14"/>
      <c r="BD1020" s="14"/>
      <c r="BE1020" s="14"/>
      <c r="BF1020" s="14"/>
      <c r="BG1020" s="14"/>
      <c r="BH1020" s="14"/>
      <c r="BI1020" s="14"/>
      <c r="BJ1020" s="14"/>
      <c r="BK1020" s="14"/>
      <c r="BL1020" s="14"/>
      <c r="BM1020" s="14"/>
      <c r="BN1020" s="14"/>
      <c r="BO1020" s="14"/>
      <c r="BP1020" s="14"/>
      <c r="BQ1020" s="14"/>
      <c r="BR1020" s="14"/>
      <c r="BS1020" s="14"/>
      <c r="BT1020" s="14"/>
      <c r="BU1020" s="14"/>
      <c r="BV1020" s="14"/>
      <c r="BW1020" s="14"/>
      <c r="BX1020" s="14"/>
      <c r="BY1020" s="14"/>
      <c r="BZ1020" s="14"/>
      <c r="CA1020" s="14"/>
      <c r="CB1020" s="14"/>
      <c r="CC1020" s="14"/>
      <c r="CD1020" s="14"/>
      <c r="CE1020" s="14"/>
      <c r="CF1020" s="1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</row>
    <row r="1021" spans="1:116" s="15" customFormat="1" x14ac:dyDescent="0.25">
      <c r="A1021" s="16"/>
      <c r="B1021" s="16"/>
      <c r="C1021" s="16"/>
      <c r="D1021" s="98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AT1021" s="14"/>
      <c r="AU1021" s="14"/>
      <c r="AV1021" s="14"/>
      <c r="AW1021" s="14"/>
      <c r="AX1021" s="14"/>
      <c r="AY1021" s="14"/>
      <c r="AZ1021" s="14"/>
      <c r="BA1021" s="14"/>
      <c r="BB1021" s="14"/>
      <c r="BC1021" s="14"/>
      <c r="BD1021" s="14"/>
      <c r="BE1021" s="14"/>
      <c r="BF1021" s="14"/>
      <c r="BG1021" s="14"/>
      <c r="BH1021" s="14"/>
      <c r="BI1021" s="14"/>
      <c r="BJ1021" s="14"/>
      <c r="BK1021" s="14"/>
      <c r="BL1021" s="14"/>
      <c r="BM1021" s="14"/>
      <c r="BN1021" s="14"/>
      <c r="BO1021" s="14"/>
      <c r="BP1021" s="14"/>
      <c r="BQ1021" s="14"/>
      <c r="BR1021" s="14"/>
      <c r="BS1021" s="14"/>
      <c r="BT1021" s="14"/>
      <c r="BU1021" s="14"/>
      <c r="BV1021" s="14"/>
      <c r="BW1021" s="14"/>
      <c r="BX1021" s="14"/>
      <c r="BY1021" s="14"/>
      <c r="BZ1021" s="14"/>
      <c r="CA1021" s="14"/>
      <c r="CB1021" s="14"/>
      <c r="CC1021" s="14"/>
      <c r="CD1021" s="14"/>
      <c r="CE1021" s="14"/>
      <c r="CF1021" s="1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</row>
    <row r="1022" spans="1:116" s="15" customFormat="1" x14ac:dyDescent="0.25">
      <c r="A1022" s="16"/>
      <c r="B1022" s="16"/>
      <c r="C1022" s="16"/>
      <c r="D1022" s="98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AT1022" s="14"/>
      <c r="AU1022" s="14"/>
      <c r="AV1022" s="14"/>
      <c r="AW1022" s="14"/>
      <c r="AX1022" s="14"/>
      <c r="AY1022" s="14"/>
      <c r="AZ1022" s="14"/>
      <c r="BA1022" s="14"/>
      <c r="BB1022" s="14"/>
      <c r="BC1022" s="14"/>
      <c r="BD1022" s="14"/>
      <c r="BE1022" s="14"/>
      <c r="BF1022" s="14"/>
      <c r="BG1022" s="14"/>
      <c r="BH1022" s="14"/>
      <c r="BI1022" s="14"/>
      <c r="BJ1022" s="14"/>
      <c r="BK1022" s="14"/>
      <c r="BL1022" s="14"/>
      <c r="BM1022" s="14"/>
      <c r="BN1022" s="14"/>
      <c r="BO1022" s="14"/>
      <c r="BP1022" s="14"/>
      <c r="BQ1022" s="14"/>
      <c r="BR1022" s="14"/>
      <c r="BS1022" s="14"/>
      <c r="BT1022" s="14"/>
      <c r="BU1022" s="14"/>
      <c r="BV1022" s="14"/>
      <c r="BW1022" s="14"/>
      <c r="BX1022" s="14"/>
      <c r="BY1022" s="14"/>
      <c r="BZ1022" s="14"/>
      <c r="CA1022" s="14"/>
      <c r="CB1022" s="14"/>
      <c r="CC1022" s="14"/>
      <c r="CD1022" s="14"/>
      <c r="CE1022" s="14"/>
      <c r="CF1022" s="1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</row>
    <row r="1023" spans="1:116" s="15" customFormat="1" x14ac:dyDescent="0.25">
      <c r="A1023" s="16"/>
      <c r="B1023" s="16"/>
      <c r="C1023" s="16"/>
      <c r="D1023" s="98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AT1023" s="14"/>
      <c r="AU1023" s="14"/>
      <c r="AV1023" s="14"/>
      <c r="AW1023" s="14"/>
      <c r="AX1023" s="14"/>
      <c r="AY1023" s="14"/>
      <c r="AZ1023" s="14"/>
      <c r="BA1023" s="14"/>
      <c r="BB1023" s="14"/>
      <c r="BC1023" s="14"/>
      <c r="BD1023" s="14"/>
      <c r="BE1023" s="14"/>
      <c r="BF1023" s="14"/>
      <c r="BG1023" s="14"/>
      <c r="BH1023" s="14"/>
      <c r="BI1023" s="14"/>
      <c r="BJ1023" s="14"/>
      <c r="BK1023" s="14"/>
      <c r="BL1023" s="14"/>
      <c r="BM1023" s="14"/>
      <c r="BN1023" s="14"/>
      <c r="BO1023" s="14"/>
      <c r="BP1023" s="14"/>
      <c r="BQ1023" s="14"/>
      <c r="BR1023" s="14"/>
      <c r="BS1023" s="14"/>
      <c r="BT1023" s="14"/>
      <c r="BU1023" s="14"/>
      <c r="BV1023" s="14"/>
      <c r="BW1023" s="14"/>
      <c r="BX1023" s="14"/>
      <c r="BY1023" s="14"/>
      <c r="BZ1023" s="14"/>
      <c r="CA1023" s="14"/>
      <c r="CB1023" s="14"/>
      <c r="CC1023" s="14"/>
      <c r="CD1023" s="14"/>
      <c r="CE1023" s="14"/>
      <c r="CF1023" s="1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</row>
    <row r="1024" spans="1:116" s="15" customFormat="1" x14ac:dyDescent="0.25">
      <c r="A1024" s="16"/>
      <c r="B1024" s="16"/>
      <c r="C1024" s="16"/>
      <c r="D1024" s="98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AT1024" s="14"/>
      <c r="AU1024" s="14"/>
      <c r="AV1024" s="14"/>
      <c r="AW1024" s="14"/>
      <c r="AX1024" s="14"/>
      <c r="AY1024" s="14"/>
      <c r="AZ1024" s="14"/>
      <c r="BA1024" s="14"/>
      <c r="BB1024" s="14"/>
      <c r="BC1024" s="14"/>
      <c r="BD1024" s="14"/>
      <c r="BE1024" s="14"/>
      <c r="BF1024" s="14"/>
      <c r="BG1024" s="14"/>
      <c r="BH1024" s="14"/>
      <c r="BI1024" s="14"/>
      <c r="BJ1024" s="14"/>
      <c r="BK1024" s="14"/>
      <c r="BL1024" s="14"/>
      <c r="BM1024" s="14"/>
      <c r="BN1024" s="14"/>
      <c r="BO1024" s="14"/>
      <c r="BP1024" s="14"/>
      <c r="BQ1024" s="14"/>
      <c r="BR1024" s="14"/>
      <c r="BS1024" s="14"/>
      <c r="BT1024" s="14"/>
      <c r="BU1024" s="14"/>
      <c r="BV1024" s="14"/>
      <c r="BW1024" s="14"/>
      <c r="BX1024" s="14"/>
      <c r="BY1024" s="14"/>
      <c r="BZ1024" s="14"/>
      <c r="CA1024" s="14"/>
      <c r="CB1024" s="14"/>
      <c r="CC1024" s="14"/>
      <c r="CD1024" s="14"/>
      <c r="CE1024" s="14"/>
      <c r="CF1024" s="1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</row>
    <row r="1025" spans="1:116" s="15" customFormat="1" x14ac:dyDescent="0.25">
      <c r="A1025" s="16"/>
      <c r="B1025" s="16"/>
      <c r="C1025" s="16"/>
      <c r="D1025" s="98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AT1025" s="14"/>
      <c r="AU1025" s="14"/>
      <c r="AV1025" s="14"/>
      <c r="AW1025" s="14"/>
      <c r="AX1025" s="14"/>
      <c r="AY1025" s="14"/>
      <c r="AZ1025" s="14"/>
      <c r="BA1025" s="14"/>
      <c r="BB1025" s="14"/>
      <c r="BC1025" s="14"/>
      <c r="BD1025" s="14"/>
      <c r="BE1025" s="14"/>
      <c r="BF1025" s="14"/>
      <c r="BG1025" s="14"/>
      <c r="BH1025" s="14"/>
      <c r="BI1025" s="14"/>
      <c r="BJ1025" s="14"/>
      <c r="BK1025" s="14"/>
      <c r="BL1025" s="14"/>
      <c r="BM1025" s="14"/>
      <c r="BN1025" s="14"/>
      <c r="BO1025" s="14"/>
      <c r="BP1025" s="14"/>
      <c r="BQ1025" s="14"/>
      <c r="BR1025" s="14"/>
      <c r="BS1025" s="14"/>
      <c r="BT1025" s="14"/>
      <c r="BU1025" s="14"/>
      <c r="BV1025" s="14"/>
      <c r="BW1025" s="14"/>
      <c r="BX1025" s="14"/>
      <c r="BY1025" s="14"/>
      <c r="BZ1025" s="14"/>
      <c r="CA1025" s="14"/>
      <c r="CB1025" s="14"/>
      <c r="CC1025" s="14"/>
      <c r="CD1025" s="14"/>
      <c r="CE1025" s="14"/>
      <c r="CF1025" s="1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</row>
    <row r="1026" spans="1:116" s="15" customFormat="1" x14ac:dyDescent="0.25">
      <c r="A1026" s="16"/>
      <c r="B1026" s="16"/>
      <c r="C1026" s="16"/>
      <c r="D1026" s="98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AT1026" s="14"/>
      <c r="AU1026" s="14"/>
      <c r="AV1026" s="14"/>
      <c r="AW1026" s="14"/>
      <c r="AX1026" s="14"/>
      <c r="AY1026" s="14"/>
      <c r="AZ1026" s="14"/>
      <c r="BA1026" s="14"/>
      <c r="BB1026" s="14"/>
      <c r="BC1026" s="14"/>
      <c r="BD1026" s="14"/>
      <c r="BE1026" s="14"/>
      <c r="BF1026" s="14"/>
      <c r="BG1026" s="14"/>
      <c r="BH1026" s="14"/>
      <c r="BI1026" s="14"/>
      <c r="BJ1026" s="14"/>
      <c r="BK1026" s="14"/>
      <c r="BL1026" s="14"/>
      <c r="BM1026" s="14"/>
      <c r="BN1026" s="14"/>
      <c r="BO1026" s="14"/>
      <c r="BP1026" s="14"/>
      <c r="BQ1026" s="14"/>
      <c r="BR1026" s="14"/>
      <c r="BS1026" s="14"/>
      <c r="BT1026" s="14"/>
      <c r="BU1026" s="14"/>
      <c r="BV1026" s="14"/>
      <c r="BW1026" s="14"/>
      <c r="BX1026" s="14"/>
      <c r="BY1026" s="14"/>
      <c r="BZ1026" s="14"/>
      <c r="CA1026" s="14"/>
      <c r="CB1026" s="14"/>
      <c r="CC1026" s="14"/>
      <c r="CD1026" s="14"/>
      <c r="CE1026" s="14"/>
      <c r="CF1026" s="1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</row>
    <row r="1027" spans="1:116" s="15" customFormat="1" x14ac:dyDescent="0.25">
      <c r="A1027" s="16"/>
      <c r="B1027" s="16"/>
      <c r="C1027" s="16"/>
      <c r="D1027" s="98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AT1027" s="14"/>
      <c r="AU1027" s="14"/>
      <c r="AV1027" s="14"/>
      <c r="AW1027" s="14"/>
      <c r="AX1027" s="14"/>
      <c r="AY1027" s="14"/>
      <c r="AZ1027" s="14"/>
      <c r="BA1027" s="14"/>
      <c r="BB1027" s="14"/>
      <c r="BC1027" s="14"/>
      <c r="BD1027" s="14"/>
      <c r="BE1027" s="14"/>
      <c r="BF1027" s="14"/>
      <c r="BG1027" s="14"/>
      <c r="BH1027" s="14"/>
      <c r="BI1027" s="14"/>
      <c r="BJ1027" s="14"/>
      <c r="BK1027" s="14"/>
      <c r="BL1027" s="14"/>
      <c r="BM1027" s="14"/>
      <c r="BN1027" s="14"/>
      <c r="BO1027" s="14"/>
      <c r="BP1027" s="14"/>
      <c r="BQ1027" s="14"/>
      <c r="BR1027" s="14"/>
      <c r="BS1027" s="14"/>
      <c r="BT1027" s="14"/>
      <c r="BU1027" s="14"/>
      <c r="BV1027" s="14"/>
      <c r="BW1027" s="14"/>
      <c r="BX1027" s="14"/>
      <c r="BY1027" s="14"/>
      <c r="BZ1027" s="14"/>
      <c r="CA1027" s="14"/>
      <c r="CB1027" s="14"/>
      <c r="CC1027" s="14"/>
      <c r="CD1027" s="14"/>
      <c r="CE1027" s="14"/>
      <c r="CF1027" s="1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</row>
    <row r="1028" spans="1:116" s="15" customFormat="1" x14ac:dyDescent="0.25">
      <c r="A1028" s="16"/>
      <c r="B1028" s="16"/>
      <c r="C1028" s="16"/>
      <c r="D1028" s="98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/>
      <c r="AT1028" s="14"/>
      <c r="AU1028" s="14"/>
      <c r="AV1028" s="14"/>
      <c r="AW1028" s="14"/>
      <c r="AX1028" s="14"/>
      <c r="AY1028" s="14"/>
      <c r="AZ1028" s="14"/>
      <c r="BA1028" s="14"/>
      <c r="BB1028" s="14"/>
      <c r="BC1028" s="14"/>
      <c r="BD1028" s="14"/>
      <c r="BE1028" s="14"/>
      <c r="BF1028" s="14"/>
      <c r="BG1028" s="14"/>
      <c r="BH1028" s="14"/>
      <c r="BI1028" s="14"/>
      <c r="BJ1028" s="14"/>
      <c r="BK1028" s="14"/>
      <c r="BL1028" s="14"/>
      <c r="BM1028" s="14"/>
      <c r="BN1028" s="14"/>
      <c r="BO1028" s="14"/>
      <c r="BP1028" s="14"/>
      <c r="BQ1028" s="14"/>
      <c r="BR1028" s="14"/>
      <c r="BS1028" s="14"/>
      <c r="BT1028" s="14"/>
      <c r="BU1028" s="14"/>
      <c r="BV1028" s="14"/>
      <c r="BW1028" s="14"/>
      <c r="BX1028" s="14"/>
      <c r="BY1028" s="14"/>
      <c r="BZ1028" s="14"/>
      <c r="CA1028" s="14"/>
      <c r="CB1028" s="14"/>
      <c r="CC1028" s="14"/>
      <c r="CD1028" s="14"/>
      <c r="CE1028" s="14"/>
      <c r="CF1028" s="1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</row>
    <row r="1029" spans="1:116" s="15" customFormat="1" x14ac:dyDescent="0.25">
      <c r="A1029" s="16"/>
      <c r="B1029" s="16"/>
      <c r="C1029" s="16"/>
      <c r="D1029" s="98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/>
      <c r="AT1029" s="14"/>
      <c r="AU1029" s="14"/>
      <c r="AV1029" s="14"/>
      <c r="AW1029" s="14"/>
      <c r="AX1029" s="14"/>
      <c r="AY1029" s="14"/>
      <c r="AZ1029" s="14"/>
      <c r="BA1029" s="14"/>
      <c r="BB1029" s="14"/>
      <c r="BC1029" s="14"/>
      <c r="BD1029" s="14"/>
      <c r="BE1029" s="14"/>
      <c r="BF1029" s="14"/>
      <c r="BG1029" s="14"/>
      <c r="BH1029" s="14"/>
      <c r="BI1029" s="14"/>
      <c r="BJ1029" s="14"/>
      <c r="BK1029" s="14"/>
      <c r="BL1029" s="14"/>
      <c r="BM1029" s="14"/>
      <c r="BN1029" s="14"/>
      <c r="BO1029" s="14"/>
      <c r="BP1029" s="14"/>
      <c r="BQ1029" s="14"/>
      <c r="BR1029" s="14"/>
      <c r="BS1029" s="14"/>
      <c r="BT1029" s="14"/>
      <c r="BU1029" s="14"/>
      <c r="BV1029" s="14"/>
      <c r="BW1029" s="14"/>
      <c r="BX1029" s="14"/>
      <c r="BY1029" s="14"/>
      <c r="BZ1029" s="14"/>
      <c r="CA1029" s="14"/>
      <c r="CB1029" s="14"/>
      <c r="CC1029" s="14"/>
      <c r="CD1029" s="14"/>
      <c r="CE1029" s="14"/>
      <c r="CF1029" s="1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</row>
    <row r="1030" spans="1:116" s="15" customFormat="1" x14ac:dyDescent="0.25">
      <c r="A1030" s="16"/>
      <c r="B1030" s="16"/>
      <c r="C1030" s="16"/>
      <c r="D1030" s="98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/>
      <c r="AT1030" s="14"/>
      <c r="AU1030" s="14"/>
      <c r="AV1030" s="14"/>
      <c r="AW1030" s="14"/>
      <c r="AX1030" s="14"/>
      <c r="AY1030" s="14"/>
      <c r="AZ1030" s="14"/>
      <c r="BA1030" s="14"/>
      <c r="BB1030" s="14"/>
      <c r="BC1030" s="14"/>
      <c r="BD1030" s="14"/>
      <c r="BE1030" s="14"/>
      <c r="BF1030" s="14"/>
      <c r="BG1030" s="14"/>
      <c r="BH1030" s="14"/>
      <c r="BI1030" s="14"/>
      <c r="BJ1030" s="14"/>
      <c r="BK1030" s="14"/>
      <c r="BL1030" s="14"/>
      <c r="BM1030" s="14"/>
      <c r="BN1030" s="14"/>
      <c r="BO1030" s="14"/>
      <c r="BP1030" s="14"/>
      <c r="BQ1030" s="14"/>
      <c r="BR1030" s="14"/>
      <c r="BS1030" s="14"/>
      <c r="BT1030" s="14"/>
      <c r="BU1030" s="14"/>
      <c r="BV1030" s="14"/>
      <c r="BW1030" s="14"/>
      <c r="BX1030" s="14"/>
      <c r="BY1030" s="14"/>
      <c r="BZ1030" s="14"/>
      <c r="CA1030" s="14"/>
      <c r="CB1030" s="14"/>
      <c r="CC1030" s="14"/>
      <c r="CD1030" s="14"/>
      <c r="CE1030" s="14"/>
      <c r="CF1030" s="1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</row>
    <row r="1031" spans="1:116" s="15" customFormat="1" x14ac:dyDescent="0.25">
      <c r="A1031" s="16"/>
      <c r="B1031" s="16"/>
      <c r="C1031" s="16"/>
      <c r="D1031" s="98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/>
      <c r="AT1031" s="14"/>
      <c r="AU1031" s="14"/>
      <c r="AV1031" s="14"/>
      <c r="AW1031" s="14"/>
      <c r="AX1031" s="14"/>
      <c r="AY1031" s="14"/>
      <c r="AZ1031" s="14"/>
      <c r="BA1031" s="14"/>
      <c r="BB1031" s="14"/>
      <c r="BC1031" s="14"/>
      <c r="BD1031" s="14"/>
      <c r="BE1031" s="14"/>
      <c r="BF1031" s="14"/>
      <c r="BG1031" s="14"/>
      <c r="BH1031" s="14"/>
      <c r="BI1031" s="14"/>
      <c r="BJ1031" s="14"/>
      <c r="BK1031" s="14"/>
      <c r="BL1031" s="14"/>
      <c r="BM1031" s="14"/>
      <c r="BN1031" s="14"/>
      <c r="BO1031" s="14"/>
      <c r="BP1031" s="14"/>
      <c r="BQ1031" s="14"/>
      <c r="BR1031" s="14"/>
      <c r="BS1031" s="14"/>
      <c r="BT1031" s="14"/>
      <c r="BU1031" s="14"/>
      <c r="BV1031" s="14"/>
      <c r="BW1031" s="14"/>
      <c r="BX1031" s="14"/>
      <c r="BY1031" s="14"/>
      <c r="BZ1031" s="14"/>
      <c r="CA1031" s="14"/>
      <c r="CB1031" s="14"/>
      <c r="CC1031" s="14"/>
      <c r="CD1031" s="14"/>
      <c r="CE1031" s="14"/>
      <c r="CF1031" s="1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</row>
    <row r="1032" spans="1:116" s="15" customFormat="1" x14ac:dyDescent="0.25">
      <c r="A1032" s="16"/>
      <c r="B1032" s="16"/>
      <c r="C1032" s="16"/>
      <c r="D1032" s="98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/>
      <c r="AT1032" s="14"/>
      <c r="AU1032" s="14"/>
      <c r="AV1032" s="14"/>
      <c r="AW1032" s="14"/>
      <c r="AX1032" s="14"/>
      <c r="AY1032" s="14"/>
      <c r="AZ1032" s="14"/>
      <c r="BA1032" s="14"/>
      <c r="BB1032" s="14"/>
      <c r="BC1032" s="14"/>
      <c r="BD1032" s="14"/>
      <c r="BE1032" s="14"/>
      <c r="BF1032" s="14"/>
      <c r="BG1032" s="14"/>
      <c r="BH1032" s="14"/>
      <c r="BI1032" s="14"/>
      <c r="BJ1032" s="14"/>
      <c r="BK1032" s="14"/>
      <c r="BL1032" s="14"/>
      <c r="BM1032" s="14"/>
      <c r="BN1032" s="14"/>
      <c r="BO1032" s="14"/>
      <c r="BP1032" s="14"/>
      <c r="BQ1032" s="14"/>
      <c r="BR1032" s="14"/>
      <c r="BS1032" s="14"/>
      <c r="BT1032" s="14"/>
      <c r="BU1032" s="14"/>
      <c r="BV1032" s="14"/>
      <c r="BW1032" s="14"/>
      <c r="BX1032" s="14"/>
      <c r="BY1032" s="14"/>
      <c r="BZ1032" s="14"/>
      <c r="CA1032" s="14"/>
      <c r="CB1032" s="14"/>
      <c r="CC1032" s="14"/>
      <c r="CD1032" s="14"/>
      <c r="CE1032" s="14"/>
      <c r="CF1032" s="1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</row>
    <row r="1033" spans="1:116" s="15" customFormat="1" x14ac:dyDescent="0.25">
      <c r="A1033" s="16"/>
      <c r="B1033" s="16"/>
      <c r="C1033" s="16"/>
      <c r="D1033" s="98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/>
      <c r="AT1033" s="14"/>
      <c r="AU1033" s="14"/>
      <c r="AV1033" s="14"/>
      <c r="AW1033" s="14"/>
      <c r="AX1033" s="14"/>
      <c r="AY1033" s="14"/>
      <c r="AZ1033" s="14"/>
      <c r="BA1033" s="14"/>
      <c r="BB1033" s="14"/>
      <c r="BC1033" s="14"/>
      <c r="BD1033" s="14"/>
      <c r="BE1033" s="14"/>
      <c r="BF1033" s="14"/>
      <c r="BG1033" s="14"/>
      <c r="BH1033" s="14"/>
      <c r="BI1033" s="14"/>
      <c r="BJ1033" s="14"/>
      <c r="BK1033" s="14"/>
      <c r="BL1033" s="14"/>
      <c r="BM1033" s="14"/>
      <c r="BN1033" s="14"/>
      <c r="BO1033" s="14"/>
      <c r="BP1033" s="14"/>
      <c r="BQ1033" s="14"/>
      <c r="BR1033" s="14"/>
      <c r="BS1033" s="14"/>
      <c r="BT1033" s="14"/>
      <c r="BU1033" s="14"/>
      <c r="BV1033" s="14"/>
      <c r="BW1033" s="14"/>
      <c r="BX1033" s="14"/>
      <c r="BY1033" s="14"/>
      <c r="BZ1033" s="14"/>
      <c r="CA1033" s="14"/>
      <c r="CB1033" s="14"/>
      <c r="CC1033" s="14"/>
      <c r="CD1033" s="14"/>
      <c r="CE1033" s="14"/>
      <c r="CF1033" s="1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</row>
    <row r="1034" spans="1:116" s="15" customFormat="1" x14ac:dyDescent="0.25">
      <c r="A1034" s="16"/>
      <c r="B1034" s="16"/>
      <c r="C1034" s="16"/>
      <c r="D1034" s="98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/>
      <c r="AT1034" s="14"/>
      <c r="AU1034" s="14"/>
      <c r="AV1034" s="14"/>
      <c r="AW1034" s="14"/>
      <c r="AX1034" s="14"/>
      <c r="AY1034" s="14"/>
      <c r="AZ1034" s="14"/>
      <c r="BA1034" s="14"/>
      <c r="BB1034" s="14"/>
      <c r="BC1034" s="14"/>
      <c r="BD1034" s="14"/>
      <c r="BE1034" s="14"/>
      <c r="BF1034" s="14"/>
      <c r="BG1034" s="14"/>
      <c r="BH1034" s="14"/>
      <c r="BI1034" s="14"/>
      <c r="BJ1034" s="14"/>
      <c r="BK1034" s="14"/>
      <c r="BL1034" s="14"/>
      <c r="BM1034" s="14"/>
      <c r="BN1034" s="14"/>
      <c r="BO1034" s="14"/>
      <c r="BP1034" s="14"/>
      <c r="BQ1034" s="14"/>
      <c r="BR1034" s="14"/>
      <c r="BS1034" s="14"/>
      <c r="BT1034" s="14"/>
      <c r="BU1034" s="14"/>
      <c r="BV1034" s="14"/>
      <c r="BW1034" s="14"/>
      <c r="BX1034" s="14"/>
      <c r="BY1034" s="14"/>
      <c r="BZ1034" s="14"/>
      <c r="CA1034" s="14"/>
      <c r="CB1034" s="14"/>
      <c r="CC1034" s="14"/>
      <c r="CD1034" s="14"/>
      <c r="CE1034" s="14"/>
      <c r="CF1034" s="1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</row>
    <row r="1035" spans="1:116" s="15" customFormat="1" x14ac:dyDescent="0.25">
      <c r="A1035" s="16"/>
      <c r="B1035" s="16"/>
      <c r="C1035" s="16"/>
      <c r="D1035" s="98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/>
      <c r="AT1035" s="14"/>
      <c r="AU1035" s="14"/>
      <c r="AV1035" s="14"/>
      <c r="AW1035" s="14"/>
      <c r="AX1035" s="14"/>
      <c r="AY1035" s="14"/>
      <c r="AZ1035" s="14"/>
      <c r="BA1035" s="14"/>
      <c r="BB1035" s="14"/>
      <c r="BC1035" s="14"/>
      <c r="BD1035" s="14"/>
      <c r="BE1035" s="14"/>
      <c r="BF1035" s="14"/>
      <c r="BG1035" s="14"/>
      <c r="BH1035" s="14"/>
      <c r="BI1035" s="14"/>
      <c r="BJ1035" s="14"/>
      <c r="BK1035" s="14"/>
      <c r="BL1035" s="14"/>
      <c r="BM1035" s="14"/>
      <c r="BN1035" s="14"/>
      <c r="BO1035" s="14"/>
      <c r="BP1035" s="14"/>
      <c r="BQ1035" s="14"/>
      <c r="BR1035" s="14"/>
      <c r="BS1035" s="14"/>
      <c r="BT1035" s="14"/>
      <c r="BU1035" s="14"/>
      <c r="BV1035" s="14"/>
      <c r="BW1035" s="14"/>
      <c r="BX1035" s="14"/>
      <c r="BY1035" s="14"/>
      <c r="BZ1035" s="14"/>
      <c r="CA1035" s="14"/>
      <c r="CB1035" s="14"/>
      <c r="CC1035" s="14"/>
      <c r="CD1035" s="14"/>
      <c r="CE1035" s="14"/>
      <c r="CF1035" s="1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</row>
    <row r="1036" spans="1:116" s="15" customFormat="1" x14ac:dyDescent="0.25">
      <c r="A1036" s="16"/>
      <c r="B1036" s="16"/>
      <c r="C1036" s="16"/>
      <c r="D1036" s="98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/>
      <c r="AT1036" s="14"/>
      <c r="AU1036" s="14"/>
      <c r="AV1036" s="14"/>
      <c r="AW1036" s="14"/>
      <c r="AX1036" s="14"/>
      <c r="AY1036" s="14"/>
      <c r="AZ1036" s="14"/>
      <c r="BA1036" s="14"/>
      <c r="BB1036" s="14"/>
      <c r="BC1036" s="14"/>
      <c r="BD1036" s="14"/>
      <c r="BE1036" s="14"/>
      <c r="BF1036" s="14"/>
      <c r="BG1036" s="14"/>
      <c r="BH1036" s="14"/>
      <c r="BI1036" s="14"/>
      <c r="BJ1036" s="14"/>
      <c r="BK1036" s="14"/>
      <c r="BL1036" s="14"/>
      <c r="BM1036" s="14"/>
      <c r="BN1036" s="14"/>
      <c r="BO1036" s="14"/>
      <c r="BP1036" s="14"/>
      <c r="BQ1036" s="14"/>
      <c r="BR1036" s="14"/>
      <c r="BS1036" s="14"/>
      <c r="BT1036" s="14"/>
      <c r="BU1036" s="14"/>
      <c r="BV1036" s="14"/>
      <c r="BW1036" s="14"/>
      <c r="BX1036" s="14"/>
      <c r="BY1036" s="14"/>
      <c r="BZ1036" s="14"/>
      <c r="CA1036" s="14"/>
      <c r="CB1036" s="14"/>
      <c r="CC1036" s="14"/>
      <c r="CD1036" s="14"/>
      <c r="CE1036" s="14"/>
      <c r="CF1036" s="1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</row>
    <row r="1037" spans="1:116" s="15" customFormat="1" x14ac:dyDescent="0.25">
      <c r="A1037" s="16"/>
      <c r="B1037" s="16"/>
      <c r="C1037" s="16"/>
      <c r="D1037" s="98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/>
      <c r="AT1037" s="14"/>
      <c r="AU1037" s="14"/>
      <c r="AV1037" s="14"/>
      <c r="AW1037" s="14"/>
      <c r="AX1037" s="14"/>
      <c r="AY1037" s="14"/>
      <c r="AZ1037" s="14"/>
      <c r="BA1037" s="14"/>
      <c r="BB1037" s="14"/>
      <c r="BC1037" s="14"/>
      <c r="BD1037" s="14"/>
      <c r="BE1037" s="14"/>
      <c r="BF1037" s="14"/>
      <c r="BG1037" s="14"/>
      <c r="BH1037" s="14"/>
      <c r="BI1037" s="14"/>
      <c r="BJ1037" s="14"/>
      <c r="BK1037" s="14"/>
      <c r="BL1037" s="14"/>
      <c r="BM1037" s="14"/>
      <c r="BN1037" s="14"/>
      <c r="BO1037" s="14"/>
      <c r="BP1037" s="14"/>
      <c r="BQ1037" s="14"/>
      <c r="BR1037" s="14"/>
      <c r="BS1037" s="14"/>
      <c r="BT1037" s="14"/>
      <c r="BU1037" s="14"/>
      <c r="BV1037" s="14"/>
      <c r="BW1037" s="14"/>
      <c r="BX1037" s="14"/>
      <c r="BY1037" s="14"/>
      <c r="BZ1037" s="14"/>
      <c r="CA1037" s="14"/>
      <c r="CB1037" s="14"/>
      <c r="CC1037" s="14"/>
      <c r="CD1037" s="14"/>
      <c r="CE1037" s="14"/>
      <c r="CF1037" s="1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</row>
    <row r="1038" spans="1:116" s="15" customFormat="1" x14ac:dyDescent="0.25">
      <c r="A1038" s="16"/>
      <c r="B1038" s="16"/>
      <c r="C1038" s="16"/>
      <c r="D1038" s="98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/>
      <c r="AT1038" s="14"/>
      <c r="AU1038" s="14"/>
      <c r="AV1038" s="14"/>
      <c r="AW1038" s="14"/>
      <c r="AX1038" s="14"/>
      <c r="AY1038" s="14"/>
      <c r="AZ1038" s="14"/>
      <c r="BA1038" s="14"/>
      <c r="BB1038" s="14"/>
      <c r="BC1038" s="14"/>
      <c r="BD1038" s="14"/>
      <c r="BE1038" s="14"/>
      <c r="BF1038" s="14"/>
      <c r="BG1038" s="14"/>
      <c r="BH1038" s="14"/>
      <c r="BI1038" s="14"/>
      <c r="BJ1038" s="14"/>
      <c r="BK1038" s="14"/>
      <c r="BL1038" s="14"/>
      <c r="BM1038" s="14"/>
      <c r="BN1038" s="14"/>
      <c r="BO1038" s="14"/>
      <c r="BP1038" s="14"/>
      <c r="BQ1038" s="14"/>
      <c r="BR1038" s="14"/>
      <c r="BS1038" s="14"/>
      <c r="BT1038" s="14"/>
      <c r="BU1038" s="14"/>
      <c r="BV1038" s="14"/>
      <c r="BW1038" s="14"/>
      <c r="BX1038" s="14"/>
      <c r="BY1038" s="14"/>
      <c r="BZ1038" s="14"/>
      <c r="CA1038" s="14"/>
      <c r="CB1038" s="14"/>
      <c r="CC1038" s="14"/>
      <c r="CD1038" s="14"/>
      <c r="CE1038" s="14"/>
      <c r="CF1038" s="1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</row>
    <row r="1039" spans="1:116" s="15" customFormat="1" x14ac:dyDescent="0.25">
      <c r="A1039" s="16"/>
      <c r="B1039" s="16"/>
      <c r="C1039" s="16"/>
      <c r="D1039" s="98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/>
      <c r="AT1039" s="14"/>
      <c r="AU1039" s="14"/>
      <c r="AV1039" s="14"/>
      <c r="AW1039" s="14"/>
      <c r="AX1039" s="14"/>
      <c r="AY1039" s="14"/>
      <c r="AZ1039" s="14"/>
      <c r="BA1039" s="14"/>
      <c r="BB1039" s="14"/>
      <c r="BC1039" s="14"/>
      <c r="BD1039" s="14"/>
      <c r="BE1039" s="14"/>
      <c r="BF1039" s="14"/>
      <c r="BG1039" s="14"/>
      <c r="BH1039" s="14"/>
      <c r="BI1039" s="14"/>
      <c r="BJ1039" s="14"/>
      <c r="BK1039" s="14"/>
      <c r="BL1039" s="14"/>
      <c r="BM1039" s="14"/>
      <c r="BN1039" s="14"/>
      <c r="BO1039" s="14"/>
      <c r="BP1039" s="14"/>
      <c r="BQ1039" s="14"/>
      <c r="BR1039" s="14"/>
      <c r="BS1039" s="14"/>
      <c r="BT1039" s="14"/>
      <c r="BU1039" s="14"/>
      <c r="BV1039" s="14"/>
      <c r="BW1039" s="14"/>
      <c r="BX1039" s="14"/>
      <c r="BY1039" s="14"/>
      <c r="BZ1039" s="14"/>
      <c r="CA1039" s="14"/>
      <c r="CB1039" s="14"/>
      <c r="CC1039" s="14"/>
      <c r="CD1039" s="14"/>
      <c r="CE1039" s="14"/>
      <c r="CF1039" s="1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</row>
    <row r="1040" spans="1:116" s="15" customFormat="1" x14ac:dyDescent="0.25">
      <c r="A1040" s="16"/>
      <c r="B1040" s="16"/>
      <c r="C1040" s="16"/>
      <c r="D1040" s="98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/>
      <c r="AT1040" s="14"/>
      <c r="AU1040" s="14"/>
      <c r="AV1040" s="14"/>
      <c r="AW1040" s="14"/>
      <c r="AX1040" s="14"/>
      <c r="AY1040" s="14"/>
      <c r="AZ1040" s="14"/>
      <c r="BA1040" s="14"/>
      <c r="BB1040" s="14"/>
      <c r="BC1040" s="14"/>
      <c r="BD1040" s="14"/>
      <c r="BE1040" s="14"/>
      <c r="BF1040" s="14"/>
      <c r="BG1040" s="14"/>
      <c r="BH1040" s="14"/>
      <c r="BI1040" s="14"/>
      <c r="BJ1040" s="14"/>
      <c r="BK1040" s="14"/>
      <c r="BL1040" s="14"/>
      <c r="BM1040" s="14"/>
      <c r="BN1040" s="14"/>
      <c r="BO1040" s="14"/>
      <c r="BP1040" s="14"/>
      <c r="BQ1040" s="14"/>
      <c r="BR1040" s="14"/>
      <c r="BS1040" s="14"/>
      <c r="BT1040" s="14"/>
      <c r="BU1040" s="14"/>
      <c r="BV1040" s="14"/>
      <c r="BW1040" s="14"/>
      <c r="BX1040" s="14"/>
      <c r="BY1040" s="14"/>
      <c r="BZ1040" s="14"/>
      <c r="CA1040" s="14"/>
      <c r="CB1040" s="14"/>
      <c r="CC1040" s="14"/>
      <c r="CD1040" s="14"/>
      <c r="CE1040" s="14"/>
      <c r="CF1040" s="1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</row>
    <row r="1041" spans="1:116" s="15" customFormat="1" x14ac:dyDescent="0.25">
      <c r="A1041" s="16"/>
      <c r="B1041" s="16"/>
      <c r="C1041" s="16"/>
      <c r="D1041" s="98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/>
      <c r="AT1041" s="14"/>
      <c r="AU1041" s="14"/>
      <c r="AV1041" s="14"/>
      <c r="AW1041" s="14"/>
      <c r="AX1041" s="14"/>
      <c r="AY1041" s="14"/>
      <c r="AZ1041" s="14"/>
      <c r="BA1041" s="14"/>
      <c r="BB1041" s="14"/>
      <c r="BC1041" s="14"/>
      <c r="BD1041" s="14"/>
      <c r="BE1041" s="14"/>
      <c r="BF1041" s="14"/>
      <c r="BG1041" s="14"/>
      <c r="BH1041" s="14"/>
      <c r="BI1041" s="14"/>
      <c r="BJ1041" s="14"/>
      <c r="BK1041" s="14"/>
      <c r="BL1041" s="14"/>
      <c r="BM1041" s="14"/>
      <c r="BN1041" s="14"/>
      <c r="BO1041" s="14"/>
      <c r="BP1041" s="14"/>
      <c r="BQ1041" s="14"/>
      <c r="BR1041" s="14"/>
      <c r="BS1041" s="14"/>
      <c r="BT1041" s="14"/>
      <c r="BU1041" s="14"/>
      <c r="BV1041" s="14"/>
      <c r="BW1041" s="14"/>
      <c r="BX1041" s="14"/>
      <c r="BY1041" s="14"/>
      <c r="BZ1041" s="14"/>
      <c r="CA1041" s="14"/>
      <c r="CB1041" s="14"/>
      <c r="CC1041" s="14"/>
      <c r="CD1041" s="14"/>
      <c r="CE1041" s="14"/>
      <c r="CF1041" s="1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</row>
    <row r="1042" spans="1:116" s="15" customFormat="1" x14ac:dyDescent="0.25">
      <c r="A1042" s="16"/>
      <c r="B1042" s="16"/>
      <c r="C1042" s="16"/>
      <c r="D1042" s="98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/>
      <c r="AT1042" s="14"/>
      <c r="AU1042" s="14"/>
      <c r="AV1042" s="14"/>
      <c r="AW1042" s="14"/>
      <c r="AX1042" s="14"/>
      <c r="AY1042" s="14"/>
      <c r="AZ1042" s="14"/>
      <c r="BA1042" s="14"/>
      <c r="BB1042" s="14"/>
      <c r="BC1042" s="14"/>
      <c r="BD1042" s="14"/>
      <c r="BE1042" s="14"/>
      <c r="BF1042" s="14"/>
      <c r="BG1042" s="14"/>
      <c r="BH1042" s="14"/>
      <c r="BI1042" s="14"/>
      <c r="BJ1042" s="14"/>
      <c r="BK1042" s="14"/>
      <c r="BL1042" s="14"/>
      <c r="BM1042" s="14"/>
      <c r="BN1042" s="14"/>
      <c r="BO1042" s="14"/>
      <c r="BP1042" s="14"/>
      <c r="BQ1042" s="14"/>
      <c r="BR1042" s="14"/>
      <c r="BS1042" s="14"/>
      <c r="BT1042" s="14"/>
      <c r="BU1042" s="14"/>
      <c r="BV1042" s="14"/>
      <c r="BW1042" s="14"/>
      <c r="BX1042" s="14"/>
      <c r="BY1042" s="14"/>
      <c r="BZ1042" s="14"/>
      <c r="CA1042" s="14"/>
      <c r="CB1042" s="14"/>
      <c r="CC1042" s="14"/>
      <c r="CD1042" s="14"/>
      <c r="CE1042" s="14"/>
      <c r="CF1042" s="1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</row>
    <row r="1043" spans="1:116" s="15" customFormat="1" x14ac:dyDescent="0.25">
      <c r="A1043" s="16"/>
      <c r="B1043" s="16"/>
      <c r="C1043" s="16"/>
      <c r="D1043" s="98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/>
      <c r="AT1043" s="14"/>
      <c r="AU1043" s="14"/>
      <c r="AV1043" s="14"/>
      <c r="AW1043" s="14"/>
      <c r="AX1043" s="14"/>
      <c r="AY1043" s="14"/>
      <c r="AZ1043" s="14"/>
      <c r="BA1043" s="14"/>
      <c r="BB1043" s="14"/>
      <c r="BC1043" s="14"/>
      <c r="BD1043" s="14"/>
      <c r="BE1043" s="14"/>
      <c r="BF1043" s="14"/>
      <c r="BG1043" s="14"/>
      <c r="BH1043" s="14"/>
      <c r="BI1043" s="14"/>
      <c r="BJ1043" s="14"/>
      <c r="BK1043" s="14"/>
      <c r="BL1043" s="14"/>
      <c r="BM1043" s="14"/>
      <c r="BN1043" s="14"/>
      <c r="BO1043" s="14"/>
      <c r="BP1043" s="14"/>
      <c r="BQ1043" s="14"/>
      <c r="BR1043" s="14"/>
      <c r="BS1043" s="14"/>
      <c r="BT1043" s="14"/>
      <c r="BU1043" s="14"/>
      <c r="BV1043" s="14"/>
      <c r="BW1043" s="14"/>
      <c r="BX1043" s="14"/>
      <c r="BY1043" s="14"/>
      <c r="BZ1043" s="14"/>
      <c r="CA1043" s="14"/>
      <c r="CB1043" s="14"/>
      <c r="CC1043" s="14"/>
      <c r="CD1043" s="14"/>
      <c r="CE1043" s="14"/>
      <c r="CF1043" s="1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</row>
    <row r="1044" spans="1:116" s="15" customFormat="1" x14ac:dyDescent="0.25">
      <c r="A1044" s="16"/>
      <c r="B1044" s="16"/>
      <c r="C1044" s="16"/>
      <c r="D1044" s="98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/>
      <c r="AT1044" s="14"/>
      <c r="AU1044" s="14"/>
      <c r="AV1044" s="14"/>
      <c r="AW1044" s="14"/>
      <c r="AX1044" s="14"/>
      <c r="AY1044" s="14"/>
      <c r="AZ1044" s="14"/>
      <c r="BA1044" s="14"/>
      <c r="BB1044" s="14"/>
      <c r="BC1044" s="14"/>
      <c r="BD1044" s="14"/>
      <c r="BE1044" s="14"/>
      <c r="BF1044" s="14"/>
      <c r="BG1044" s="14"/>
      <c r="BH1044" s="14"/>
      <c r="BI1044" s="14"/>
      <c r="BJ1044" s="14"/>
      <c r="BK1044" s="14"/>
      <c r="BL1044" s="14"/>
      <c r="BM1044" s="14"/>
      <c r="BN1044" s="14"/>
      <c r="BO1044" s="14"/>
      <c r="BP1044" s="14"/>
      <c r="BQ1044" s="14"/>
      <c r="BR1044" s="14"/>
      <c r="BS1044" s="14"/>
      <c r="BT1044" s="14"/>
      <c r="BU1044" s="14"/>
      <c r="BV1044" s="14"/>
      <c r="BW1044" s="14"/>
      <c r="BX1044" s="14"/>
      <c r="BY1044" s="14"/>
      <c r="BZ1044" s="14"/>
      <c r="CA1044" s="14"/>
      <c r="CB1044" s="14"/>
      <c r="CC1044" s="14"/>
      <c r="CD1044" s="14"/>
      <c r="CE1044" s="14"/>
      <c r="CF1044" s="1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</row>
    <row r="1045" spans="1:116" s="15" customFormat="1" x14ac:dyDescent="0.25">
      <c r="A1045" s="16"/>
      <c r="B1045" s="16"/>
      <c r="C1045" s="16"/>
      <c r="D1045" s="98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/>
      <c r="AT1045" s="14"/>
      <c r="AU1045" s="14"/>
      <c r="AV1045" s="14"/>
      <c r="AW1045" s="14"/>
      <c r="AX1045" s="14"/>
      <c r="AY1045" s="14"/>
      <c r="AZ1045" s="14"/>
      <c r="BA1045" s="14"/>
      <c r="BB1045" s="14"/>
      <c r="BC1045" s="14"/>
      <c r="BD1045" s="14"/>
      <c r="BE1045" s="14"/>
      <c r="BF1045" s="14"/>
      <c r="BG1045" s="14"/>
      <c r="BH1045" s="14"/>
      <c r="BI1045" s="14"/>
      <c r="BJ1045" s="14"/>
      <c r="BK1045" s="14"/>
      <c r="BL1045" s="14"/>
      <c r="BM1045" s="14"/>
      <c r="BN1045" s="14"/>
      <c r="BO1045" s="14"/>
      <c r="BP1045" s="14"/>
      <c r="BQ1045" s="14"/>
      <c r="BR1045" s="14"/>
      <c r="BS1045" s="14"/>
      <c r="BT1045" s="14"/>
      <c r="BU1045" s="14"/>
      <c r="BV1045" s="14"/>
      <c r="BW1045" s="14"/>
      <c r="BX1045" s="14"/>
      <c r="BY1045" s="14"/>
      <c r="BZ1045" s="14"/>
      <c r="CA1045" s="14"/>
      <c r="CB1045" s="14"/>
      <c r="CC1045" s="14"/>
      <c r="CD1045" s="14"/>
      <c r="CE1045" s="14"/>
      <c r="CF1045" s="1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</row>
    <row r="1046" spans="1:116" s="15" customFormat="1" x14ac:dyDescent="0.25">
      <c r="A1046" s="16"/>
      <c r="B1046" s="16"/>
      <c r="C1046" s="16"/>
      <c r="D1046" s="98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/>
      <c r="AT1046" s="14"/>
      <c r="AU1046" s="14"/>
      <c r="AV1046" s="14"/>
      <c r="AW1046" s="14"/>
      <c r="AX1046" s="14"/>
      <c r="AY1046" s="14"/>
      <c r="AZ1046" s="14"/>
      <c r="BA1046" s="14"/>
      <c r="BB1046" s="14"/>
      <c r="BC1046" s="14"/>
      <c r="BD1046" s="14"/>
      <c r="BE1046" s="14"/>
      <c r="BF1046" s="14"/>
      <c r="BG1046" s="14"/>
      <c r="BH1046" s="14"/>
      <c r="BI1046" s="14"/>
      <c r="BJ1046" s="14"/>
      <c r="BK1046" s="14"/>
      <c r="BL1046" s="14"/>
      <c r="BM1046" s="14"/>
      <c r="BN1046" s="14"/>
      <c r="BO1046" s="14"/>
      <c r="BP1046" s="14"/>
      <c r="BQ1046" s="14"/>
      <c r="BR1046" s="14"/>
      <c r="BS1046" s="14"/>
      <c r="BT1046" s="14"/>
      <c r="BU1046" s="14"/>
      <c r="BV1046" s="14"/>
      <c r="BW1046" s="14"/>
      <c r="BX1046" s="14"/>
      <c r="BY1046" s="14"/>
      <c r="BZ1046" s="14"/>
      <c r="CA1046" s="14"/>
      <c r="CB1046" s="14"/>
      <c r="CC1046" s="14"/>
      <c r="CD1046" s="14"/>
      <c r="CE1046" s="14"/>
      <c r="CF1046" s="1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</row>
    <row r="1047" spans="1:116" s="15" customFormat="1" x14ac:dyDescent="0.25">
      <c r="A1047" s="16"/>
      <c r="B1047" s="16"/>
      <c r="C1047" s="16"/>
      <c r="D1047" s="98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4"/>
      <c r="AJ1047" s="14"/>
      <c r="AK1047" s="14"/>
      <c r="AL1047" s="14"/>
      <c r="AM1047" s="14"/>
      <c r="AN1047" s="14"/>
      <c r="AO1047" s="14"/>
      <c r="AP1047" s="14"/>
      <c r="AQ1047" s="14"/>
      <c r="AR1047" s="14"/>
      <c r="AS1047" s="14"/>
      <c r="AT1047" s="14"/>
      <c r="AU1047" s="14"/>
      <c r="AV1047" s="14"/>
      <c r="AW1047" s="14"/>
      <c r="AX1047" s="14"/>
      <c r="AY1047" s="14"/>
      <c r="AZ1047" s="14"/>
      <c r="BA1047" s="14"/>
      <c r="BB1047" s="14"/>
      <c r="BC1047" s="14"/>
      <c r="BD1047" s="14"/>
      <c r="BE1047" s="14"/>
      <c r="BF1047" s="14"/>
      <c r="BG1047" s="14"/>
      <c r="BH1047" s="14"/>
      <c r="BI1047" s="14"/>
      <c r="BJ1047" s="14"/>
      <c r="BK1047" s="14"/>
      <c r="BL1047" s="14"/>
      <c r="BM1047" s="14"/>
      <c r="BN1047" s="14"/>
      <c r="BO1047" s="14"/>
      <c r="BP1047" s="14"/>
      <c r="BQ1047" s="14"/>
      <c r="BR1047" s="14"/>
      <c r="BS1047" s="14"/>
      <c r="BT1047" s="14"/>
      <c r="BU1047" s="14"/>
      <c r="BV1047" s="14"/>
      <c r="BW1047" s="14"/>
      <c r="BX1047" s="14"/>
      <c r="BY1047" s="14"/>
      <c r="BZ1047" s="14"/>
      <c r="CA1047" s="14"/>
      <c r="CB1047" s="14"/>
      <c r="CC1047" s="14"/>
      <c r="CD1047" s="14"/>
      <c r="CE1047" s="14"/>
      <c r="CF1047" s="1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</row>
    <row r="1048" spans="1:116" s="15" customFormat="1" x14ac:dyDescent="0.25">
      <c r="A1048" s="16"/>
      <c r="B1048" s="16"/>
      <c r="C1048" s="16"/>
      <c r="D1048" s="98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/>
      <c r="AT1048" s="14"/>
      <c r="AU1048" s="14"/>
      <c r="AV1048" s="14"/>
      <c r="AW1048" s="14"/>
      <c r="AX1048" s="14"/>
      <c r="AY1048" s="14"/>
      <c r="AZ1048" s="14"/>
      <c r="BA1048" s="14"/>
      <c r="BB1048" s="14"/>
      <c r="BC1048" s="14"/>
      <c r="BD1048" s="14"/>
      <c r="BE1048" s="14"/>
      <c r="BF1048" s="14"/>
      <c r="BG1048" s="14"/>
      <c r="BH1048" s="14"/>
      <c r="BI1048" s="14"/>
      <c r="BJ1048" s="14"/>
      <c r="BK1048" s="14"/>
      <c r="BL1048" s="14"/>
      <c r="BM1048" s="14"/>
      <c r="BN1048" s="14"/>
      <c r="BO1048" s="14"/>
      <c r="BP1048" s="14"/>
      <c r="BQ1048" s="14"/>
      <c r="BR1048" s="14"/>
      <c r="BS1048" s="14"/>
      <c r="BT1048" s="14"/>
      <c r="BU1048" s="14"/>
      <c r="BV1048" s="14"/>
      <c r="BW1048" s="14"/>
      <c r="BX1048" s="14"/>
      <c r="BY1048" s="14"/>
      <c r="BZ1048" s="14"/>
      <c r="CA1048" s="14"/>
      <c r="CB1048" s="14"/>
      <c r="CC1048" s="14"/>
      <c r="CD1048" s="14"/>
      <c r="CE1048" s="14"/>
      <c r="CF1048" s="1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</row>
    <row r="1049" spans="1:116" s="15" customFormat="1" x14ac:dyDescent="0.25">
      <c r="A1049" s="16"/>
      <c r="B1049" s="16"/>
      <c r="C1049" s="16"/>
      <c r="D1049" s="98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/>
      <c r="AT1049" s="14"/>
      <c r="AU1049" s="14"/>
      <c r="AV1049" s="14"/>
      <c r="AW1049" s="14"/>
      <c r="AX1049" s="14"/>
      <c r="AY1049" s="14"/>
      <c r="AZ1049" s="14"/>
      <c r="BA1049" s="14"/>
      <c r="BB1049" s="14"/>
      <c r="BC1049" s="14"/>
      <c r="BD1049" s="14"/>
      <c r="BE1049" s="14"/>
      <c r="BF1049" s="14"/>
      <c r="BG1049" s="14"/>
      <c r="BH1049" s="14"/>
      <c r="BI1049" s="14"/>
      <c r="BJ1049" s="14"/>
      <c r="BK1049" s="14"/>
      <c r="BL1049" s="14"/>
      <c r="BM1049" s="14"/>
      <c r="BN1049" s="14"/>
      <c r="BO1049" s="14"/>
      <c r="BP1049" s="14"/>
      <c r="BQ1049" s="14"/>
      <c r="BR1049" s="14"/>
      <c r="BS1049" s="14"/>
      <c r="BT1049" s="14"/>
      <c r="BU1049" s="14"/>
      <c r="BV1049" s="14"/>
      <c r="BW1049" s="14"/>
      <c r="BX1049" s="14"/>
      <c r="BY1049" s="14"/>
      <c r="BZ1049" s="14"/>
      <c r="CA1049" s="14"/>
      <c r="CB1049" s="14"/>
      <c r="CC1049" s="14"/>
      <c r="CD1049" s="14"/>
      <c r="CE1049" s="14"/>
      <c r="CF1049" s="1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</row>
    <row r="1050" spans="1:116" s="15" customFormat="1" x14ac:dyDescent="0.25">
      <c r="A1050" s="16"/>
      <c r="B1050" s="16"/>
      <c r="C1050" s="16"/>
      <c r="D1050" s="98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4"/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/>
      <c r="AT1050" s="14"/>
      <c r="AU1050" s="14"/>
      <c r="AV1050" s="14"/>
      <c r="AW1050" s="14"/>
      <c r="AX1050" s="14"/>
      <c r="AY1050" s="14"/>
      <c r="AZ1050" s="14"/>
      <c r="BA1050" s="14"/>
      <c r="BB1050" s="14"/>
      <c r="BC1050" s="14"/>
      <c r="BD1050" s="14"/>
      <c r="BE1050" s="14"/>
      <c r="BF1050" s="14"/>
      <c r="BG1050" s="14"/>
      <c r="BH1050" s="14"/>
      <c r="BI1050" s="14"/>
      <c r="BJ1050" s="14"/>
      <c r="BK1050" s="14"/>
      <c r="BL1050" s="14"/>
      <c r="BM1050" s="14"/>
      <c r="BN1050" s="14"/>
      <c r="BO1050" s="14"/>
      <c r="BP1050" s="14"/>
      <c r="BQ1050" s="14"/>
      <c r="BR1050" s="14"/>
      <c r="BS1050" s="14"/>
      <c r="BT1050" s="14"/>
      <c r="BU1050" s="14"/>
      <c r="BV1050" s="14"/>
      <c r="BW1050" s="14"/>
      <c r="BX1050" s="14"/>
      <c r="BY1050" s="14"/>
      <c r="BZ1050" s="14"/>
      <c r="CA1050" s="14"/>
      <c r="CB1050" s="14"/>
      <c r="CC1050" s="14"/>
      <c r="CD1050" s="14"/>
      <c r="CE1050" s="14"/>
      <c r="CF1050" s="1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</row>
    <row r="1051" spans="1:116" s="15" customFormat="1" x14ac:dyDescent="0.25">
      <c r="A1051" s="16"/>
      <c r="B1051" s="16"/>
      <c r="C1051" s="16"/>
      <c r="D1051" s="98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/>
      <c r="AT1051" s="14"/>
      <c r="AU1051" s="14"/>
      <c r="AV1051" s="14"/>
      <c r="AW1051" s="14"/>
      <c r="AX1051" s="14"/>
      <c r="AY1051" s="14"/>
      <c r="AZ1051" s="14"/>
      <c r="BA1051" s="14"/>
      <c r="BB1051" s="14"/>
      <c r="BC1051" s="14"/>
      <c r="BD1051" s="14"/>
      <c r="BE1051" s="14"/>
      <c r="BF1051" s="14"/>
      <c r="BG1051" s="14"/>
      <c r="BH1051" s="14"/>
      <c r="BI1051" s="14"/>
      <c r="BJ1051" s="14"/>
      <c r="BK1051" s="14"/>
      <c r="BL1051" s="14"/>
      <c r="BM1051" s="14"/>
      <c r="BN1051" s="14"/>
      <c r="BO1051" s="14"/>
      <c r="BP1051" s="14"/>
      <c r="BQ1051" s="14"/>
      <c r="BR1051" s="14"/>
      <c r="BS1051" s="14"/>
      <c r="BT1051" s="14"/>
      <c r="BU1051" s="14"/>
      <c r="BV1051" s="14"/>
      <c r="BW1051" s="14"/>
      <c r="BX1051" s="14"/>
      <c r="BY1051" s="14"/>
      <c r="BZ1051" s="14"/>
      <c r="CA1051" s="14"/>
      <c r="CB1051" s="14"/>
      <c r="CC1051" s="14"/>
      <c r="CD1051" s="14"/>
      <c r="CE1051" s="14"/>
      <c r="CF1051" s="1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</row>
    <row r="1052" spans="1:116" s="15" customFormat="1" x14ac:dyDescent="0.25">
      <c r="A1052" s="16"/>
      <c r="B1052" s="16"/>
      <c r="C1052" s="16"/>
      <c r="D1052" s="98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/>
      <c r="AT1052" s="14"/>
      <c r="AU1052" s="14"/>
      <c r="AV1052" s="14"/>
      <c r="AW1052" s="14"/>
      <c r="AX1052" s="14"/>
      <c r="AY1052" s="14"/>
      <c r="AZ1052" s="14"/>
      <c r="BA1052" s="14"/>
      <c r="BB1052" s="14"/>
      <c r="BC1052" s="14"/>
      <c r="BD1052" s="14"/>
      <c r="BE1052" s="14"/>
      <c r="BF1052" s="14"/>
      <c r="BG1052" s="14"/>
      <c r="BH1052" s="14"/>
      <c r="BI1052" s="14"/>
      <c r="BJ1052" s="14"/>
      <c r="BK1052" s="14"/>
      <c r="BL1052" s="14"/>
      <c r="BM1052" s="14"/>
      <c r="BN1052" s="14"/>
      <c r="BO1052" s="14"/>
      <c r="BP1052" s="14"/>
      <c r="BQ1052" s="14"/>
      <c r="BR1052" s="14"/>
      <c r="BS1052" s="14"/>
      <c r="BT1052" s="14"/>
      <c r="BU1052" s="14"/>
      <c r="BV1052" s="14"/>
      <c r="BW1052" s="14"/>
      <c r="BX1052" s="14"/>
      <c r="BY1052" s="14"/>
      <c r="BZ1052" s="14"/>
      <c r="CA1052" s="14"/>
      <c r="CB1052" s="14"/>
      <c r="CC1052" s="14"/>
      <c r="CD1052" s="14"/>
      <c r="CE1052" s="14"/>
      <c r="CF1052" s="1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</row>
    <row r="1053" spans="1:116" s="15" customFormat="1" x14ac:dyDescent="0.25">
      <c r="A1053" s="16"/>
      <c r="B1053" s="16"/>
      <c r="C1053" s="16"/>
      <c r="D1053" s="98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/>
      <c r="AT1053" s="14"/>
      <c r="AU1053" s="14"/>
      <c r="AV1053" s="14"/>
      <c r="AW1053" s="14"/>
      <c r="AX1053" s="14"/>
      <c r="AY1053" s="14"/>
      <c r="AZ1053" s="14"/>
      <c r="BA1053" s="14"/>
      <c r="BB1053" s="14"/>
      <c r="BC1053" s="14"/>
      <c r="BD1053" s="14"/>
      <c r="BE1053" s="14"/>
      <c r="BF1053" s="14"/>
      <c r="BG1053" s="14"/>
      <c r="BH1053" s="14"/>
      <c r="BI1053" s="14"/>
      <c r="BJ1053" s="14"/>
      <c r="BK1053" s="14"/>
      <c r="BL1053" s="14"/>
      <c r="BM1053" s="14"/>
      <c r="BN1053" s="14"/>
      <c r="BO1053" s="14"/>
      <c r="BP1053" s="14"/>
      <c r="BQ1053" s="14"/>
      <c r="BR1053" s="14"/>
      <c r="BS1053" s="14"/>
      <c r="BT1053" s="14"/>
      <c r="BU1053" s="14"/>
      <c r="BV1053" s="14"/>
      <c r="BW1053" s="14"/>
      <c r="BX1053" s="14"/>
      <c r="BY1053" s="14"/>
      <c r="BZ1053" s="14"/>
      <c r="CA1053" s="14"/>
      <c r="CB1053" s="14"/>
      <c r="CC1053" s="14"/>
      <c r="CD1053" s="14"/>
      <c r="CE1053" s="14"/>
      <c r="CF1053" s="1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</row>
    <row r="1054" spans="1:116" s="15" customFormat="1" x14ac:dyDescent="0.25">
      <c r="A1054" s="16"/>
      <c r="B1054" s="16"/>
      <c r="C1054" s="16"/>
      <c r="D1054" s="98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/>
      <c r="AT1054" s="14"/>
      <c r="AU1054" s="14"/>
      <c r="AV1054" s="14"/>
      <c r="AW1054" s="14"/>
      <c r="AX1054" s="14"/>
      <c r="AY1054" s="14"/>
      <c r="AZ1054" s="14"/>
      <c r="BA1054" s="14"/>
      <c r="BB1054" s="14"/>
      <c r="BC1054" s="14"/>
      <c r="BD1054" s="14"/>
      <c r="BE1054" s="14"/>
      <c r="BF1054" s="14"/>
      <c r="BG1054" s="14"/>
      <c r="BH1054" s="14"/>
      <c r="BI1054" s="14"/>
      <c r="BJ1054" s="14"/>
      <c r="BK1054" s="14"/>
      <c r="BL1054" s="14"/>
      <c r="BM1054" s="14"/>
      <c r="BN1054" s="14"/>
      <c r="BO1054" s="14"/>
      <c r="BP1054" s="14"/>
      <c r="BQ1054" s="14"/>
      <c r="BR1054" s="14"/>
      <c r="BS1054" s="14"/>
      <c r="BT1054" s="14"/>
      <c r="BU1054" s="14"/>
      <c r="BV1054" s="14"/>
      <c r="BW1054" s="14"/>
      <c r="BX1054" s="14"/>
      <c r="BY1054" s="14"/>
      <c r="BZ1054" s="14"/>
      <c r="CA1054" s="14"/>
      <c r="CB1054" s="14"/>
      <c r="CC1054" s="14"/>
      <c r="CD1054" s="14"/>
      <c r="CE1054" s="14"/>
      <c r="CF1054" s="1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</row>
    <row r="1055" spans="1:116" s="15" customFormat="1" x14ac:dyDescent="0.25">
      <c r="A1055" s="16"/>
      <c r="B1055" s="16"/>
      <c r="C1055" s="16"/>
      <c r="D1055" s="98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/>
      <c r="AT1055" s="14"/>
      <c r="AU1055" s="14"/>
      <c r="AV1055" s="14"/>
      <c r="AW1055" s="14"/>
      <c r="AX1055" s="14"/>
      <c r="AY1055" s="14"/>
      <c r="AZ1055" s="14"/>
      <c r="BA1055" s="14"/>
      <c r="BB1055" s="14"/>
      <c r="BC1055" s="14"/>
      <c r="BD1055" s="14"/>
      <c r="BE1055" s="14"/>
      <c r="BF1055" s="14"/>
      <c r="BG1055" s="14"/>
      <c r="BH1055" s="14"/>
      <c r="BI1055" s="14"/>
      <c r="BJ1055" s="14"/>
      <c r="BK1055" s="14"/>
      <c r="BL1055" s="14"/>
      <c r="BM1055" s="14"/>
      <c r="BN1055" s="14"/>
      <c r="BO1055" s="14"/>
      <c r="BP1055" s="14"/>
      <c r="BQ1055" s="14"/>
      <c r="BR1055" s="14"/>
      <c r="BS1055" s="14"/>
      <c r="BT1055" s="14"/>
      <c r="BU1055" s="14"/>
      <c r="BV1055" s="14"/>
      <c r="BW1055" s="14"/>
      <c r="BX1055" s="14"/>
      <c r="BY1055" s="14"/>
      <c r="BZ1055" s="14"/>
      <c r="CA1055" s="14"/>
      <c r="CB1055" s="14"/>
      <c r="CC1055" s="14"/>
      <c r="CD1055" s="14"/>
      <c r="CE1055" s="14"/>
      <c r="CF1055" s="1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</row>
    <row r="1056" spans="1:116" s="15" customFormat="1" x14ac:dyDescent="0.25">
      <c r="A1056" s="16"/>
      <c r="B1056" s="16"/>
      <c r="C1056" s="16"/>
      <c r="D1056" s="98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/>
      <c r="AT1056" s="14"/>
      <c r="AU1056" s="14"/>
      <c r="AV1056" s="14"/>
      <c r="AW1056" s="14"/>
      <c r="AX1056" s="14"/>
      <c r="AY1056" s="14"/>
      <c r="AZ1056" s="14"/>
      <c r="BA1056" s="14"/>
      <c r="BB1056" s="14"/>
      <c r="BC1056" s="14"/>
      <c r="BD1056" s="14"/>
      <c r="BE1056" s="14"/>
      <c r="BF1056" s="14"/>
      <c r="BG1056" s="14"/>
      <c r="BH1056" s="14"/>
      <c r="BI1056" s="14"/>
      <c r="BJ1056" s="14"/>
      <c r="BK1056" s="14"/>
      <c r="BL1056" s="14"/>
      <c r="BM1056" s="14"/>
      <c r="BN1056" s="14"/>
      <c r="BO1056" s="14"/>
      <c r="BP1056" s="14"/>
      <c r="BQ1056" s="14"/>
      <c r="BR1056" s="14"/>
      <c r="BS1056" s="14"/>
      <c r="BT1056" s="14"/>
      <c r="BU1056" s="14"/>
      <c r="BV1056" s="14"/>
      <c r="BW1056" s="14"/>
      <c r="BX1056" s="14"/>
      <c r="BY1056" s="14"/>
      <c r="BZ1056" s="14"/>
      <c r="CA1056" s="14"/>
      <c r="CB1056" s="14"/>
      <c r="CC1056" s="14"/>
      <c r="CD1056" s="14"/>
      <c r="CE1056" s="14"/>
      <c r="CF1056" s="1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</row>
    <row r="1057" spans="1:116" s="15" customFormat="1" x14ac:dyDescent="0.25">
      <c r="A1057" s="16"/>
      <c r="B1057" s="16"/>
      <c r="C1057" s="16"/>
      <c r="D1057" s="98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4"/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/>
      <c r="AT1057" s="14"/>
      <c r="AU1057" s="14"/>
      <c r="AV1057" s="14"/>
      <c r="AW1057" s="14"/>
      <c r="AX1057" s="14"/>
      <c r="AY1057" s="14"/>
      <c r="AZ1057" s="14"/>
      <c r="BA1057" s="14"/>
      <c r="BB1057" s="14"/>
      <c r="BC1057" s="14"/>
      <c r="BD1057" s="14"/>
      <c r="BE1057" s="14"/>
      <c r="BF1057" s="14"/>
      <c r="BG1057" s="14"/>
      <c r="BH1057" s="14"/>
      <c r="BI1057" s="14"/>
      <c r="BJ1057" s="14"/>
      <c r="BK1057" s="14"/>
      <c r="BL1057" s="14"/>
      <c r="BM1057" s="14"/>
      <c r="BN1057" s="14"/>
      <c r="BO1057" s="14"/>
      <c r="BP1057" s="14"/>
      <c r="BQ1057" s="14"/>
      <c r="BR1057" s="14"/>
      <c r="BS1057" s="14"/>
      <c r="BT1057" s="14"/>
      <c r="BU1057" s="14"/>
      <c r="BV1057" s="14"/>
      <c r="BW1057" s="14"/>
      <c r="BX1057" s="14"/>
      <c r="BY1057" s="14"/>
      <c r="BZ1057" s="14"/>
      <c r="CA1057" s="14"/>
      <c r="CB1057" s="14"/>
      <c r="CC1057" s="14"/>
      <c r="CD1057" s="14"/>
      <c r="CE1057" s="14"/>
      <c r="CF1057" s="1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</row>
    <row r="1058" spans="1:116" s="15" customFormat="1" x14ac:dyDescent="0.25">
      <c r="A1058" s="16"/>
      <c r="B1058" s="16"/>
      <c r="C1058" s="16"/>
      <c r="D1058" s="98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/>
      <c r="AT1058" s="14"/>
      <c r="AU1058" s="14"/>
      <c r="AV1058" s="14"/>
      <c r="AW1058" s="14"/>
      <c r="AX1058" s="14"/>
      <c r="AY1058" s="14"/>
      <c r="AZ1058" s="14"/>
      <c r="BA1058" s="14"/>
      <c r="BB1058" s="14"/>
      <c r="BC1058" s="14"/>
      <c r="BD1058" s="14"/>
      <c r="BE1058" s="14"/>
      <c r="BF1058" s="14"/>
      <c r="BG1058" s="14"/>
      <c r="BH1058" s="14"/>
      <c r="BI1058" s="14"/>
      <c r="BJ1058" s="14"/>
      <c r="BK1058" s="14"/>
      <c r="BL1058" s="14"/>
      <c r="BM1058" s="14"/>
      <c r="BN1058" s="14"/>
      <c r="BO1058" s="14"/>
      <c r="BP1058" s="14"/>
      <c r="BQ1058" s="14"/>
      <c r="BR1058" s="14"/>
      <c r="BS1058" s="14"/>
      <c r="BT1058" s="14"/>
      <c r="BU1058" s="14"/>
      <c r="BV1058" s="14"/>
      <c r="BW1058" s="14"/>
      <c r="BX1058" s="14"/>
      <c r="BY1058" s="14"/>
      <c r="BZ1058" s="14"/>
      <c r="CA1058" s="14"/>
      <c r="CB1058" s="14"/>
      <c r="CC1058" s="14"/>
      <c r="CD1058" s="14"/>
      <c r="CE1058" s="14"/>
      <c r="CF1058" s="1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</row>
    <row r="1059" spans="1:116" s="15" customFormat="1" x14ac:dyDescent="0.25">
      <c r="A1059" s="16"/>
      <c r="B1059" s="16"/>
      <c r="C1059" s="16"/>
      <c r="D1059" s="98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/>
      <c r="AT1059" s="14"/>
      <c r="AU1059" s="14"/>
      <c r="AV1059" s="14"/>
      <c r="AW1059" s="14"/>
      <c r="AX1059" s="14"/>
      <c r="AY1059" s="14"/>
      <c r="AZ1059" s="14"/>
      <c r="BA1059" s="14"/>
      <c r="BB1059" s="14"/>
      <c r="BC1059" s="14"/>
      <c r="BD1059" s="14"/>
      <c r="BE1059" s="14"/>
      <c r="BF1059" s="14"/>
      <c r="BG1059" s="14"/>
      <c r="BH1059" s="14"/>
      <c r="BI1059" s="14"/>
      <c r="BJ1059" s="14"/>
      <c r="BK1059" s="14"/>
      <c r="BL1059" s="14"/>
      <c r="BM1059" s="14"/>
      <c r="BN1059" s="14"/>
      <c r="BO1059" s="14"/>
      <c r="BP1059" s="14"/>
      <c r="BQ1059" s="14"/>
      <c r="BR1059" s="14"/>
      <c r="BS1059" s="14"/>
      <c r="BT1059" s="14"/>
      <c r="BU1059" s="14"/>
      <c r="BV1059" s="14"/>
      <c r="BW1059" s="14"/>
      <c r="BX1059" s="14"/>
      <c r="BY1059" s="14"/>
      <c r="BZ1059" s="14"/>
      <c r="CA1059" s="14"/>
      <c r="CB1059" s="14"/>
      <c r="CC1059" s="14"/>
      <c r="CD1059" s="14"/>
      <c r="CE1059" s="14"/>
      <c r="CF1059" s="1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</row>
    <row r="1060" spans="1:116" s="15" customFormat="1" x14ac:dyDescent="0.25">
      <c r="A1060" s="16"/>
      <c r="B1060" s="16"/>
      <c r="C1060" s="16"/>
      <c r="D1060" s="98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/>
      <c r="AT1060" s="14"/>
      <c r="AU1060" s="14"/>
      <c r="AV1060" s="14"/>
      <c r="AW1060" s="14"/>
      <c r="AX1060" s="14"/>
      <c r="AY1060" s="14"/>
      <c r="AZ1060" s="14"/>
      <c r="BA1060" s="14"/>
      <c r="BB1060" s="14"/>
      <c r="BC1060" s="14"/>
      <c r="BD1060" s="14"/>
      <c r="BE1060" s="14"/>
      <c r="BF1060" s="14"/>
      <c r="BG1060" s="14"/>
      <c r="BH1060" s="14"/>
      <c r="BI1060" s="14"/>
      <c r="BJ1060" s="14"/>
      <c r="BK1060" s="14"/>
      <c r="BL1060" s="14"/>
      <c r="BM1060" s="14"/>
      <c r="BN1060" s="14"/>
      <c r="BO1060" s="14"/>
      <c r="BP1060" s="14"/>
      <c r="BQ1060" s="14"/>
      <c r="BR1060" s="14"/>
      <c r="BS1060" s="14"/>
      <c r="BT1060" s="14"/>
      <c r="BU1060" s="14"/>
      <c r="BV1060" s="14"/>
      <c r="BW1060" s="14"/>
      <c r="BX1060" s="14"/>
      <c r="BY1060" s="14"/>
      <c r="BZ1060" s="14"/>
      <c r="CA1060" s="14"/>
      <c r="CB1060" s="14"/>
      <c r="CC1060" s="14"/>
      <c r="CD1060" s="14"/>
      <c r="CE1060" s="14"/>
      <c r="CF1060" s="1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</row>
    <row r="1061" spans="1:116" s="15" customFormat="1" x14ac:dyDescent="0.25">
      <c r="A1061" s="16"/>
      <c r="B1061" s="16"/>
      <c r="C1061" s="16"/>
      <c r="D1061" s="98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/>
      <c r="AT1061" s="14"/>
      <c r="AU1061" s="14"/>
      <c r="AV1061" s="14"/>
      <c r="AW1061" s="14"/>
      <c r="AX1061" s="14"/>
      <c r="AY1061" s="14"/>
      <c r="AZ1061" s="14"/>
      <c r="BA1061" s="14"/>
      <c r="BB1061" s="14"/>
      <c r="BC1061" s="14"/>
      <c r="BD1061" s="14"/>
      <c r="BE1061" s="14"/>
      <c r="BF1061" s="14"/>
      <c r="BG1061" s="14"/>
      <c r="BH1061" s="14"/>
      <c r="BI1061" s="14"/>
      <c r="BJ1061" s="14"/>
      <c r="BK1061" s="14"/>
      <c r="BL1061" s="14"/>
      <c r="BM1061" s="14"/>
      <c r="BN1061" s="14"/>
      <c r="BO1061" s="14"/>
      <c r="BP1061" s="14"/>
      <c r="BQ1061" s="14"/>
      <c r="BR1061" s="14"/>
      <c r="BS1061" s="14"/>
      <c r="BT1061" s="14"/>
      <c r="BU1061" s="14"/>
      <c r="BV1061" s="14"/>
      <c r="BW1061" s="14"/>
      <c r="BX1061" s="14"/>
      <c r="BY1061" s="14"/>
      <c r="BZ1061" s="14"/>
      <c r="CA1061" s="14"/>
      <c r="CB1061" s="14"/>
      <c r="CC1061" s="14"/>
      <c r="CD1061" s="14"/>
      <c r="CE1061" s="14"/>
      <c r="CF1061" s="1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</row>
    <row r="1062" spans="1:116" s="15" customFormat="1" x14ac:dyDescent="0.25">
      <c r="A1062" s="16"/>
      <c r="B1062" s="16"/>
      <c r="C1062" s="16"/>
      <c r="D1062" s="98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/>
      <c r="AT1062" s="14"/>
      <c r="AU1062" s="14"/>
      <c r="AV1062" s="14"/>
      <c r="AW1062" s="14"/>
      <c r="AX1062" s="14"/>
      <c r="AY1062" s="14"/>
      <c r="AZ1062" s="14"/>
      <c r="BA1062" s="14"/>
      <c r="BB1062" s="14"/>
      <c r="BC1062" s="14"/>
      <c r="BD1062" s="14"/>
      <c r="BE1062" s="14"/>
      <c r="BF1062" s="14"/>
      <c r="BG1062" s="14"/>
      <c r="BH1062" s="14"/>
      <c r="BI1062" s="14"/>
      <c r="BJ1062" s="14"/>
      <c r="BK1062" s="14"/>
      <c r="BL1062" s="14"/>
      <c r="BM1062" s="14"/>
      <c r="BN1062" s="14"/>
      <c r="BO1062" s="14"/>
      <c r="BP1062" s="14"/>
      <c r="BQ1062" s="14"/>
      <c r="BR1062" s="14"/>
      <c r="BS1062" s="14"/>
      <c r="BT1062" s="14"/>
      <c r="BU1062" s="14"/>
      <c r="BV1062" s="14"/>
      <c r="BW1062" s="14"/>
      <c r="BX1062" s="14"/>
      <c r="BY1062" s="14"/>
      <c r="BZ1062" s="14"/>
      <c r="CA1062" s="14"/>
      <c r="CB1062" s="14"/>
      <c r="CC1062" s="14"/>
      <c r="CD1062" s="14"/>
      <c r="CE1062" s="14"/>
      <c r="CF1062" s="1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</row>
    <row r="1063" spans="1:116" s="15" customFormat="1" x14ac:dyDescent="0.25">
      <c r="A1063" s="16"/>
      <c r="B1063" s="16"/>
      <c r="C1063" s="16"/>
      <c r="D1063" s="98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/>
      <c r="AT1063" s="14"/>
      <c r="AU1063" s="14"/>
      <c r="AV1063" s="14"/>
      <c r="AW1063" s="14"/>
      <c r="AX1063" s="14"/>
      <c r="AY1063" s="14"/>
      <c r="AZ1063" s="14"/>
      <c r="BA1063" s="14"/>
      <c r="BB1063" s="14"/>
      <c r="BC1063" s="14"/>
      <c r="BD1063" s="14"/>
      <c r="BE1063" s="14"/>
      <c r="BF1063" s="14"/>
      <c r="BG1063" s="14"/>
      <c r="BH1063" s="14"/>
      <c r="BI1063" s="14"/>
      <c r="BJ1063" s="14"/>
      <c r="BK1063" s="14"/>
      <c r="BL1063" s="14"/>
      <c r="BM1063" s="14"/>
      <c r="BN1063" s="14"/>
      <c r="BO1063" s="14"/>
      <c r="BP1063" s="14"/>
      <c r="BQ1063" s="14"/>
      <c r="BR1063" s="14"/>
      <c r="BS1063" s="14"/>
      <c r="BT1063" s="14"/>
      <c r="BU1063" s="14"/>
      <c r="BV1063" s="14"/>
      <c r="BW1063" s="14"/>
      <c r="BX1063" s="14"/>
      <c r="BY1063" s="14"/>
      <c r="BZ1063" s="14"/>
      <c r="CA1063" s="14"/>
      <c r="CB1063" s="14"/>
      <c r="CC1063" s="14"/>
      <c r="CD1063" s="14"/>
      <c r="CE1063" s="14"/>
      <c r="CF1063" s="1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</row>
    <row r="1064" spans="1:116" s="15" customFormat="1" x14ac:dyDescent="0.25">
      <c r="A1064" s="16"/>
      <c r="B1064" s="16"/>
      <c r="C1064" s="16"/>
      <c r="D1064" s="98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/>
      <c r="AT1064" s="14"/>
      <c r="AU1064" s="14"/>
      <c r="AV1064" s="14"/>
      <c r="AW1064" s="14"/>
      <c r="AX1064" s="14"/>
      <c r="AY1064" s="14"/>
      <c r="AZ1064" s="14"/>
      <c r="BA1064" s="14"/>
      <c r="BB1064" s="14"/>
      <c r="BC1064" s="14"/>
      <c r="BD1064" s="14"/>
      <c r="BE1064" s="14"/>
      <c r="BF1064" s="14"/>
      <c r="BG1064" s="14"/>
      <c r="BH1064" s="14"/>
      <c r="BI1064" s="14"/>
      <c r="BJ1064" s="14"/>
      <c r="BK1064" s="14"/>
      <c r="BL1064" s="14"/>
      <c r="BM1064" s="14"/>
      <c r="BN1064" s="14"/>
      <c r="BO1064" s="14"/>
      <c r="BP1064" s="14"/>
      <c r="BQ1064" s="14"/>
      <c r="BR1064" s="14"/>
      <c r="BS1064" s="14"/>
      <c r="BT1064" s="14"/>
      <c r="BU1064" s="14"/>
      <c r="BV1064" s="14"/>
      <c r="BW1064" s="14"/>
      <c r="BX1064" s="14"/>
      <c r="BY1064" s="14"/>
      <c r="BZ1064" s="14"/>
      <c r="CA1064" s="14"/>
      <c r="CB1064" s="14"/>
      <c r="CC1064" s="14"/>
      <c r="CD1064" s="14"/>
      <c r="CE1064" s="14"/>
      <c r="CF1064" s="1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</row>
    <row r="1065" spans="1:116" s="15" customFormat="1" x14ac:dyDescent="0.25">
      <c r="A1065" s="16"/>
      <c r="B1065" s="16"/>
      <c r="C1065" s="16"/>
      <c r="D1065" s="98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/>
      <c r="AT1065" s="14"/>
      <c r="AU1065" s="14"/>
      <c r="AV1065" s="14"/>
      <c r="AW1065" s="14"/>
      <c r="AX1065" s="14"/>
      <c r="AY1065" s="14"/>
      <c r="AZ1065" s="14"/>
      <c r="BA1065" s="14"/>
      <c r="BB1065" s="14"/>
      <c r="BC1065" s="14"/>
      <c r="BD1065" s="14"/>
      <c r="BE1065" s="14"/>
      <c r="BF1065" s="14"/>
      <c r="BG1065" s="14"/>
      <c r="BH1065" s="14"/>
      <c r="BI1065" s="14"/>
      <c r="BJ1065" s="14"/>
      <c r="BK1065" s="14"/>
      <c r="BL1065" s="14"/>
      <c r="BM1065" s="14"/>
      <c r="BN1065" s="14"/>
      <c r="BO1065" s="14"/>
      <c r="BP1065" s="14"/>
      <c r="BQ1065" s="14"/>
      <c r="BR1065" s="14"/>
      <c r="BS1065" s="14"/>
      <c r="BT1065" s="14"/>
      <c r="BU1065" s="14"/>
      <c r="BV1065" s="14"/>
      <c r="BW1065" s="14"/>
      <c r="BX1065" s="14"/>
      <c r="BY1065" s="14"/>
      <c r="BZ1065" s="14"/>
      <c r="CA1065" s="14"/>
      <c r="CB1065" s="14"/>
      <c r="CC1065" s="14"/>
      <c r="CD1065" s="14"/>
      <c r="CE1065" s="14"/>
      <c r="CF1065" s="1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</row>
    <row r="1066" spans="1:116" s="15" customFormat="1" x14ac:dyDescent="0.25">
      <c r="A1066" s="16"/>
      <c r="B1066" s="16"/>
      <c r="C1066" s="16"/>
      <c r="D1066" s="98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/>
      <c r="AT1066" s="14"/>
      <c r="AU1066" s="14"/>
      <c r="AV1066" s="14"/>
      <c r="AW1066" s="14"/>
      <c r="AX1066" s="14"/>
      <c r="AY1066" s="14"/>
      <c r="AZ1066" s="14"/>
      <c r="BA1066" s="14"/>
      <c r="BB1066" s="14"/>
      <c r="BC1066" s="14"/>
      <c r="BD1066" s="14"/>
      <c r="BE1066" s="14"/>
      <c r="BF1066" s="14"/>
      <c r="BG1066" s="14"/>
      <c r="BH1066" s="14"/>
      <c r="BI1066" s="14"/>
      <c r="BJ1066" s="14"/>
      <c r="BK1066" s="14"/>
      <c r="BL1066" s="14"/>
      <c r="BM1066" s="14"/>
      <c r="BN1066" s="14"/>
      <c r="BO1066" s="14"/>
      <c r="BP1066" s="14"/>
      <c r="BQ1066" s="14"/>
      <c r="BR1066" s="14"/>
      <c r="BS1066" s="14"/>
      <c r="BT1066" s="14"/>
      <c r="BU1066" s="14"/>
      <c r="BV1066" s="14"/>
      <c r="BW1066" s="14"/>
      <c r="BX1066" s="14"/>
      <c r="BY1066" s="14"/>
      <c r="BZ1066" s="14"/>
      <c r="CA1066" s="14"/>
      <c r="CB1066" s="14"/>
      <c r="CC1066" s="14"/>
      <c r="CD1066" s="14"/>
      <c r="CE1066" s="14"/>
      <c r="CF1066" s="1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</row>
    <row r="1067" spans="1:116" s="15" customFormat="1" x14ac:dyDescent="0.25">
      <c r="A1067" s="16"/>
      <c r="B1067" s="16"/>
      <c r="C1067" s="16"/>
      <c r="D1067" s="98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/>
      <c r="AT1067" s="14"/>
      <c r="AU1067" s="14"/>
      <c r="AV1067" s="14"/>
      <c r="AW1067" s="14"/>
      <c r="AX1067" s="14"/>
      <c r="AY1067" s="14"/>
      <c r="AZ1067" s="14"/>
      <c r="BA1067" s="14"/>
      <c r="BB1067" s="14"/>
      <c r="BC1067" s="14"/>
      <c r="BD1067" s="14"/>
      <c r="BE1067" s="14"/>
      <c r="BF1067" s="14"/>
      <c r="BG1067" s="14"/>
      <c r="BH1067" s="14"/>
      <c r="BI1067" s="14"/>
      <c r="BJ1067" s="14"/>
      <c r="BK1067" s="14"/>
      <c r="BL1067" s="14"/>
      <c r="BM1067" s="14"/>
      <c r="BN1067" s="14"/>
      <c r="BO1067" s="14"/>
      <c r="BP1067" s="14"/>
      <c r="BQ1067" s="14"/>
      <c r="BR1067" s="14"/>
      <c r="BS1067" s="14"/>
      <c r="BT1067" s="14"/>
      <c r="BU1067" s="14"/>
      <c r="BV1067" s="14"/>
      <c r="BW1067" s="14"/>
      <c r="BX1067" s="14"/>
      <c r="BY1067" s="14"/>
      <c r="BZ1067" s="14"/>
      <c r="CA1067" s="14"/>
      <c r="CB1067" s="14"/>
      <c r="CC1067" s="14"/>
      <c r="CD1067" s="14"/>
      <c r="CE1067" s="14"/>
      <c r="CF1067" s="1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</row>
    <row r="1068" spans="1:116" s="15" customFormat="1" x14ac:dyDescent="0.25">
      <c r="A1068" s="16"/>
      <c r="B1068" s="16"/>
      <c r="C1068" s="16"/>
      <c r="D1068" s="98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/>
      <c r="AT1068" s="14"/>
      <c r="AU1068" s="14"/>
      <c r="AV1068" s="14"/>
      <c r="AW1068" s="14"/>
      <c r="AX1068" s="14"/>
      <c r="AY1068" s="14"/>
      <c r="AZ1068" s="14"/>
      <c r="BA1068" s="14"/>
      <c r="BB1068" s="14"/>
      <c r="BC1068" s="14"/>
      <c r="BD1068" s="14"/>
      <c r="BE1068" s="14"/>
      <c r="BF1068" s="14"/>
      <c r="BG1068" s="14"/>
      <c r="BH1068" s="14"/>
      <c r="BI1068" s="14"/>
      <c r="BJ1068" s="14"/>
      <c r="BK1068" s="14"/>
      <c r="BL1068" s="14"/>
      <c r="BM1068" s="14"/>
      <c r="BN1068" s="14"/>
      <c r="BO1068" s="14"/>
      <c r="BP1068" s="14"/>
      <c r="BQ1068" s="14"/>
      <c r="BR1068" s="14"/>
      <c r="BS1068" s="14"/>
      <c r="BT1068" s="14"/>
      <c r="BU1068" s="14"/>
      <c r="BV1068" s="14"/>
      <c r="BW1068" s="14"/>
      <c r="BX1068" s="14"/>
      <c r="BY1068" s="14"/>
      <c r="BZ1068" s="14"/>
      <c r="CA1068" s="14"/>
      <c r="CB1068" s="14"/>
      <c r="CC1068" s="14"/>
      <c r="CD1068" s="14"/>
      <c r="CE1068" s="14"/>
      <c r="CF1068" s="1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</row>
    <row r="1069" spans="1:116" s="15" customFormat="1" x14ac:dyDescent="0.25">
      <c r="A1069" s="16"/>
      <c r="B1069" s="16"/>
      <c r="C1069" s="16"/>
      <c r="D1069" s="98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/>
      <c r="AT1069" s="14"/>
      <c r="AU1069" s="14"/>
      <c r="AV1069" s="14"/>
      <c r="AW1069" s="14"/>
      <c r="AX1069" s="14"/>
      <c r="AY1069" s="14"/>
      <c r="AZ1069" s="14"/>
      <c r="BA1069" s="14"/>
      <c r="BB1069" s="14"/>
      <c r="BC1069" s="14"/>
      <c r="BD1069" s="14"/>
      <c r="BE1069" s="14"/>
      <c r="BF1069" s="14"/>
      <c r="BG1069" s="14"/>
      <c r="BH1069" s="14"/>
      <c r="BI1069" s="14"/>
      <c r="BJ1069" s="14"/>
      <c r="BK1069" s="14"/>
      <c r="BL1069" s="14"/>
      <c r="BM1069" s="14"/>
      <c r="BN1069" s="14"/>
      <c r="BO1069" s="14"/>
      <c r="BP1069" s="14"/>
      <c r="BQ1069" s="14"/>
      <c r="BR1069" s="14"/>
      <c r="BS1069" s="14"/>
      <c r="BT1069" s="14"/>
      <c r="BU1069" s="14"/>
      <c r="BV1069" s="14"/>
      <c r="BW1069" s="14"/>
      <c r="BX1069" s="14"/>
      <c r="BY1069" s="14"/>
      <c r="BZ1069" s="14"/>
      <c r="CA1069" s="14"/>
      <c r="CB1069" s="14"/>
      <c r="CC1069" s="14"/>
      <c r="CD1069" s="14"/>
      <c r="CE1069" s="14"/>
      <c r="CF1069" s="1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</row>
    <row r="1070" spans="1:116" s="15" customFormat="1" x14ac:dyDescent="0.25">
      <c r="A1070" s="16"/>
      <c r="B1070" s="16"/>
      <c r="C1070" s="16"/>
      <c r="D1070" s="98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/>
      <c r="AT1070" s="14"/>
      <c r="AU1070" s="14"/>
      <c r="AV1070" s="14"/>
      <c r="AW1070" s="14"/>
      <c r="AX1070" s="14"/>
      <c r="AY1070" s="14"/>
      <c r="AZ1070" s="14"/>
      <c r="BA1070" s="14"/>
      <c r="BB1070" s="14"/>
      <c r="BC1070" s="14"/>
      <c r="BD1070" s="14"/>
      <c r="BE1070" s="14"/>
      <c r="BF1070" s="14"/>
      <c r="BG1070" s="14"/>
      <c r="BH1070" s="14"/>
      <c r="BI1070" s="14"/>
      <c r="BJ1070" s="14"/>
      <c r="BK1070" s="14"/>
      <c r="BL1070" s="14"/>
      <c r="BM1070" s="14"/>
      <c r="BN1070" s="14"/>
      <c r="BO1070" s="14"/>
      <c r="BP1070" s="14"/>
      <c r="BQ1070" s="14"/>
      <c r="BR1070" s="14"/>
      <c r="BS1070" s="14"/>
      <c r="BT1070" s="14"/>
      <c r="BU1070" s="14"/>
      <c r="BV1070" s="14"/>
      <c r="BW1070" s="14"/>
      <c r="BX1070" s="14"/>
      <c r="BY1070" s="14"/>
      <c r="BZ1070" s="14"/>
      <c r="CA1070" s="14"/>
      <c r="CB1070" s="14"/>
      <c r="CC1070" s="14"/>
      <c r="CD1070" s="14"/>
      <c r="CE1070" s="14"/>
      <c r="CF1070" s="1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</row>
    <row r="1071" spans="1:116" s="15" customFormat="1" x14ac:dyDescent="0.25">
      <c r="A1071" s="16"/>
      <c r="B1071" s="16"/>
      <c r="C1071" s="16"/>
      <c r="D1071" s="98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/>
      <c r="AT1071" s="14"/>
      <c r="AU1071" s="14"/>
      <c r="AV1071" s="14"/>
      <c r="AW1071" s="14"/>
      <c r="AX1071" s="14"/>
      <c r="AY1071" s="14"/>
      <c r="AZ1071" s="14"/>
      <c r="BA1071" s="14"/>
      <c r="BB1071" s="14"/>
      <c r="BC1071" s="14"/>
      <c r="BD1071" s="14"/>
      <c r="BE1071" s="14"/>
      <c r="BF1071" s="14"/>
      <c r="BG1071" s="14"/>
      <c r="BH1071" s="14"/>
      <c r="BI1071" s="14"/>
      <c r="BJ1071" s="14"/>
      <c r="BK1071" s="14"/>
      <c r="BL1071" s="14"/>
      <c r="BM1071" s="14"/>
      <c r="BN1071" s="14"/>
      <c r="BO1071" s="14"/>
      <c r="BP1071" s="14"/>
      <c r="BQ1071" s="14"/>
      <c r="BR1071" s="14"/>
      <c r="BS1071" s="14"/>
      <c r="BT1071" s="14"/>
      <c r="BU1071" s="14"/>
      <c r="BV1071" s="14"/>
      <c r="BW1071" s="14"/>
      <c r="BX1071" s="14"/>
      <c r="BY1071" s="14"/>
      <c r="BZ1071" s="14"/>
      <c r="CA1071" s="14"/>
      <c r="CB1071" s="14"/>
      <c r="CC1071" s="14"/>
      <c r="CD1071" s="14"/>
      <c r="CE1071" s="14"/>
      <c r="CF1071" s="1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</row>
    <row r="1072" spans="1:116" s="15" customFormat="1" x14ac:dyDescent="0.25">
      <c r="A1072" s="16"/>
      <c r="B1072" s="16"/>
      <c r="C1072" s="16"/>
      <c r="D1072" s="98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/>
      <c r="AT1072" s="14"/>
      <c r="AU1072" s="14"/>
      <c r="AV1072" s="14"/>
      <c r="AW1072" s="14"/>
      <c r="AX1072" s="14"/>
      <c r="AY1072" s="14"/>
      <c r="AZ1072" s="14"/>
      <c r="BA1072" s="14"/>
      <c r="BB1072" s="14"/>
      <c r="BC1072" s="14"/>
      <c r="BD1072" s="14"/>
      <c r="BE1072" s="14"/>
      <c r="BF1072" s="14"/>
      <c r="BG1072" s="14"/>
      <c r="BH1072" s="14"/>
      <c r="BI1072" s="14"/>
      <c r="BJ1072" s="14"/>
      <c r="BK1072" s="14"/>
      <c r="BL1072" s="14"/>
      <c r="BM1072" s="14"/>
      <c r="BN1072" s="14"/>
      <c r="BO1072" s="14"/>
      <c r="BP1072" s="14"/>
      <c r="BQ1072" s="14"/>
      <c r="BR1072" s="14"/>
      <c r="BS1072" s="14"/>
      <c r="BT1072" s="14"/>
      <c r="BU1072" s="14"/>
      <c r="BV1072" s="14"/>
      <c r="BW1072" s="14"/>
      <c r="BX1072" s="14"/>
      <c r="BY1072" s="14"/>
      <c r="BZ1072" s="14"/>
      <c r="CA1072" s="14"/>
      <c r="CB1072" s="14"/>
      <c r="CC1072" s="14"/>
      <c r="CD1072" s="14"/>
      <c r="CE1072" s="14"/>
      <c r="CF1072" s="1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</row>
    <row r="1073" spans="1:116" s="15" customFormat="1" x14ac:dyDescent="0.25">
      <c r="A1073" s="16"/>
      <c r="B1073" s="16"/>
      <c r="C1073" s="16"/>
      <c r="D1073" s="98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/>
      <c r="AT1073" s="14"/>
      <c r="AU1073" s="14"/>
      <c r="AV1073" s="14"/>
      <c r="AW1073" s="14"/>
      <c r="AX1073" s="14"/>
      <c r="AY1073" s="14"/>
      <c r="AZ1073" s="14"/>
      <c r="BA1073" s="14"/>
      <c r="BB1073" s="14"/>
      <c r="BC1073" s="14"/>
      <c r="BD1073" s="14"/>
      <c r="BE1073" s="14"/>
      <c r="BF1073" s="14"/>
      <c r="BG1073" s="14"/>
      <c r="BH1073" s="14"/>
      <c r="BI1073" s="14"/>
      <c r="BJ1073" s="14"/>
      <c r="BK1073" s="14"/>
      <c r="BL1073" s="14"/>
      <c r="BM1073" s="14"/>
      <c r="BN1073" s="14"/>
      <c r="BO1073" s="14"/>
      <c r="BP1073" s="14"/>
      <c r="BQ1073" s="14"/>
      <c r="BR1073" s="14"/>
      <c r="BS1073" s="14"/>
      <c r="BT1073" s="14"/>
      <c r="BU1073" s="14"/>
      <c r="BV1073" s="14"/>
      <c r="BW1073" s="14"/>
      <c r="BX1073" s="14"/>
      <c r="BY1073" s="14"/>
      <c r="BZ1073" s="14"/>
      <c r="CA1073" s="14"/>
      <c r="CB1073" s="14"/>
      <c r="CC1073" s="14"/>
      <c r="CD1073" s="14"/>
      <c r="CE1073" s="14"/>
      <c r="CF1073" s="1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</row>
    <row r="1074" spans="1:116" s="15" customFormat="1" x14ac:dyDescent="0.25">
      <c r="A1074" s="16"/>
      <c r="B1074" s="16"/>
      <c r="C1074" s="16"/>
      <c r="D1074" s="98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/>
      <c r="AT1074" s="14"/>
      <c r="AU1074" s="14"/>
      <c r="AV1074" s="14"/>
      <c r="AW1074" s="14"/>
      <c r="AX1074" s="14"/>
      <c r="AY1074" s="14"/>
      <c r="AZ1074" s="14"/>
      <c r="BA1074" s="14"/>
      <c r="BB1074" s="14"/>
      <c r="BC1074" s="14"/>
      <c r="BD1074" s="14"/>
      <c r="BE1074" s="14"/>
      <c r="BF1074" s="14"/>
      <c r="BG1074" s="14"/>
      <c r="BH1074" s="14"/>
      <c r="BI1074" s="14"/>
      <c r="BJ1074" s="14"/>
      <c r="BK1074" s="14"/>
      <c r="BL1074" s="14"/>
      <c r="BM1074" s="14"/>
      <c r="BN1074" s="14"/>
      <c r="BO1074" s="14"/>
      <c r="BP1074" s="14"/>
      <c r="BQ1074" s="14"/>
      <c r="BR1074" s="14"/>
      <c r="BS1074" s="14"/>
      <c r="BT1074" s="14"/>
      <c r="BU1074" s="14"/>
      <c r="BV1074" s="14"/>
      <c r="BW1074" s="14"/>
      <c r="BX1074" s="14"/>
      <c r="BY1074" s="14"/>
      <c r="BZ1074" s="14"/>
      <c r="CA1074" s="14"/>
      <c r="CB1074" s="14"/>
      <c r="CC1074" s="14"/>
      <c r="CD1074" s="14"/>
      <c r="CE1074" s="14"/>
      <c r="CF1074" s="1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</row>
    <row r="1075" spans="1:116" s="15" customFormat="1" x14ac:dyDescent="0.25">
      <c r="A1075" s="16"/>
      <c r="B1075" s="16"/>
      <c r="C1075" s="16"/>
      <c r="D1075" s="98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/>
      <c r="AT1075" s="14"/>
      <c r="AU1075" s="14"/>
      <c r="AV1075" s="14"/>
      <c r="AW1075" s="14"/>
      <c r="AX1075" s="14"/>
      <c r="AY1075" s="14"/>
      <c r="AZ1075" s="14"/>
      <c r="BA1075" s="14"/>
      <c r="BB1075" s="14"/>
      <c r="BC1075" s="14"/>
      <c r="BD1075" s="14"/>
      <c r="BE1075" s="14"/>
      <c r="BF1075" s="14"/>
      <c r="BG1075" s="14"/>
      <c r="BH1075" s="14"/>
      <c r="BI1075" s="14"/>
      <c r="BJ1075" s="14"/>
      <c r="BK1075" s="14"/>
      <c r="BL1075" s="14"/>
      <c r="BM1075" s="14"/>
      <c r="BN1075" s="14"/>
      <c r="BO1075" s="14"/>
      <c r="BP1075" s="14"/>
      <c r="BQ1075" s="14"/>
      <c r="BR1075" s="14"/>
      <c r="BS1075" s="14"/>
      <c r="BT1075" s="14"/>
      <c r="BU1075" s="14"/>
      <c r="BV1075" s="14"/>
      <c r="BW1075" s="14"/>
      <c r="BX1075" s="14"/>
      <c r="BY1075" s="14"/>
      <c r="BZ1075" s="14"/>
      <c r="CA1075" s="14"/>
      <c r="CB1075" s="14"/>
      <c r="CC1075" s="14"/>
      <c r="CD1075" s="14"/>
      <c r="CE1075" s="14"/>
      <c r="CF1075" s="1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</row>
    <row r="1076" spans="1:116" s="15" customFormat="1" x14ac:dyDescent="0.25">
      <c r="A1076" s="16"/>
      <c r="B1076" s="16"/>
      <c r="C1076" s="16"/>
      <c r="D1076" s="98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4"/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/>
      <c r="AT1076" s="14"/>
      <c r="AU1076" s="14"/>
      <c r="AV1076" s="14"/>
      <c r="AW1076" s="14"/>
      <c r="AX1076" s="14"/>
      <c r="AY1076" s="14"/>
      <c r="AZ1076" s="14"/>
      <c r="BA1076" s="14"/>
      <c r="BB1076" s="14"/>
      <c r="BC1076" s="14"/>
      <c r="BD1076" s="14"/>
      <c r="BE1076" s="14"/>
      <c r="BF1076" s="14"/>
      <c r="BG1076" s="14"/>
      <c r="BH1076" s="14"/>
      <c r="BI1076" s="14"/>
      <c r="BJ1076" s="14"/>
      <c r="BK1076" s="14"/>
      <c r="BL1076" s="14"/>
      <c r="BM1076" s="14"/>
      <c r="BN1076" s="14"/>
      <c r="BO1076" s="14"/>
      <c r="BP1076" s="14"/>
      <c r="BQ1076" s="14"/>
      <c r="BR1076" s="14"/>
      <c r="BS1076" s="14"/>
      <c r="BT1076" s="14"/>
      <c r="BU1076" s="14"/>
      <c r="BV1076" s="14"/>
      <c r="BW1076" s="14"/>
      <c r="BX1076" s="14"/>
      <c r="BY1076" s="14"/>
      <c r="BZ1076" s="14"/>
      <c r="CA1076" s="14"/>
      <c r="CB1076" s="14"/>
      <c r="CC1076" s="14"/>
      <c r="CD1076" s="14"/>
      <c r="CE1076" s="14"/>
      <c r="CF1076" s="1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</row>
    <row r="1077" spans="1:116" s="15" customFormat="1" x14ac:dyDescent="0.25">
      <c r="A1077" s="16"/>
      <c r="B1077" s="16"/>
      <c r="C1077" s="16"/>
      <c r="D1077" s="98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/>
      <c r="AT1077" s="14"/>
      <c r="AU1077" s="14"/>
      <c r="AV1077" s="14"/>
      <c r="AW1077" s="14"/>
      <c r="AX1077" s="14"/>
      <c r="AY1077" s="14"/>
      <c r="AZ1077" s="14"/>
      <c r="BA1077" s="14"/>
      <c r="BB1077" s="14"/>
      <c r="BC1077" s="14"/>
      <c r="BD1077" s="14"/>
      <c r="BE1077" s="14"/>
      <c r="BF1077" s="14"/>
      <c r="BG1077" s="14"/>
      <c r="BH1077" s="14"/>
      <c r="BI1077" s="14"/>
      <c r="BJ1077" s="14"/>
      <c r="BK1077" s="14"/>
      <c r="BL1077" s="14"/>
      <c r="BM1077" s="14"/>
      <c r="BN1077" s="14"/>
      <c r="BO1077" s="14"/>
      <c r="BP1077" s="14"/>
      <c r="BQ1077" s="14"/>
      <c r="BR1077" s="14"/>
      <c r="BS1077" s="14"/>
      <c r="BT1077" s="14"/>
      <c r="BU1077" s="14"/>
      <c r="BV1077" s="14"/>
      <c r="BW1077" s="14"/>
      <c r="BX1077" s="14"/>
      <c r="BY1077" s="14"/>
      <c r="BZ1077" s="14"/>
      <c r="CA1077" s="14"/>
      <c r="CB1077" s="14"/>
      <c r="CC1077" s="14"/>
      <c r="CD1077" s="14"/>
      <c r="CE1077" s="14"/>
      <c r="CF1077" s="1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</row>
    <row r="1078" spans="1:116" s="15" customFormat="1" x14ac:dyDescent="0.25">
      <c r="A1078" s="16"/>
      <c r="B1078" s="16"/>
      <c r="C1078" s="16"/>
      <c r="D1078" s="98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/>
      <c r="AT1078" s="14"/>
      <c r="AU1078" s="14"/>
      <c r="AV1078" s="14"/>
      <c r="AW1078" s="14"/>
      <c r="AX1078" s="14"/>
      <c r="AY1078" s="14"/>
      <c r="AZ1078" s="14"/>
      <c r="BA1078" s="14"/>
      <c r="BB1078" s="14"/>
      <c r="BC1078" s="14"/>
      <c r="BD1078" s="14"/>
      <c r="BE1078" s="14"/>
      <c r="BF1078" s="14"/>
      <c r="BG1078" s="14"/>
      <c r="BH1078" s="14"/>
      <c r="BI1078" s="14"/>
      <c r="BJ1078" s="14"/>
      <c r="BK1078" s="14"/>
      <c r="BL1078" s="14"/>
      <c r="BM1078" s="14"/>
      <c r="BN1078" s="14"/>
      <c r="BO1078" s="14"/>
      <c r="BP1078" s="14"/>
      <c r="BQ1078" s="14"/>
      <c r="BR1078" s="14"/>
      <c r="BS1078" s="14"/>
      <c r="BT1078" s="14"/>
      <c r="BU1078" s="14"/>
      <c r="BV1078" s="14"/>
      <c r="BW1078" s="14"/>
      <c r="BX1078" s="14"/>
      <c r="BY1078" s="14"/>
      <c r="BZ1078" s="14"/>
      <c r="CA1078" s="14"/>
      <c r="CB1078" s="14"/>
      <c r="CC1078" s="14"/>
      <c r="CD1078" s="14"/>
      <c r="CE1078" s="14"/>
      <c r="CF1078" s="1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</row>
    <row r="1079" spans="1:116" s="15" customFormat="1" x14ac:dyDescent="0.25">
      <c r="A1079" s="16"/>
      <c r="B1079" s="16"/>
      <c r="C1079" s="16"/>
      <c r="D1079" s="98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4"/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/>
      <c r="AT1079" s="14"/>
      <c r="AU1079" s="14"/>
      <c r="AV1079" s="14"/>
      <c r="AW1079" s="14"/>
      <c r="AX1079" s="14"/>
      <c r="AY1079" s="14"/>
      <c r="AZ1079" s="14"/>
      <c r="BA1079" s="14"/>
      <c r="BB1079" s="14"/>
      <c r="BC1079" s="14"/>
      <c r="BD1079" s="14"/>
      <c r="BE1079" s="14"/>
      <c r="BF1079" s="14"/>
      <c r="BG1079" s="14"/>
      <c r="BH1079" s="14"/>
      <c r="BI1079" s="14"/>
      <c r="BJ1079" s="14"/>
      <c r="BK1079" s="14"/>
      <c r="BL1079" s="14"/>
      <c r="BM1079" s="14"/>
      <c r="BN1079" s="14"/>
      <c r="BO1079" s="14"/>
      <c r="BP1079" s="14"/>
      <c r="BQ1079" s="14"/>
      <c r="BR1079" s="14"/>
      <c r="BS1079" s="14"/>
      <c r="BT1079" s="14"/>
      <c r="BU1079" s="14"/>
      <c r="BV1079" s="14"/>
      <c r="BW1079" s="14"/>
      <c r="BX1079" s="14"/>
      <c r="BY1079" s="14"/>
      <c r="BZ1079" s="14"/>
      <c r="CA1079" s="14"/>
      <c r="CB1079" s="14"/>
      <c r="CC1079" s="14"/>
      <c r="CD1079" s="14"/>
      <c r="CE1079" s="14"/>
      <c r="CF1079" s="1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</row>
    <row r="1080" spans="1:116" s="15" customFormat="1" x14ac:dyDescent="0.25">
      <c r="A1080" s="16"/>
      <c r="B1080" s="16"/>
      <c r="C1080" s="16"/>
      <c r="D1080" s="98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/>
      <c r="AT1080" s="14"/>
      <c r="AU1080" s="14"/>
      <c r="AV1080" s="14"/>
      <c r="AW1080" s="14"/>
      <c r="AX1080" s="14"/>
      <c r="AY1080" s="14"/>
      <c r="AZ1080" s="14"/>
      <c r="BA1080" s="14"/>
      <c r="BB1080" s="14"/>
      <c r="BC1080" s="14"/>
      <c r="BD1080" s="14"/>
      <c r="BE1080" s="14"/>
      <c r="BF1080" s="14"/>
      <c r="BG1080" s="14"/>
      <c r="BH1080" s="14"/>
      <c r="BI1080" s="14"/>
      <c r="BJ1080" s="14"/>
      <c r="BK1080" s="14"/>
      <c r="BL1080" s="14"/>
      <c r="BM1080" s="14"/>
      <c r="BN1080" s="14"/>
      <c r="BO1080" s="14"/>
      <c r="BP1080" s="14"/>
      <c r="BQ1080" s="14"/>
      <c r="BR1080" s="14"/>
      <c r="BS1080" s="14"/>
      <c r="BT1080" s="14"/>
      <c r="BU1080" s="14"/>
      <c r="BV1080" s="14"/>
      <c r="BW1080" s="14"/>
      <c r="BX1080" s="14"/>
      <c r="BY1080" s="14"/>
      <c r="BZ1080" s="14"/>
      <c r="CA1080" s="14"/>
      <c r="CB1080" s="14"/>
      <c r="CC1080" s="14"/>
      <c r="CD1080" s="14"/>
      <c r="CE1080" s="14"/>
      <c r="CF1080" s="1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</row>
    <row r="1081" spans="1:116" s="15" customFormat="1" x14ac:dyDescent="0.25">
      <c r="A1081" s="16"/>
      <c r="B1081" s="16"/>
      <c r="C1081" s="16"/>
      <c r="D1081" s="98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/>
      <c r="AT1081" s="14"/>
      <c r="AU1081" s="14"/>
      <c r="AV1081" s="14"/>
      <c r="AW1081" s="14"/>
      <c r="AX1081" s="14"/>
      <c r="AY1081" s="14"/>
      <c r="AZ1081" s="14"/>
      <c r="BA1081" s="14"/>
      <c r="BB1081" s="14"/>
      <c r="BC1081" s="14"/>
      <c r="BD1081" s="14"/>
      <c r="BE1081" s="14"/>
      <c r="BF1081" s="14"/>
      <c r="BG1081" s="14"/>
      <c r="BH1081" s="14"/>
      <c r="BI1081" s="14"/>
      <c r="BJ1081" s="14"/>
      <c r="BK1081" s="14"/>
      <c r="BL1081" s="14"/>
      <c r="BM1081" s="14"/>
      <c r="BN1081" s="14"/>
      <c r="BO1081" s="14"/>
      <c r="BP1081" s="14"/>
      <c r="BQ1081" s="14"/>
      <c r="BR1081" s="14"/>
      <c r="BS1081" s="14"/>
      <c r="BT1081" s="14"/>
      <c r="BU1081" s="14"/>
      <c r="BV1081" s="14"/>
      <c r="BW1081" s="14"/>
      <c r="BX1081" s="14"/>
      <c r="BY1081" s="14"/>
      <c r="BZ1081" s="14"/>
      <c r="CA1081" s="14"/>
      <c r="CB1081" s="14"/>
      <c r="CC1081" s="14"/>
      <c r="CD1081" s="14"/>
      <c r="CE1081" s="14"/>
      <c r="CF1081" s="1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</row>
    <row r="1082" spans="1:116" s="15" customFormat="1" x14ac:dyDescent="0.25">
      <c r="A1082" s="16"/>
      <c r="B1082" s="16"/>
      <c r="C1082" s="16"/>
      <c r="D1082" s="98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/>
      <c r="AT1082" s="14"/>
      <c r="AU1082" s="14"/>
      <c r="AV1082" s="14"/>
      <c r="AW1082" s="14"/>
      <c r="AX1082" s="14"/>
      <c r="AY1082" s="14"/>
      <c r="AZ1082" s="14"/>
      <c r="BA1082" s="14"/>
      <c r="BB1082" s="14"/>
      <c r="BC1082" s="14"/>
      <c r="BD1082" s="14"/>
      <c r="BE1082" s="14"/>
      <c r="BF1082" s="14"/>
      <c r="BG1082" s="14"/>
      <c r="BH1082" s="14"/>
      <c r="BI1082" s="14"/>
      <c r="BJ1082" s="14"/>
      <c r="BK1082" s="14"/>
      <c r="BL1082" s="14"/>
      <c r="BM1082" s="14"/>
      <c r="BN1082" s="14"/>
      <c r="BO1082" s="14"/>
      <c r="BP1082" s="14"/>
      <c r="BQ1082" s="14"/>
      <c r="BR1082" s="14"/>
      <c r="BS1082" s="14"/>
      <c r="BT1082" s="14"/>
      <c r="BU1082" s="14"/>
      <c r="BV1082" s="14"/>
      <c r="BW1082" s="14"/>
      <c r="BX1082" s="14"/>
      <c r="BY1082" s="14"/>
      <c r="BZ1082" s="14"/>
      <c r="CA1082" s="14"/>
      <c r="CB1082" s="14"/>
      <c r="CC1082" s="14"/>
      <c r="CD1082" s="14"/>
      <c r="CE1082" s="14"/>
      <c r="CF1082" s="1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</row>
    <row r="1083" spans="1:116" s="15" customFormat="1" x14ac:dyDescent="0.25">
      <c r="A1083" s="16"/>
      <c r="B1083" s="16"/>
      <c r="C1083" s="16"/>
      <c r="D1083" s="98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/>
      <c r="AT1083" s="14"/>
      <c r="AU1083" s="14"/>
      <c r="AV1083" s="14"/>
      <c r="AW1083" s="14"/>
      <c r="AX1083" s="14"/>
      <c r="AY1083" s="14"/>
      <c r="AZ1083" s="14"/>
      <c r="BA1083" s="14"/>
      <c r="BB1083" s="14"/>
      <c r="BC1083" s="14"/>
      <c r="BD1083" s="14"/>
      <c r="BE1083" s="14"/>
      <c r="BF1083" s="14"/>
      <c r="BG1083" s="14"/>
      <c r="BH1083" s="14"/>
      <c r="BI1083" s="14"/>
      <c r="BJ1083" s="14"/>
      <c r="BK1083" s="14"/>
      <c r="BL1083" s="14"/>
      <c r="BM1083" s="14"/>
      <c r="BN1083" s="14"/>
      <c r="BO1083" s="14"/>
      <c r="BP1083" s="14"/>
      <c r="BQ1083" s="14"/>
      <c r="BR1083" s="14"/>
      <c r="BS1083" s="14"/>
      <c r="BT1083" s="14"/>
      <c r="BU1083" s="14"/>
      <c r="BV1083" s="14"/>
      <c r="BW1083" s="14"/>
      <c r="BX1083" s="14"/>
      <c r="BY1083" s="14"/>
      <c r="BZ1083" s="14"/>
      <c r="CA1083" s="14"/>
      <c r="CB1083" s="14"/>
      <c r="CC1083" s="14"/>
      <c r="CD1083" s="14"/>
      <c r="CE1083" s="14"/>
      <c r="CF1083" s="1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</row>
    <row r="1084" spans="1:116" s="15" customFormat="1" x14ac:dyDescent="0.25">
      <c r="A1084" s="16"/>
      <c r="B1084" s="16"/>
      <c r="C1084" s="16"/>
      <c r="D1084" s="98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4"/>
      <c r="AJ1084" s="14"/>
      <c r="AK1084" s="14"/>
      <c r="AL1084" s="14"/>
      <c r="AM1084" s="14"/>
      <c r="AN1084" s="14"/>
      <c r="AO1084" s="14"/>
      <c r="AP1084" s="14"/>
      <c r="AQ1084" s="14"/>
      <c r="AR1084" s="14"/>
      <c r="AS1084" s="14"/>
      <c r="AT1084" s="14"/>
      <c r="AU1084" s="14"/>
      <c r="AV1084" s="14"/>
      <c r="AW1084" s="14"/>
      <c r="AX1084" s="14"/>
      <c r="AY1084" s="14"/>
      <c r="AZ1084" s="14"/>
      <c r="BA1084" s="14"/>
      <c r="BB1084" s="14"/>
      <c r="BC1084" s="14"/>
      <c r="BD1084" s="14"/>
      <c r="BE1084" s="14"/>
      <c r="BF1084" s="14"/>
      <c r="BG1084" s="14"/>
      <c r="BH1084" s="14"/>
      <c r="BI1084" s="14"/>
      <c r="BJ1084" s="14"/>
      <c r="BK1084" s="14"/>
      <c r="BL1084" s="14"/>
      <c r="BM1084" s="14"/>
      <c r="BN1084" s="14"/>
      <c r="BO1084" s="14"/>
      <c r="BP1084" s="14"/>
      <c r="BQ1084" s="14"/>
      <c r="BR1084" s="14"/>
      <c r="BS1084" s="14"/>
      <c r="BT1084" s="14"/>
      <c r="BU1084" s="14"/>
      <c r="BV1084" s="14"/>
      <c r="BW1084" s="14"/>
      <c r="BX1084" s="14"/>
      <c r="BY1084" s="14"/>
      <c r="BZ1084" s="14"/>
      <c r="CA1084" s="14"/>
      <c r="CB1084" s="14"/>
      <c r="CC1084" s="14"/>
      <c r="CD1084" s="14"/>
      <c r="CE1084" s="14"/>
      <c r="CF1084" s="1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</row>
    <row r="1085" spans="1:116" s="15" customFormat="1" x14ac:dyDescent="0.25">
      <c r="A1085" s="16"/>
      <c r="B1085" s="16"/>
      <c r="C1085" s="16"/>
      <c r="D1085" s="98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/>
      <c r="AT1085" s="14"/>
      <c r="AU1085" s="14"/>
      <c r="AV1085" s="14"/>
      <c r="AW1085" s="14"/>
      <c r="AX1085" s="14"/>
      <c r="AY1085" s="14"/>
      <c r="AZ1085" s="14"/>
      <c r="BA1085" s="14"/>
      <c r="BB1085" s="14"/>
      <c r="BC1085" s="14"/>
      <c r="BD1085" s="14"/>
      <c r="BE1085" s="14"/>
      <c r="BF1085" s="14"/>
      <c r="BG1085" s="14"/>
      <c r="BH1085" s="14"/>
      <c r="BI1085" s="14"/>
      <c r="BJ1085" s="14"/>
      <c r="BK1085" s="14"/>
      <c r="BL1085" s="14"/>
      <c r="BM1085" s="14"/>
      <c r="BN1085" s="14"/>
      <c r="BO1085" s="14"/>
      <c r="BP1085" s="14"/>
      <c r="BQ1085" s="14"/>
      <c r="BR1085" s="14"/>
      <c r="BS1085" s="14"/>
      <c r="BT1085" s="14"/>
      <c r="BU1085" s="14"/>
      <c r="BV1085" s="14"/>
      <c r="BW1085" s="14"/>
      <c r="BX1085" s="14"/>
      <c r="BY1085" s="14"/>
      <c r="BZ1085" s="14"/>
      <c r="CA1085" s="14"/>
      <c r="CB1085" s="14"/>
      <c r="CC1085" s="14"/>
      <c r="CD1085" s="14"/>
      <c r="CE1085" s="14"/>
      <c r="CF1085" s="1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</row>
    <row r="1086" spans="1:116" s="15" customFormat="1" x14ac:dyDescent="0.25">
      <c r="A1086" s="16"/>
      <c r="B1086" s="16"/>
      <c r="C1086" s="16"/>
      <c r="D1086" s="98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/>
      <c r="AT1086" s="14"/>
      <c r="AU1086" s="14"/>
      <c r="AV1086" s="14"/>
      <c r="AW1086" s="14"/>
      <c r="AX1086" s="14"/>
      <c r="AY1086" s="14"/>
      <c r="AZ1086" s="14"/>
      <c r="BA1086" s="14"/>
      <c r="BB1086" s="14"/>
      <c r="BC1086" s="14"/>
      <c r="BD1086" s="14"/>
      <c r="BE1086" s="14"/>
      <c r="BF1086" s="14"/>
      <c r="BG1086" s="14"/>
      <c r="BH1086" s="14"/>
      <c r="BI1086" s="14"/>
      <c r="BJ1086" s="14"/>
      <c r="BK1086" s="14"/>
      <c r="BL1086" s="14"/>
      <c r="BM1086" s="14"/>
      <c r="BN1086" s="14"/>
      <c r="BO1086" s="14"/>
      <c r="BP1086" s="14"/>
      <c r="BQ1086" s="14"/>
      <c r="BR1086" s="14"/>
      <c r="BS1086" s="14"/>
      <c r="BT1086" s="14"/>
      <c r="BU1086" s="14"/>
      <c r="BV1086" s="14"/>
      <c r="BW1086" s="14"/>
      <c r="BX1086" s="14"/>
      <c r="BY1086" s="14"/>
      <c r="BZ1086" s="14"/>
      <c r="CA1086" s="14"/>
      <c r="CB1086" s="14"/>
      <c r="CC1086" s="14"/>
      <c r="CD1086" s="14"/>
      <c r="CE1086" s="14"/>
      <c r="CF1086" s="1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</row>
    <row r="1087" spans="1:116" s="15" customFormat="1" x14ac:dyDescent="0.25">
      <c r="A1087" s="16"/>
      <c r="B1087" s="16"/>
      <c r="C1087" s="16"/>
      <c r="D1087" s="98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4"/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/>
      <c r="AT1087" s="14"/>
      <c r="AU1087" s="14"/>
      <c r="AV1087" s="14"/>
      <c r="AW1087" s="14"/>
      <c r="AX1087" s="14"/>
      <c r="AY1087" s="14"/>
      <c r="AZ1087" s="14"/>
      <c r="BA1087" s="14"/>
      <c r="BB1087" s="14"/>
      <c r="BC1087" s="14"/>
      <c r="BD1087" s="14"/>
      <c r="BE1087" s="14"/>
      <c r="BF1087" s="14"/>
      <c r="BG1087" s="14"/>
      <c r="BH1087" s="14"/>
      <c r="BI1087" s="14"/>
      <c r="BJ1087" s="14"/>
      <c r="BK1087" s="14"/>
      <c r="BL1087" s="14"/>
      <c r="BM1087" s="14"/>
      <c r="BN1087" s="14"/>
      <c r="BO1087" s="14"/>
      <c r="BP1087" s="14"/>
      <c r="BQ1087" s="14"/>
      <c r="BR1087" s="14"/>
      <c r="BS1087" s="14"/>
      <c r="BT1087" s="14"/>
      <c r="BU1087" s="14"/>
      <c r="BV1087" s="14"/>
      <c r="BW1087" s="14"/>
      <c r="BX1087" s="14"/>
      <c r="BY1087" s="14"/>
      <c r="BZ1087" s="14"/>
      <c r="CA1087" s="14"/>
      <c r="CB1087" s="14"/>
      <c r="CC1087" s="14"/>
      <c r="CD1087" s="14"/>
      <c r="CE1087" s="14"/>
      <c r="CF1087" s="1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</row>
    <row r="1088" spans="1:116" s="15" customFormat="1" x14ac:dyDescent="0.25">
      <c r="A1088" s="16"/>
      <c r="B1088" s="16"/>
      <c r="C1088" s="16"/>
      <c r="D1088" s="98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/>
      <c r="AT1088" s="14"/>
      <c r="AU1088" s="14"/>
      <c r="AV1088" s="14"/>
      <c r="AW1088" s="14"/>
      <c r="AX1088" s="14"/>
      <c r="AY1088" s="14"/>
      <c r="AZ1088" s="14"/>
      <c r="BA1088" s="14"/>
      <c r="BB1088" s="14"/>
      <c r="BC1088" s="14"/>
      <c r="BD1088" s="14"/>
      <c r="BE1088" s="14"/>
      <c r="BF1088" s="14"/>
      <c r="BG1088" s="14"/>
      <c r="BH1088" s="14"/>
      <c r="BI1088" s="14"/>
      <c r="BJ1088" s="14"/>
      <c r="BK1088" s="14"/>
      <c r="BL1088" s="14"/>
      <c r="BM1088" s="14"/>
      <c r="BN1088" s="14"/>
      <c r="BO1088" s="14"/>
      <c r="BP1088" s="14"/>
      <c r="BQ1088" s="14"/>
      <c r="BR1088" s="14"/>
      <c r="BS1088" s="14"/>
      <c r="BT1088" s="14"/>
      <c r="BU1088" s="14"/>
      <c r="BV1088" s="14"/>
      <c r="BW1088" s="14"/>
      <c r="BX1088" s="14"/>
      <c r="BY1088" s="14"/>
      <c r="BZ1088" s="14"/>
      <c r="CA1088" s="14"/>
      <c r="CB1088" s="14"/>
      <c r="CC1088" s="14"/>
      <c r="CD1088" s="14"/>
      <c r="CE1088" s="14"/>
      <c r="CF1088" s="1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</row>
    <row r="1089" spans="1:116" s="15" customFormat="1" x14ac:dyDescent="0.25">
      <c r="A1089" s="16"/>
      <c r="B1089" s="16"/>
      <c r="C1089" s="16"/>
      <c r="D1089" s="98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/>
      <c r="AT1089" s="14"/>
      <c r="AU1089" s="14"/>
      <c r="AV1089" s="14"/>
      <c r="AW1089" s="14"/>
      <c r="AX1089" s="14"/>
      <c r="AY1089" s="14"/>
      <c r="AZ1089" s="14"/>
      <c r="BA1089" s="14"/>
      <c r="BB1089" s="14"/>
      <c r="BC1089" s="14"/>
      <c r="BD1089" s="14"/>
      <c r="BE1089" s="14"/>
      <c r="BF1089" s="14"/>
      <c r="BG1089" s="14"/>
      <c r="BH1089" s="14"/>
      <c r="BI1089" s="14"/>
      <c r="BJ1089" s="14"/>
      <c r="BK1089" s="14"/>
      <c r="BL1089" s="14"/>
      <c r="BM1089" s="14"/>
      <c r="BN1089" s="14"/>
      <c r="BO1089" s="14"/>
      <c r="BP1089" s="14"/>
      <c r="BQ1089" s="14"/>
      <c r="BR1089" s="14"/>
      <c r="BS1089" s="14"/>
      <c r="BT1089" s="14"/>
      <c r="BU1089" s="14"/>
      <c r="BV1089" s="14"/>
      <c r="BW1089" s="14"/>
      <c r="BX1089" s="14"/>
      <c r="BY1089" s="14"/>
      <c r="BZ1089" s="14"/>
      <c r="CA1089" s="14"/>
      <c r="CB1089" s="14"/>
      <c r="CC1089" s="14"/>
      <c r="CD1089" s="14"/>
      <c r="CE1089" s="14"/>
      <c r="CF1089" s="1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</row>
    <row r="1090" spans="1:116" s="15" customFormat="1" x14ac:dyDescent="0.25">
      <c r="A1090" s="16"/>
      <c r="B1090" s="16"/>
      <c r="C1090" s="16"/>
      <c r="D1090" s="98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4"/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/>
      <c r="AT1090" s="14"/>
      <c r="AU1090" s="14"/>
      <c r="AV1090" s="14"/>
      <c r="AW1090" s="14"/>
      <c r="AX1090" s="14"/>
      <c r="AY1090" s="14"/>
      <c r="AZ1090" s="14"/>
      <c r="BA1090" s="14"/>
      <c r="BB1090" s="14"/>
      <c r="BC1090" s="14"/>
      <c r="BD1090" s="14"/>
      <c r="BE1090" s="14"/>
      <c r="BF1090" s="14"/>
      <c r="BG1090" s="14"/>
      <c r="BH1090" s="14"/>
      <c r="BI1090" s="14"/>
      <c r="BJ1090" s="14"/>
      <c r="BK1090" s="14"/>
      <c r="BL1090" s="14"/>
      <c r="BM1090" s="14"/>
      <c r="BN1090" s="14"/>
      <c r="BO1090" s="14"/>
      <c r="BP1090" s="14"/>
      <c r="BQ1090" s="14"/>
      <c r="BR1090" s="14"/>
      <c r="BS1090" s="14"/>
      <c r="BT1090" s="14"/>
      <c r="BU1090" s="14"/>
      <c r="BV1090" s="14"/>
      <c r="BW1090" s="14"/>
      <c r="BX1090" s="14"/>
      <c r="BY1090" s="14"/>
      <c r="BZ1090" s="14"/>
      <c r="CA1090" s="14"/>
      <c r="CB1090" s="14"/>
      <c r="CC1090" s="14"/>
      <c r="CD1090" s="14"/>
      <c r="CE1090" s="14"/>
      <c r="CF1090" s="1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</row>
    <row r="1091" spans="1:116" s="15" customFormat="1" x14ac:dyDescent="0.25">
      <c r="A1091" s="16"/>
      <c r="B1091" s="16"/>
      <c r="C1091" s="16"/>
      <c r="D1091" s="98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4"/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/>
      <c r="AT1091" s="14"/>
      <c r="AU1091" s="14"/>
      <c r="AV1091" s="14"/>
      <c r="AW1091" s="14"/>
      <c r="AX1091" s="14"/>
      <c r="AY1091" s="14"/>
      <c r="AZ1091" s="14"/>
      <c r="BA1091" s="14"/>
      <c r="BB1091" s="14"/>
      <c r="BC1091" s="14"/>
      <c r="BD1091" s="14"/>
      <c r="BE1091" s="14"/>
      <c r="BF1091" s="14"/>
      <c r="BG1091" s="14"/>
      <c r="BH1091" s="14"/>
      <c r="BI1091" s="14"/>
      <c r="BJ1091" s="14"/>
      <c r="BK1091" s="14"/>
      <c r="BL1091" s="14"/>
      <c r="BM1091" s="14"/>
      <c r="BN1091" s="14"/>
      <c r="BO1091" s="14"/>
      <c r="BP1091" s="14"/>
      <c r="BQ1091" s="14"/>
      <c r="BR1091" s="14"/>
      <c r="BS1091" s="14"/>
      <c r="BT1091" s="14"/>
      <c r="BU1091" s="14"/>
      <c r="BV1091" s="14"/>
      <c r="BW1091" s="14"/>
      <c r="BX1091" s="14"/>
      <c r="BY1091" s="14"/>
      <c r="BZ1091" s="14"/>
      <c r="CA1091" s="14"/>
      <c r="CB1091" s="14"/>
      <c r="CC1091" s="14"/>
      <c r="CD1091" s="14"/>
      <c r="CE1091" s="14"/>
      <c r="CF1091" s="1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</row>
    <row r="1092" spans="1:116" s="15" customFormat="1" x14ac:dyDescent="0.25">
      <c r="A1092" s="16"/>
      <c r="B1092" s="16"/>
      <c r="C1092" s="16"/>
      <c r="D1092" s="98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4"/>
      <c r="AJ1092" s="14"/>
      <c r="AK1092" s="14"/>
      <c r="AL1092" s="14"/>
      <c r="AM1092" s="14"/>
      <c r="AN1092" s="14"/>
      <c r="AO1092" s="14"/>
      <c r="AP1092" s="14"/>
      <c r="AQ1092" s="14"/>
      <c r="AR1092" s="14"/>
      <c r="AS1092" s="14"/>
      <c r="AT1092" s="14"/>
      <c r="AU1092" s="14"/>
      <c r="AV1092" s="14"/>
      <c r="AW1092" s="14"/>
      <c r="AX1092" s="14"/>
      <c r="AY1092" s="14"/>
      <c r="AZ1092" s="14"/>
      <c r="BA1092" s="14"/>
      <c r="BB1092" s="14"/>
      <c r="BC1092" s="14"/>
      <c r="BD1092" s="14"/>
      <c r="BE1092" s="14"/>
      <c r="BF1092" s="14"/>
      <c r="BG1092" s="14"/>
      <c r="BH1092" s="14"/>
      <c r="BI1092" s="14"/>
      <c r="BJ1092" s="14"/>
      <c r="BK1092" s="14"/>
      <c r="BL1092" s="14"/>
      <c r="BM1092" s="14"/>
      <c r="BN1092" s="14"/>
      <c r="BO1092" s="14"/>
      <c r="BP1092" s="14"/>
      <c r="BQ1092" s="14"/>
      <c r="BR1092" s="14"/>
      <c r="BS1092" s="14"/>
      <c r="BT1092" s="14"/>
      <c r="BU1092" s="14"/>
      <c r="BV1092" s="14"/>
      <c r="BW1092" s="14"/>
      <c r="BX1092" s="14"/>
      <c r="BY1092" s="14"/>
      <c r="BZ1092" s="14"/>
      <c r="CA1092" s="14"/>
      <c r="CB1092" s="14"/>
      <c r="CC1092" s="14"/>
      <c r="CD1092" s="14"/>
      <c r="CE1092" s="14"/>
      <c r="CF1092" s="1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</row>
    <row r="1093" spans="1:116" s="15" customFormat="1" x14ac:dyDescent="0.25">
      <c r="A1093" s="16"/>
      <c r="B1093" s="16"/>
      <c r="C1093" s="16"/>
      <c r="D1093" s="98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/>
      <c r="AT1093" s="14"/>
      <c r="AU1093" s="14"/>
      <c r="AV1093" s="14"/>
      <c r="AW1093" s="14"/>
      <c r="AX1093" s="14"/>
      <c r="AY1093" s="14"/>
      <c r="AZ1093" s="14"/>
      <c r="BA1093" s="14"/>
      <c r="BB1093" s="14"/>
      <c r="BC1093" s="14"/>
      <c r="BD1093" s="14"/>
      <c r="BE1093" s="14"/>
      <c r="BF1093" s="14"/>
      <c r="BG1093" s="14"/>
      <c r="BH1093" s="14"/>
      <c r="BI1093" s="14"/>
      <c r="BJ1093" s="14"/>
      <c r="BK1093" s="14"/>
      <c r="BL1093" s="14"/>
      <c r="BM1093" s="14"/>
      <c r="BN1093" s="14"/>
      <c r="BO1093" s="14"/>
      <c r="BP1093" s="14"/>
      <c r="BQ1093" s="14"/>
      <c r="BR1093" s="14"/>
      <c r="BS1093" s="14"/>
      <c r="BT1093" s="14"/>
      <c r="BU1093" s="14"/>
      <c r="BV1093" s="14"/>
      <c r="BW1093" s="14"/>
      <c r="BX1093" s="14"/>
      <c r="BY1093" s="14"/>
      <c r="BZ1093" s="14"/>
      <c r="CA1093" s="14"/>
      <c r="CB1093" s="14"/>
      <c r="CC1093" s="14"/>
      <c r="CD1093" s="14"/>
      <c r="CE1093" s="14"/>
      <c r="CF1093" s="1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</row>
    <row r="1094" spans="1:116" s="15" customFormat="1" x14ac:dyDescent="0.25">
      <c r="A1094" s="16"/>
      <c r="B1094" s="16"/>
      <c r="C1094" s="16"/>
      <c r="D1094" s="98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/>
      <c r="AT1094" s="14"/>
      <c r="AU1094" s="14"/>
      <c r="AV1094" s="14"/>
      <c r="AW1094" s="14"/>
      <c r="AX1094" s="14"/>
      <c r="AY1094" s="14"/>
      <c r="AZ1094" s="14"/>
      <c r="BA1094" s="14"/>
      <c r="BB1094" s="14"/>
      <c r="BC1094" s="14"/>
      <c r="BD1094" s="14"/>
      <c r="BE1094" s="14"/>
      <c r="BF1094" s="14"/>
      <c r="BG1094" s="14"/>
      <c r="BH1094" s="14"/>
      <c r="BI1094" s="14"/>
      <c r="BJ1094" s="14"/>
      <c r="BK1094" s="14"/>
      <c r="BL1094" s="14"/>
      <c r="BM1094" s="14"/>
      <c r="BN1094" s="14"/>
      <c r="BO1094" s="14"/>
      <c r="BP1094" s="14"/>
      <c r="BQ1094" s="14"/>
      <c r="BR1094" s="14"/>
      <c r="BS1094" s="14"/>
      <c r="BT1094" s="14"/>
      <c r="BU1094" s="14"/>
      <c r="BV1094" s="14"/>
      <c r="BW1094" s="14"/>
      <c r="BX1094" s="14"/>
      <c r="BY1094" s="14"/>
      <c r="BZ1094" s="14"/>
      <c r="CA1094" s="14"/>
      <c r="CB1094" s="14"/>
      <c r="CC1094" s="14"/>
      <c r="CD1094" s="14"/>
      <c r="CE1094" s="14"/>
      <c r="CF1094" s="1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</row>
    <row r="1095" spans="1:116" s="15" customFormat="1" x14ac:dyDescent="0.25">
      <c r="A1095" s="16"/>
      <c r="B1095" s="16"/>
      <c r="C1095" s="16"/>
      <c r="D1095" s="98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/>
      <c r="AT1095" s="14"/>
      <c r="AU1095" s="14"/>
      <c r="AV1095" s="14"/>
      <c r="AW1095" s="14"/>
      <c r="AX1095" s="14"/>
      <c r="AY1095" s="14"/>
      <c r="AZ1095" s="14"/>
      <c r="BA1095" s="14"/>
      <c r="BB1095" s="14"/>
      <c r="BC1095" s="14"/>
      <c r="BD1095" s="14"/>
      <c r="BE1095" s="14"/>
      <c r="BF1095" s="14"/>
      <c r="BG1095" s="14"/>
      <c r="BH1095" s="14"/>
      <c r="BI1095" s="14"/>
      <c r="BJ1095" s="14"/>
      <c r="BK1095" s="14"/>
      <c r="BL1095" s="14"/>
      <c r="BM1095" s="14"/>
      <c r="BN1095" s="14"/>
      <c r="BO1095" s="14"/>
      <c r="BP1095" s="14"/>
      <c r="BQ1095" s="14"/>
      <c r="BR1095" s="14"/>
      <c r="BS1095" s="14"/>
      <c r="BT1095" s="14"/>
      <c r="BU1095" s="14"/>
      <c r="BV1095" s="14"/>
      <c r="BW1095" s="14"/>
      <c r="BX1095" s="14"/>
      <c r="BY1095" s="14"/>
      <c r="BZ1095" s="14"/>
      <c r="CA1095" s="14"/>
      <c r="CB1095" s="14"/>
      <c r="CC1095" s="14"/>
      <c r="CD1095" s="14"/>
      <c r="CE1095" s="14"/>
      <c r="CF1095" s="14"/>
      <c r="CG1095" s="4"/>
      <c r="CH1095" s="4"/>
      <c r="CI1095" s="4"/>
      <c r="CJ1095" s="4"/>
      <c r="CK1095" s="4"/>
      <c r="CL1095" s="4"/>
      <c r="CM1095" s="4"/>
      <c r="CN1095" s="4"/>
      <c r="CO1095" s="4"/>
      <c r="CP1095" s="4"/>
      <c r="CQ1095" s="4"/>
      <c r="CR1095" s="4"/>
      <c r="CS1095" s="4"/>
      <c r="CT1095" s="4"/>
      <c r="CU1095" s="4"/>
      <c r="CV1095" s="4"/>
      <c r="CW1095" s="4"/>
      <c r="CX1095" s="4"/>
      <c r="CY1095" s="4"/>
      <c r="CZ1095" s="4"/>
      <c r="DA1095" s="4"/>
      <c r="DB1095" s="4"/>
      <c r="DC1095" s="4"/>
      <c r="DD1095" s="4"/>
      <c r="DE1095" s="4"/>
      <c r="DF1095" s="4"/>
      <c r="DG1095" s="4"/>
      <c r="DH1095" s="4"/>
      <c r="DI1095" s="4"/>
      <c r="DJ1095" s="4"/>
      <c r="DK1095" s="4"/>
      <c r="DL1095" s="4"/>
    </row>
    <row r="1096" spans="1:116" s="15" customFormat="1" x14ac:dyDescent="0.25">
      <c r="A1096" s="16"/>
      <c r="B1096" s="16"/>
      <c r="C1096" s="16"/>
      <c r="D1096" s="98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/>
      <c r="AT1096" s="14"/>
      <c r="AU1096" s="14"/>
      <c r="AV1096" s="14"/>
      <c r="AW1096" s="14"/>
      <c r="AX1096" s="14"/>
      <c r="AY1096" s="14"/>
      <c r="AZ1096" s="14"/>
      <c r="BA1096" s="14"/>
      <c r="BB1096" s="14"/>
      <c r="BC1096" s="14"/>
      <c r="BD1096" s="14"/>
      <c r="BE1096" s="14"/>
      <c r="BF1096" s="14"/>
      <c r="BG1096" s="14"/>
      <c r="BH1096" s="14"/>
      <c r="BI1096" s="14"/>
      <c r="BJ1096" s="14"/>
      <c r="BK1096" s="14"/>
      <c r="BL1096" s="14"/>
      <c r="BM1096" s="14"/>
      <c r="BN1096" s="14"/>
      <c r="BO1096" s="14"/>
      <c r="BP1096" s="14"/>
      <c r="BQ1096" s="14"/>
      <c r="BR1096" s="14"/>
      <c r="BS1096" s="14"/>
      <c r="BT1096" s="14"/>
      <c r="BU1096" s="14"/>
      <c r="BV1096" s="14"/>
      <c r="BW1096" s="14"/>
      <c r="BX1096" s="14"/>
      <c r="BY1096" s="14"/>
      <c r="BZ1096" s="14"/>
      <c r="CA1096" s="14"/>
      <c r="CB1096" s="14"/>
      <c r="CC1096" s="14"/>
      <c r="CD1096" s="14"/>
      <c r="CE1096" s="14"/>
      <c r="CF1096" s="14"/>
      <c r="CG1096" s="4"/>
      <c r="CH1096" s="4"/>
      <c r="CI1096" s="4"/>
      <c r="CJ1096" s="4"/>
      <c r="CK1096" s="4"/>
      <c r="CL1096" s="4"/>
      <c r="CM1096" s="4"/>
      <c r="CN1096" s="4"/>
      <c r="CO1096" s="4"/>
      <c r="CP1096" s="4"/>
      <c r="CQ1096" s="4"/>
      <c r="CR1096" s="4"/>
      <c r="CS1096" s="4"/>
      <c r="CT1096" s="4"/>
      <c r="CU1096" s="4"/>
      <c r="CV1096" s="4"/>
      <c r="CW1096" s="4"/>
      <c r="CX1096" s="4"/>
      <c r="CY1096" s="4"/>
      <c r="CZ1096" s="4"/>
      <c r="DA1096" s="4"/>
      <c r="DB1096" s="4"/>
      <c r="DC1096" s="4"/>
      <c r="DD1096" s="4"/>
      <c r="DE1096" s="4"/>
      <c r="DF1096" s="4"/>
      <c r="DG1096" s="4"/>
      <c r="DH1096" s="4"/>
      <c r="DI1096" s="4"/>
      <c r="DJ1096" s="4"/>
      <c r="DK1096" s="4"/>
      <c r="DL1096" s="4"/>
    </row>
    <row r="1097" spans="1:116" s="15" customFormat="1" x14ac:dyDescent="0.25">
      <c r="A1097" s="16"/>
      <c r="B1097" s="16"/>
      <c r="C1097" s="16"/>
      <c r="D1097" s="98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/>
      <c r="AT1097" s="14"/>
      <c r="AU1097" s="14"/>
      <c r="AV1097" s="14"/>
      <c r="AW1097" s="14"/>
      <c r="AX1097" s="14"/>
      <c r="AY1097" s="14"/>
      <c r="AZ1097" s="14"/>
      <c r="BA1097" s="14"/>
      <c r="BB1097" s="14"/>
      <c r="BC1097" s="14"/>
      <c r="BD1097" s="14"/>
      <c r="BE1097" s="14"/>
      <c r="BF1097" s="14"/>
      <c r="BG1097" s="14"/>
      <c r="BH1097" s="14"/>
      <c r="BI1097" s="14"/>
      <c r="BJ1097" s="14"/>
      <c r="BK1097" s="14"/>
      <c r="BL1097" s="14"/>
      <c r="BM1097" s="14"/>
      <c r="BN1097" s="14"/>
      <c r="BO1097" s="14"/>
      <c r="BP1097" s="14"/>
      <c r="BQ1097" s="14"/>
      <c r="BR1097" s="14"/>
      <c r="BS1097" s="14"/>
      <c r="BT1097" s="14"/>
      <c r="BU1097" s="14"/>
      <c r="BV1097" s="14"/>
      <c r="BW1097" s="14"/>
      <c r="BX1097" s="14"/>
      <c r="BY1097" s="14"/>
      <c r="BZ1097" s="14"/>
      <c r="CA1097" s="14"/>
      <c r="CB1097" s="14"/>
      <c r="CC1097" s="14"/>
      <c r="CD1097" s="14"/>
      <c r="CE1097" s="14"/>
      <c r="CF1097" s="14"/>
      <c r="CG1097" s="4"/>
      <c r="CH1097" s="4"/>
      <c r="CI1097" s="4"/>
      <c r="CJ1097" s="4"/>
      <c r="CK1097" s="4"/>
      <c r="CL1097" s="4"/>
      <c r="CM1097" s="4"/>
      <c r="CN1097" s="4"/>
      <c r="CO1097" s="4"/>
      <c r="CP1097" s="4"/>
      <c r="CQ1097" s="4"/>
      <c r="CR1097" s="4"/>
      <c r="CS1097" s="4"/>
      <c r="CT1097" s="4"/>
      <c r="CU1097" s="4"/>
      <c r="CV1097" s="4"/>
      <c r="CW1097" s="4"/>
      <c r="CX1097" s="4"/>
      <c r="CY1097" s="4"/>
      <c r="CZ1097" s="4"/>
      <c r="DA1097" s="4"/>
      <c r="DB1097" s="4"/>
      <c r="DC1097" s="4"/>
      <c r="DD1097" s="4"/>
      <c r="DE1097" s="4"/>
      <c r="DF1097" s="4"/>
      <c r="DG1097" s="4"/>
      <c r="DH1097" s="4"/>
      <c r="DI1097" s="4"/>
      <c r="DJ1097" s="4"/>
      <c r="DK1097" s="4"/>
      <c r="DL1097" s="4"/>
    </row>
    <row r="1098" spans="1:116" s="15" customFormat="1" x14ac:dyDescent="0.25">
      <c r="A1098" s="16"/>
      <c r="B1098" s="16"/>
      <c r="C1098" s="16"/>
      <c r="D1098" s="98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/>
      <c r="AT1098" s="14"/>
      <c r="AU1098" s="14"/>
      <c r="AV1098" s="14"/>
      <c r="AW1098" s="14"/>
      <c r="AX1098" s="14"/>
      <c r="AY1098" s="14"/>
      <c r="AZ1098" s="14"/>
      <c r="BA1098" s="14"/>
      <c r="BB1098" s="14"/>
      <c r="BC1098" s="14"/>
      <c r="BD1098" s="14"/>
      <c r="BE1098" s="14"/>
      <c r="BF1098" s="14"/>
      <c r="BG1098" s="14"/>
      <c r="BH1098" s="14"/>
      <c r="BI1098" s="14"/>
      <c r="BJ1098" s="14"/>
      <c r="BK1098" s="14"/>
      <c r="BL1098" s="14"/>
      <c r="BM1098" s="14"/>
      <c r="BN1098" s="14"/>
      <c r="BO1098" s="14"/>
      <c r="BP1098" s="14"/>
      <c r="BQ1098" s="14"/>
      <c r="BR1098" s="14"/>
      <c r="BS1098" s="14"/>
      <c r="BT1098" s="14"/>
      <c r="BU1098" s="14"/>
      <c r="BV1098" s="14"/>
      <c r="BW1098" s="14"/>
      <c r="BX1098" s="14"/>
      <c r="BY1098" s="14"/>
      <c r="BZ1098" s="14"/>
      <c r="CA1098" s="14"/>
      <c r="CB1098" s="14"/>
      <c r="CC1098" s="14"/>
      <c r="CD1098" s="14"/>
      <c r="CE1098" s="14"/>
      <c r="CF1098" s="14"/>
      <c r="CG1098" s="4"/>
      <c r="CH1098" s="4"/>
      <c r="CI1098" s="4"/>
      <c r="CJ1098" s="4"/>
      <c r="CK1098" s="4"/>
      <c r="CL1098" s="4"/>
      <c r="CM1098" s="4"/>
      <c r="CN1098" s="4"/>
      <c r="CO1098" s="4"/>
      <c r="CP1098" s="4"/>
      <c r="CQ1098" s="4"/>
      <c r="CR1098" s="4"/>
      <c r="CS1098" s="4"/>
      <c r="CT1098" s="4"/>
      <c r="CU1098" s="4"/>
      <c r="CV1098" s="4"/>
      <c r="CW1098" s="4"/>
      <c r="CX1098" s="4"/>
      <c r="CY1098" s="4"/>
      <c r="CZ1098" s="4"/>
      <c r="DA1098" s="4"/>
      <c r="DB1098" s="4"/>
      <c r="DC1098" s="4"/>
      <c r="DD1098" s="4"/>
      <c r="DE1098" s="4"/>
      <c r="DF1098" s="4"/>
      <c r="DG1098" s="4"/>
      <c r="DH1098" s="4"/>
      <c r="DI1098" s="4"/>
      <c r="DJ1098" s="4"/>
      <c r="DK1098" s="4"/>
      <c r="DL1098" s="4"/>
    </row>
    <row r="1099" spans="1:116" s="15" customFormat="1" x14ac:dyDescent="0.25">
      <c r="A1099" s="16"/>
      <c r="B1099" s="16"/>
      <c r="C1099" s="16"/>
      <c r="D1099" s="98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/>
      <c r="AT1099" s="14"/>
      <c r="AU1099" s="14"/>
      <c r="AV1099" s="14"/>
      <c r="AW1099" s="14"/>
      <c r="AX1099" s="14"/>
      <c r="AY1099" s="14"/>
      <c r="AZ1099" s="14"/>
      <c r="BA1099" s="14"/>
      <c r="BB1099" s="14"/>
      <c r="BC1099" s="14"/>
      <c r="BD1099" s="14"/>
      <c r="BE1099" s="14"/>
      <c r="BF1099" s="14"/>
      <c r="BG1099" s="14"/>
      <c r="BH1099" s="14"/>
      <c r="BI1099" s="14"/>
      <c r="BJ1099" s="14"/>
      <c r="BK1099" s="14"/>
      <c r="BL1099" s="14"/>
      <c r="BM1099" s="14"/>
      <c r="BN1099" s="14"/>
      <c r="BO1099" s="14"/>
      <c r="BP1099" s="14"/>
      <c r="BQ1099" s="14"/>
      <c r="BR1099" s="14"/>
      <c r="BS1099" s="14"/>
      <c r="BT1099" s="14"/>
      <c r="BU1099" s="14"/>
      <c r="BV1099" s="14"/>
      <c r="BW1099" s="14"/>
      <c r="BX1099" s="14"/>
      <c r="BY1099" s="14"/>
      <c r="BZ1099" s="14"/>
      <c r="CA1099" s="14"/>
      <c r="CB1099" s="14"/>
      <c r="CC1099" s="14"/>
      <c r="CD1099" s="14"/>
      <c r="CE1099" s="14"/>
      <c r="CF1099" s="14"/>
      <c r="CG1099" s="4"/>
      <c r="CH1099" s="4"/>
      <c r="CI1099" s="4"/>
      <c r="CJ1099" s="4"/>
      <c r="CK1099" s="4"/>
      <c r="CL1099" s="4"/>
      <c r="CM1099" s="4"/>
      <c r="CN1099" s="4"/>
      <c r="CO1099" s="4"/>
      <c r="CP1099" s="4"/>
      <c r="CQ1099" s="4"/>
      <c r="CR1099" s="4"/>
      <c r="CS1099" s="4"/>
      <c r="CT1099" s="4"/>
      <c r="CU1099" s="4"/>
      <c r="CV1099" s="4"/>
      <c r="CW1099" s="4"/>
      <c r="CX1099" s="4"/>
      <c r="CY1099" s="4"/>
      <c r="CZ1099" s="4"/>
      <c r="DA1099" s="4"/>
      <c r="DB1099" s="4"/>
      <c r="DC1099" s="4"/>
      <c r="DD1099" s="4"/>
      <c r="DE1099" s="4"/>
      <c r="DF1099" s="4"/>
      <c r="DG1099" s="4"/>
      <c r="DH1099" s="4"/>
      <c r="DI1099" s="4"/>
      <c r="DJ1099" s="4"/>
      <c r="DK1099" s="4"/>
      <c r="DL1099" s="4"/>
    </row>
    <row r="1100" spans="1:116" s="15" customFormat="1" x14ac:dyDescent="0.25">
      <c r="A1100" s="16"/>
      <c r="B1100" s="16"/>
      <c r="C1100" s="16"/>
      <c r="D1100" s="98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/>
      <c r="AT1100" s="14"/>
      <c r="AU1100" s="14"/>
      <c r="AV1100" s="14"/>
      <c r="AW1100" s="14"/>
      <c r="AX1100" s="14"/>
      <c r="AY1100" s="14"/>
      <c r="AZ1100" s="14"/>
      <c r="BA1100" s="14"/>
      <c r="BB1100" s="14"/>
      <c r="BC1100" s="14"/>
      <c r="BD1100" s="14"/>
      <c r="BE1100" s="14"/>
      <c r="BF1100" s="14"/>
      <c r="BG1100" s="14"/>
      <c r="BH1100" s="14"/>
      <c r="BI1100" s="14"/>
      <c r="BJ1100" s="14"/>
      <c r="BK1100" s="14"/>
      <c r="BL1100" s="14"/>
      <c r="BM1100" s="14"/>
      <c r="BN1100" s="14"/>
      <c r="BO1100" s="14"/>
      <c r="BP1100" s="14"/>
      <c r="BQ1100" s="14"/>
      <c r="BR1100" s="14"/>
      <c r="BS1100" s="14"/>
      <c r="BT1100" s="14"/>
      <c r="BU1100" s="14"/>
      <c r="BV1100" s="14"/>
      <c r="BW1100" s="14"/>
      <c r="BX1100" s="14"/>
      <c r="BY1100" s="14"/>
      <c r="BZ1100" s="14"/>
      <c r="CA1100" s="14"/>
      <c r="CB1100" s="14"/>
      <c r="CC1100" s="14"/>
      <c r="CD1100" s="14"/>
      <c r="CE1100" s="14"/>
      <c r="CF1100" s="14"/>
      <c r="CG1100" s="4"/>
      <c r="CH1100" s="4"/>
      <c r="CI1100" s="4"/>
      <c r="CJ1100" s="4"/>
      <c r="CK1100" s="4"/>
      <c r="CL1100" s="4"/>
      <c r="CM1100" s="4"/>
      <c r="CN1100" s="4"/>
      <c r="CO1100" s="4"/>
      <c r="CP1100" s="4"/>
      <c r="CQ1100" s="4"/>
      <c r="CR1100" s="4"/>
      <c r="CS1100" s="4"/>
      <c r="CT1100" s="4"/>
      <c r="CU1100" s="4"/>
      <c r="CV1100" s="4"/>
      <c r="CW1100" s="4"/>
      <c r="CX1100" s="4"/>
      <c r="CY1100" s="4"/>
      <c r="CZ1100" s="4"/>
      <c r="DA1100" s="4"/>
      <c r="DB1100" s="4"/>
      <c r="DC1100" s="4"/>
      <c r="DD1100" s="4"/>
      <c r="DE1100" s="4"/>
      <c r="DF1100" s="4"/>
      <c r="DG1100" s="4"/>
      <c r="DH1100" s="4"/>
      <c r="DI1100" s="4"/>
      <c r="DJ1100" s="4"/>
      <c r="DK1100" s="4"/>
      <c r="DL1100" s="4"/>
    </row>
    <row r="1101" spans="1:116" s="15" customFormat="1" x14ac:dyDescent="0.25">
      <c r="A1101" s="16"/>
      <c r="B1101" s="16"/>
      <c r="C1101" s="16"/>
      <c r="D1101" s="98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/>
      <c r="AT1101" s="14"/>
      <c r="AU1101" s="14"/>
      <c r="AV1101" s="14"/>
      <c r="AW1101" s="14"/>
      <c r="AX1101" s="14"/>
      <c r="AY1101" s="14"/>
      <c r="AZ1101" s="14"/>
      <c r="BA1101" s="14"/>
      <c r="BB1101" s="14"/>
      <c r="BC1101" s="14"/>
      <c r="BD1101" s="14"/>
      <c r="BE1101" s="14"/>
      <c r="BF1101" s="14"/>
      <c r="BG1101" s="14"/>
      <c r="BH1101" s="14"/>
      <c r="BI1101" s="14"/>
      <c r="BJ1101" s="14"/>
      <c r="BK1101" s="14"/>
      <c r="BL1101" s="14"/>
      <c r="BM1101" s="14"/>
      <c r="BN1101" s="14"/>
      <c r="BO1101" s="14"/>
      <c r="BP1101" s="14"/>
      <c r="BQ1101" s="14"/>
      <c r="BR1101" s="14"/>
      <c r="BS1101" s="14"/>
      <c r="BT1101" s="14"/>
      <c r="BU1101" s="14"/>
      <c r="BV1101" s="14"/>
      <c r="BW1101" s="14"/>
      <c r="BX1101" s="14"/>
      <c r="BY1101" s="14"/>
      <c r="BZ1101" s="14"/>
      <c r="CA1101" s="14"/>
      <c r="CB1101" s="14"/>
      <c r="CC1101" s="14"/>
      <c r="CD1101" s="14"/>
      <c r="CE1101" s="14"/>
      <c r="CF1101" s="14"/>
      <c r="CG1101" s="4"/>
      <c r="CH1101" s="4"/>
      <c r="CI1101" s="4"/>
      <c r="CJ1101" s="4"/>
      <c r="CK1101" s="4"/>
      <c r="CL1101" s="4"/>
      <c r="CM1101" s="4"/>
      <c r="CN1101" s="4"/>
      <c r="CO1101" s="4"/>
      <c r="CP1101" s="4"/>
      <c r="CQ1101" s="4"/>
      <c r="CR1101" s="4"/>
      <c r="CS1101" s="4"/>
      <c r="CT1101" s="4"/>
      <c r="CU1101" s="4"/>
      <c r="CV1101" s="4"/>
      <c r="CW1101" s="4"/>
      <c r="CX1101" s="4"/>
      <c r="CY1101" s="4"/>
      <c r="CZ1101" s="4"/>
      <c r="DA1101" s="4"/>
      <c r="DB1101" s="4"/>
      <c r="DC1101" s="4"/>
      <c r="DD1101" s="4"/>
      <c r="DE1101" s="4"/>
      <c r="DF1101" s="4"/>
      <c r="DG1101" s="4"/>
      <c r="DH1101" s="4"/>
      <c r="DI1101" s="4"/>
      <c r="DJ1101" s="4"/>
      <c r="DK1101" s="4"/>
      <c r="DL1101" s="4"/>
    </row>
    <row r="1102" spans="1:116" s="15" customFormat="1" x14ac:dyDescent="0.25">
      <c r="A1102" s="16"/>
      <c r="B1102" s="16"/>
      <c r="C1102" s="16"/>
      <c r="D1102" s="98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4"/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/>
      <c r="AT1102" s="14"/>
      <c r="AU1102" s="14"/>
      <c r="AV1102" s="14"/>
      <c r="AW1102" s="14"/>
      <c r="AX1102" s="14"/>
      <c r="AY1102" s="14"/>
      <c r="AZ1102" s="14"/>
      <c r="BA1102" s="14"/>
      <c r="BB1102" s="14"/>
      <c r="BC1102" s="14"/>
      <c r="BD1102" s="14"/>
      <c r="BE1102" s="14"/>
      <c r="BF1102" s="14"/>
      <c r="BG1102" s="14"/>
      <c r="BH1102" s="14"/>
      <c r="BI1102" s="14"/>
      <c r="BJ1102" s="14"/>
      <c r="BK1102" s="14"/>
      <c r="BL1102" s="14"/>
      <c r="BM1102" s="14"/>
      <c r="BN1102" s="14"/>
      <c r="BO1102" s="14"/>
      <c r="BP1102" s="14"/>
      <c r="BQ1102" s="14"/>
      <c r="BR1102" s="14"/>
      <c r="BS1102" s="14"/>
      <c r="BT1102" s="14"/>
      <c r="BU1102" s="14"/>
      <c r="BV1102" s="14"/>
      <c r="BW1102" s="14"/>
      <c r="BX1102" s="14"/>
      <c r="BY1102" s="14"/>
      <c r="BZ1102" s="14"/>
      <c r="CA1102" s="14"/>
      <c r="CB1102" s="14"/>
      <c r="CC1102" s="14"/>
      <c r="CD1102" s="14"/>
      <c r="CE1102" s="14"/>
      <c r="CF1102" s="14"/>
      <c r="CG1102" s="4"/>
      <c r="CH1102" s="4"/>
      <c r="CI1102" s="4"/>
      <c r="CJ1102" s="4"/>
      <c r="CK1102" s="4"/>
      <c r="CL1102" s="4"/>
      <c r="CM1102" s="4"/>
      <c r="CN1102" s="4"/>
      <c r="CO1102" s="4"/>
      <c r="CP1102" s="4"/>
      <c r="CQ1102" s="4"/>
      <c r="CR1102" s="4"/>
      <c r="CS1102" s="4"/>
      <c r="CT1102" s="4"/>
      <c r="CU1102" s="4"/>
      <c r="CV1102" s="4"/>
      <c r="CW1102" s="4"/>
      <c r="CX1102" s="4"/>
      <c r="CY1102" s="4"/>
      <c r="CZ1102" s="4"/>
      <c r="DA1102" s="4"/>
      <c r="DB1102" s="4"/>
      <c r="DC1102" s="4"/>
      <c r="DD1102" s="4"/>
      <c r="DE1102" s="4"/>
      <c r="DF1102" s="4"/>
      <c r="DG1102" s="4"/>
      <c r="DH1102" s="4"/>
      <c r="DI1102" s="4"/>
      <c r="DJ1102" s="4"/>
      <c r="DK1102" s="4"/>
      <c r="DL1102" s="4"/>
    </row>
    <row r="1103" spans="1:116" s="15" customFormat="1" x14ac:dyDescent="0.25">
      <c r="A1103" s="16"/>
      <c r="B1103" s="16"/>
      <c r="C1103" s="16"/>
      <c r="D1103" s="98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/>
      <c r="AT1103" s="14"/>
      <c r="AU1103" s="14"/>
      <c r="AV1103" s="14"/>
      <c r="AW1103" s="14"/>
      <c r="AX1103" s="14"/>
      <c r="AY1103" s="14"/>
      <c r="AZ1103" s="14"/>
      <c r="BA1103" s="14"/>
      <c r="BB1103" s="14"/>
      <c r="BC1103" s="14"/>
      <c r="BD1103" s="14"/>
      <c r="BE1103" s="14"/>
      <c r="BF1103" s="14"/>
      <c r="BG1103" s="14"/>
      <c r="BH1103" s="14"/>
      <c r="BI1103" s="14"/>
      <c r="BJ1103" s="14"/>
      <c r="BK1103" s="14"/>
      <c r="BL1103" s="14"/>
      <c r="BM1103" s="14"/>
      <c r="BN1103" s="14"/>
      <c r="BO1103" s="14"/>
      <c r="BP1103" s="14"/>
      <c r="BQ1103" s="14"/>
      <c r="BR1103" s="14"/>
      <c r="BS1103" s="14"/>
      <c r="BT1103" s="14"/>
      <c r="BU1103" s="14"/>
      <c r="BV1103" s="14"/>
      <c r="BW1103" s="14"/>
      <c r="BX1103" s="14"/>
      <c r="BY1103" s="14"/>
      <c r="BZ1103" s="14"/>
      <c r="CA1103" s="14"/>
      <c r="CB1103" s="14"/>
      <c r="CC1103" s="14"/>
      <c r="CD1103" s="14"/>
      <c r="CE1103" s="14"/>
      <c r="CF1103" s="14"/>
      <c r="CG1103" s="4"/>
      <c r="CH1103" s="4"/>
      <c r="CI1103" s="4"/>
      <c r="CJ1103" s="4"/>
      <c r="CK1103" s="4"/>
      <c r="CL1103" s="4"/>
      <c r="CM1103" s="4"/>
      <c r="CN1103" s="4"/>
      <c r="CO1103" s="4"/>
      <c r="CP1103" s="4"/>
      <c r="CQ1103" s="4"/>
      <c r="CR1103" s="4"/>
      <c r="CS1103" s="4"/>
      <c r="CT1103" s="4"/>
      <c r="CU1103" s="4"/>
      <c r="CV1103" s="4"/>
      <c r="CW1103" s="4"/>
      <c r="CX1103" s="4"/>
      <c r="CY1103" s="4"/>
      <c r="CZ1103" s="4"/>
      <c r="DA1103" s="4"/>
      <c r="DB1103" s="4"/>
      <c r="DC1103" s="4"/>
      <c r="DD1103" s="4"/>
      <c r="DE1103" s="4"/>
      <c r="DF1103" s="4"/>
      <c r="DG1103" s="4"/>
      <c r="DH1103" s="4"/>
      <c r="DI1103" s="4"/>
      <c r="DJ1103" s="4"/>
      <c r="DK1103" s="4"/>
      <c r="DL1103" s="4"/>
    </row>
    <row r="1104" spans="1:116" s="15" customFormat="1" x14ac:dyDescent="0.25">
      <c r="A1104" s="16"/>
      <c r="B1104" s="16"/>
      <c r="C1104" s="16"/>
      <c r="D1104" s="98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/>
      <c r="AT1104" s="14"/>
      <c r="AU1104" s="14"/>
      <c r="AV1104" s="14"/>
      <c r="AW1104" s="14"/>
      <c r="AX1104" s="14"/>
      <c r="AY1104" s="14"/>
      <c r="AZ1104" s="14"/>
      <c r="BA1104" s="14"/>
      <c r="BB1104" s="14"/>
      <c r="BC1104" s="14"/>
      <c r="BD1104" s="14"/>
      <c r="BE1104" s="14"/>
      <c r="BF1104" s="14"/>
      <c r="BG1104" s="14"/>
      <c r="BH1104" s="14"/>
      <c r="BI1104" s="14"/>
      <c r="BJ1104" s="14"/>
      <c r="BK1104" s="14"/>
      <c r="BL1104" s="14"/>
      <c r="BM1104" s="14"/>
      <c r="BN1104" s="14"/>
      <c r="BO1104" s="14"/>
      <c r="BP1104" s="14"/>
      <c r="BQ1104" s="14"/>
      <c r="BR1104" s="14"/>
      <c r="BS1104" s="14"/>
      <c r="BT1104" s="14"/>
      <c r="BU1104" s="14"/>
      <c r="BV1104" s="14"/>
      <c r="BW1104" s="14"/>
      <c r="BX1104" s="14"/>
      <c r="BY1104" s="14"/>
      <c r="BZ1104" s="14"/>
      <c r="CA1104" s="14"/>
      <c r="CB1104" s="14"/>
      <c r="CC1104" s="14"/>
      <c r="CD1104" s="14"/>
      <c r="CE1104" s="14"/>
      <c r="CF1104" s="14"/>
      <c r="CG1104" s="4"/>
      <c r="CH1104" s="4"/>
      <c r="CI1104" s="4"/>
      <c r="CJ1104" s="4"/>
      <c r="CK1104" s="4"/>
      <c r="CL1104" s="4"/>
      <c r="CM1104" s="4"/>
      <c r="CN1104" s="4"/>
      <c r="CO1104" s="4"/>
      <c r="CP1104" s="4"/>
      <c r="CQ1104" s="4"/>
      <c r="CR1104" s="4"/>
      <c r="CS1104" s="4"/>
      <c r="CT1104" s="4"/>
      <c r="CU1104" s="4"/>
      <c r="CV1104" s="4"/>
      <c r="CW1104" s="4"/>
      <c r="CX1104" s="4"/>
      <c r="CY1104" s="4"/>
      <c r="CZ1104" s="4"/>
      <c r="DA1104" s="4"/>
      <c r="DB1104" s="4"/>
      <c r="DC1104" s="4"/>
      <c r="DD1104" s="4"/>
      <c r="DE1104" s="4"/>
      <c r="DF1104" s="4"/>
      <c r="DG1104" s="4"/>
      <c r="DH1104" s="4"/>
      <c r="DI1104" s="4"/>
      <c r="DJ1104" s="4"/>
      <c r="DK1104" s="4"/>
      <c r="DL1104" s="4"/>
    </row>
    <row r="1105" spans="1:116" s="15" customFormat="1" x14ac:dyDescent="0.25">
      <c r="A1105" s="16"/>
      <c r="B1105" s="16"/>
      <c r="C1105" s="16"/>
      <c r="D1105" s="98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4"/>
      <c r="AJ1105" s="14"/>
      <c r="AK1105" s="14"/>
      <c r="AL1105" s="14"/>
      <c r="AM1105" s="14"/>
      <c r="AN1105" s="14"/>
      <c r="AO1105" s="14"/>
      <c r="AP1105" s="14"/>
      <c r="AQ1105" s="14"/>
      <c r="AR1105" s="14"/>
      <c r="AS1105" s="14"/>
      <c r="AT1105" s="14"/>
      <c r="AU1105" s="14"/>
      <c r="AV1105" s="14"/>
      <c r="AW1105" s="14"/>
      <c r="AX1105" s="14"/>
      <c r="AY1105" s="14"/>
      <c r="AZ1105" s="14"/>
      <c r="BA1105" s="14"/>
      <c r="BB1105" s="14"/>
      <c r="BC1105" s="14"/>
      <c r="BD1105" s="14"/>
      <c r="BE1105" s="14"/>
      <c r="BF1105" s="14"/>
      <c r="BG1105" s="14"/>
      <c r="BH1105" s="14"/>
      <c r="BI1105" s="14"/>
      <c r="BJ1105" s="14"/>
      <c r="BK1105" s="14"/>
      <c r="BL1105" s="14"/>
      <c r="BM1105" s="14"/>
      <c r="BN1105" s="14"/>
      <c r="BO1105" s="14"/>
      <c r="BP1105" s="14"/>
      <c r="BQ1105" s="14"/>
      <c r="BR1105" s="14"/>
      <c r="BS1105" s="14"/>
      <c r="BT1105" s="14"/>
      <c r="BU1105" s="14"/>
      <c r="BV1105" s="14"/>
      <c r="BW1105" s="14"/>
      <c r="BX1105" s="14"/>
      <c r="BY1105" s="14"/>
      <c r="BZ1105" s="14"/>
      <c r="CA1105" s="14"/>
      <c r="CB1105" s="14"/>
      <c r="CC1105" s="14"/>
      <c r="CD1105" s="14"/>
      <c r="CE1105" s="14"/>
      <c r="CF1105" s="14"/>
      <c r="CG1105" s="4"/>
      <c r="CH1105" s="4"/>
      <c r="CI1105" s="4"/>
      <c r="CJ1105" s="4"/>
      <c r="CK1105" s="4"/>
      <c r="CL1105" s="4"/>
      <c r="CM1105" s="4"/>
      <c r="CN1105" s="4"/>
      <c r="CO1105" s="4"/>
      <c r="CP1105" s="4"/>
      <c r="CQ1105" s="4"/>
      <c r="CR1105" s="4"/>
      <c r="CS1105" s="4"/>
      <c r="CT1105" s="4"/>
      <c r="CU1105" s="4"/>
      <c r="CV1105" s="4"/>
      <c r="CW1105" s="4"/>
      <c r="CX1105" s="4"/>
      <c r="CY1105" s="4"/>
      <c r="CZ1105" s="4"/>
      <c r="DA1105" s="4"/>
      <c r="DB1105" s="4"/>
      <c r="DC1105" s="4"/>
      <c r="DD1105" s="4"/>
      <c r="DE1105" s="4"/>
      <c r="DF1105" s="4"/>
      <c r="DG1105" s="4"/>
      <c r="DH1105" s="4"/>
      <c r="DI1105" s="4"/>
      <c r="DJ1105" s="4"/>
      <c r="DK1105" s="4"/>
      <c r="DL1105" s="4"/>
    </row>
    <row r="1106" spans="1:116" s="15" customFormat="1" x14ac:dyDescent="0.25">
      <c r="A1106" s="16"/>
      <c r="B1106" s="16"/>
      <c r="C1106" s="16"/>
      <c r="D1106" s="98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/>
      <c r="AT1106" s="14"/>
      <c r="AU1106" s="14"/>
      <c r="AV1106" s="14"/>
      <c r="AW1106" s="14"/>
      <c r="AX1106" s="14"/>
      <c r="AY1106" s="14"/>
      <c r="AZ1106" s="14"/>
      <c r="BA1106" s="14"/>
      <c r="BB1106" s="14"/>
      <c r="BC1106" s="14"/>
      <c r="BD1106" s="14"/>
      <c r="BE1106" s="14"/>
      <c r="BF1106" s="14"/>
      <c r="BG1106" s="14"/>
      <c r="BH1106" s="14"/>
      <c r="BI1106" s="14"/>
      <c r="BJ1106" s="14"/>
      <c r="BK1106" s="14"/>
      <c r="BL1106" s="14"/>
      <c r="BM1106" s="14"/>
      <c r="BN1106" s="14"/>
      <c r="BO1106" s="14"/>
      <c r="BP1106" s="14"/>
      <c r="BQ1106" s="14"/>
      <c r="BR1106" s="14"/>
      <c r="BS1106" s="14"/>
      <c r="BT1106" s="14"/>
      <c r="BU1106" s="14"/>
      <c r="BV1106" s="14"/>
      <c r="BW1106" s="14"/>
      <c r="BX1106" s="14"/>
      <c r="BY1106" s="14"/>
      <c r="BZ1106" s="14"/>
      <c r="CA1106" s="14"/>
      <c r="CB1106" s="14"/>
      <c r="CC1106" s="14"/>
      <c r="CD1106" s="14"/>
      <c r="CE1106" s="14"/>
      <c r="CF1106" s="14"/>
      <c r="CG1106" s="4"/>
      <c r="CH1106" s="4"/>
      <c r="CI1106" s="4"/>
      <c r="CJ1106" s="4"/>
      <c r="CK1106" s="4"/>
      <c r="CL1106" s="4"/>
      <c r="CM1106" s="4"/>
      <c r="CN1106" s="4"/>
      <c r="CO1106" s="4"/>
      <c r="CP1106" s="4"/>
      <c r="CQ1106" s="4"/>
      <c r="CR1106" s="4"/>
      <c r="CS1106" s="4"/>
      <c r="CT1106" s="4"/>
      <c r="CU1106" s="4"/>
      <c r="CV1106" s="4"/>
      <c r="CW1106" s="4"/>
      <c r="CX1106" s="4"/>
      <c r="CY1106" s="4"/>
      <c r="CZ1106" s="4"/>
      <c r="DA1106" s="4"/>
      <c r="DB1106" s="4"/>
      <c r="DC1106" s="4"/>
      <c r="DD1106" s="4"/>
      <c r="DE1106" s="4"/>
      <c r="DF1106" s="4"/>
      <c r="DG1106" s="4"/>
      <c r="DH1106" s="4"/>
      <c r="DI1106" s="4"/>
      <c r="DJ1106" s="4"/>
      <c r="DK1106" s="4"/>
      <c r="DL1106" s="4"/>
    </row>
    <row r="1107" spans="1:116" s="15" customFormat="1" x14ac:dyDescent="0.25">
      <c r="A1107" s="16"/>
      <c r="B1107" s="16"/>
      <c r="C1107" s="16"/>
      <c r="D1107" s="98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/>
      <c r="AT1107" s="14"/>
      <c r="AU1107" s="14"/>
      <c r="AV1107" s="14"/>
      <c r="AW1107" s="14"/>
      <c r="AX1107" s="14"/>
      <c r="AY1107" s="14"/>
      <c r="AZ1107" s="14"/>
      <c r="BA1107" s="14"/>
      <c r="BB1107" s="14"/>
      <c r="BC1107" s="14"/>
      <c r="BD1107" s="14"/>
      <c r="BE1107" s="14"/>
      <c r="BF1107" s="14"/>
      <c r="BG1107" s="14"/>
      <c r="BH1107" s="14"/>
      <c r="BI1107" s="14"/>
      <c r="BJ1107" s="14"/>
      <c r="BK1107" s="14"/>
      <c r="BL1107" s="14"/>
      <c r="BM1107" s="14"/>
      <c r="BN1107" s="14"/>
      <c r="BO1107" s="14"/>
      <c r="BP1107" s="14"/>
      <c r="BQ1107" s="14"/>
      <c r="BR1107" s="14"/>
      <c r="BS1107" s="14"/>
      <c r="BT1107" s="14"/>
      <c r="BU1107" s="14"/>
      <c r="BV1107" s="14"/>
      <c r="BW1107" s="14"/>
      <c r="BX1107" s="14"/>
      <c r="BY1107" s="14"/>
      <c r="BZ1107" s="14"/>
      <c r="CA1107" s="14"/>
      <c r="CB1107" s="14"/>
      <c r="CC1107" s="14"/>
      <c r="CD1107" s="14"/>
      <c r="CE1107" s="14"/>
      <c r="CF1107" s="14"/>
      <c r="CG1107" s="4"/>
      <c r="CH1107" s="4"/>
      <c r="CI1107" s="4"/>
      <c r="CJ1107" s="4"/>
      <c r="CK1107" s="4"/>
      <c r="CL1107" s="4"/>
      <c r="CM1107" s="4"/>
      <c r="CN1107" s="4"/>
      <c r="CO1107" s="4"/>
      <c r="CP1107" s="4"/>
      <c r="CQ1107" s="4"/>
      <c r="CR1107" s="4"/>
      <c r="CS1107" s="4"/>
      <c r="CT1107" s="4"/>
      <c r="CU1107" s="4"/>
      <c r="CV1107" s="4"/>
      <c r="CW1107" s="4"/>
      <c r="CX1107" s="4"/>
      <c r="CY1107" s="4"/>
      <c r="CZ1107" s="4"/>
      <c r="DA1107" s="4"/>
      <c r="DB1107" s="4"/>
      <c r="DC1107" s="4"/>
      <c r="DD1107" s="4"/>
      <c r="DE1107" s="4"/>
      <c r="DF1107" s="4"/>
      <c r="DG1107" s="4"/>
      <c r="DH1107" s="4"/>
      <c r="DI1107" s="4"/>
      <c r="DJ1107" s="4"/>
      <c r="DK1107" s="4"/>
      <c r="DL1107" s="4"/>
    </row>
    <row r="1108" spans="1:116" s="15" customFormat="1" x14ac:dyDescent="0.25">
      <c r="A1108" s="16"/>
      <c r="B1108" s="16"/>
      <c r="C1108" s="16"/>
      <c r="D1108" s="98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/>
      <c r="AT1108" s="14"/>
      <c r="AU1108" s="14"/>
      <c r="AV1108" s="14"/>
      <c r="AW1108" s="14"/>
      <c r="AX1108" s="14"/>
      <c r="AY1108" s="14"/>
      <c r="AZ1108" s="14"/>
      <c r="BA1108" s="14"/>
      <c r="BB1108" s="14"/>
      <c r="BC1108" s="14"/>
      <c r="BD1108" s="14"/>
      <c r="BE1108" s="14"/>
      <c r="BF1108" s="14"/>
      <c r="BG1108" s="14"/>
      <c r="BH1108" s="14"/>
      <c r="BI1108" s="14"/>
      <c r="BJ1108" s="14"/>
      <c r="BK1108" s="14"/>
      <c r="BL1108" s="14"/>
      <c r="BM1108" s="14"/>
      <c r="BN1108" s="14"/>
      <c r="BO1108" s="14"/>
      <c r="BP1108" s="14"/>
      <c r="BQ1108" s="14"/>
      <c r="BR1108" s="14"/>
      <c r="BS1108" s="14"/>
      <c r="BT1108" s="14"/>
      <c r="BU1108" s="14"/>
      <c r="BV1108" s="14"/>
      <c r="BW1108" s="14"/>
      <c r="BX1108" s="14"/>
      <c r="BY1108" s="14"/>
      <c r="BZ1108" s="14"/>
      <c r="CA1108" s="14"/>
      <c r="CB1108" s="14"/>
      <c r="CC1108" s="14"/>
      <c r="CD1108" s="14"/>
      <c r="CE1108" s="14"/>
      <c r="CF1108" s="14"/>
      <c r="CG1108" s="4"/>
      <c r="CH1108" s="4"/>
      <c r="CI1108" s="4"/>
      <c r="CJ1108" s="4"/>
      <c r="CK1108" s="4"/>
      <c r="CL1108" s="4"/>
      <c r="CM1108" s="4"/>
      <c r="CN1108" s="4"/>
      <c r="CO1108" s="4"/>
      <c r="CP1108" s="4"/>
      <c r="CQ1108" s="4"/>
      <c r="CR1108" s="4"/>
      <c r="CS1108" s="4"/>
      <c r="CT1108" s="4"/>
      <c r="CU1108" s="4"/>
      <c r="CV1108" s="4"/>
      <c r="CW1108" s="4"/>
      <c r="CX1108" s="4"/>
      <c r="CY1108" s="4"/>
      <c r="CZ1108" s="4"/>
      <c r="DA1108" s="4"/>
      <c r="DB1108" s="4"/>
      <c r="DC1108" s="4"/>
      <c r="DD1108" s="4"/>
      <c r="DE1108" s="4"/>
      <c r="DF1108" s="4"/>
      <c r="DG1108" s="4"/>
      <c r="DH1108" s="4"/>
      <c r="DI1108" s="4"/>
      <c r="DJ1108" s="4"/>
      <c r="DK1108" s="4"/>
      <c r="DL1108" s="4"/>
    </row>
    <row r="1109" spans="1:116" s="15" customFormat="1" x14ac:dyDescent="0.25">
      <c r="A1109" s="16"/>
      <c r="B1109" s="16"/>
      <c r="C1109" s="16"/>
      <c r="D1109" s="98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/>
      <c r="AT1109" s="14"/>
      <c r="AU1109" s="14"/>
      <c r="AV1109" s="14"/>
      <c r="AW1109" s="14"/>
      <c r="AX1109" s="14"/>
      <c r="AY1109" s="14"/>
      <c r="AZ1109" s="14"/>
      <c r="BA1109" s="14"/>
      <c r="BB1109" s="14"/>
      <c r="BC1109" s="14"/>
      <c r="BD1109" s="14"/>
      <c r="BE1109" s="14"/>
      <c r="BF1109" s="14"/>
      <c r="BG1109" s="14"/>
      <c r="BH1109" s="14"/>
      <c r="BI1109" s="14"/>
      <c r="BJ1109" s="14"/>
      <c r="BK1109" s="14"/>
      <c r="BL1109" s="14"/>
      <c r="BM1109" s="14"/>
      <c r="BN1109" s="14"/>
      <c r="BO1109" s="14"/>
      <c r="BP1109" s="14"/>
      <c r="BQ1109" s="14"/>
      <c r="BR1109" s="14"/>
      <c r="BS1109" s="14"/>
      <c r="BT1109" s="14"/>
      <c r="BU1109" s="14"/>
      <c r="BV1109" s="14"/>
      <c r="BW1109" s="14"/>
      <c r="BX1109" s="14"/>
      <c r="BY1109" s="14"/>
      <c r="BZ1109" s="14"/>
      <c r="CA1109" s="14"/>
      <c r="CB1109" s="14"/>
      <c r="CC1109" s="14"/>
      <c r="CD1109" s="14"/>
      <c r="CE1109" s="14"/>
      <c r="CF1109" s="14"/>
      <c r="CG1109" s="4"/>
      <c r="CH1109" s="4"/>
      <c r="CI1109" s="4"/>
      <c r="CJ1109" s="4"/>
      <c r="CK1109" s="4"/>
      <c r="CL1109" s="4"/>
      <c r="CM1109" s="4"/>
      <c r="CN1109" s="4"/>
      <c r="CO1109" s="4"/>
      <c r="CP1109" s="4"/>
      <c r="CQ1109" s="4"/>
      <c r="CR1109" s="4"/>
      <c r="CS1109" s="4"/>
      <c r="CT1109" s="4"/>
      <c r="CU1109" s="4"/>
      <c r="CV1109" s="4"/>
      <c r="CW1109" s="4"/>
      <c r="CX1109" s="4"/>
      <c r="CY1109" s="4"/>
      <c r="CZ1109" s="4"/>
      <c r="DA1109" s="4"/>
      <c r="DB1109" s="4"/>
      <c r="DC1109" s="4"/>
      <c r="DD1109" s="4"/>
      <c r="DE1109" s="4"/>
      <c r="DF1109" s="4"/>
      <c r="DG1109" s="4"/>
      <c r="DH1109" s="4"/>
      <c r="DI1109" s="4"/>
      <c r="DJ1109" s="4"/>
      <c r="DK1109" s="4"/>
      <c r="DL1109" s="4"/>
    </row>
    <row r="1110" spans="1:116" s="15" customFormat="1" x14ac:dyDescent="0.25">
      <c r="A1110" s="16"/>
      <c r="B1110" s="16"/>
      <c r="C1110" s="16"/>
      <c r="D1110" s="98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/>
      <c r="AT1110" s="14"/>
      <c r="AU1110" s="14"/>
      <c r="AV1110" s="14"/>
      <c r="AW1110" s="14"/>
      <c r="AX1110" s="14"/>
      <c r="AY1110" s="14"/>
      <c r="AZ1110" s="14"/>
      <c r="BA1110" s="14"/>
      <c r="BB1110" s="14"/>
      <c r="BC1110" s="14"/>
      <c r="BD1110" s="14"/>
      <c r="BE1110" s="14"/>
      <c r="BF1110" s="14"/>
      <c r="BG1110" s="14"/>
      <c r="BH1110" s="14"/>
      <c r="BI1110" s="14"/>
      <c r="BJ1110" s="14"/>
      <c r="BK1110" s="14"/>
      <c r="BL1110" s="14"/>
      <c r="BM1110" s="14"/>
      <c r="BN1110" s="14"/>
      <c r="BO1110" s="14"/>
      <c r="BP1110" s="14"/>
      <c r="BQ1110" s="14"/>
      <c r="BR1110" s="14"/>
      <c r="BS1110" s="14"/>
      <c r="BT1110" s="14"/>
      <c r="BU1110" s="14"/>
      <c r="BV1110" s="14"/>
      <c r="BW1110" s="14"/>
      <c r="BX1110" s="14"/>
      <c r="BY1110" s="14"/>
      <c r="BZ1110" s="14"/>
      <c r="CA1110" s="14"/>
      <c r="CB1110" s="14"/>
      <c r="CC1110" s="14"/>
      <c r="CD1110" s="14"/>
      <c r="CE1110" s="14"/>
      <c r="CF1110" s="14"/>
      <c r="CG1110" s="4"/>
      <c r="CH1110" s="4"/>
      <c r="CI1110" s="4"/>
      <c r="CJ1110" s="4"/>
      <c r="CK1110" s="4"/>
      <c r="CL1110" s="4"/>
      <c r="CM1110" s="4"/>
      <c r="CN1110" s="4"/>
      <c r="CO1110" s="4"/>
      <c r="CP1110" s="4"/>
      <c r="CQ1110" s="4"/>
      <c r="CR1110" s="4"/>
      <c r="CS1110" s="4"/>
      <c r="CT1110" s="4"/>
      <c r="CU1110" s="4"/>
      <c r="CV1110" s="4"/>
      <c r="CW1110" s="4"/>
      <c r="CX1110" s="4"/>
      <c r="CY1110" s="4"/>
      <c r="CZ1110" s="4"/>
      <c r="DA1110" s="4"/>
      <c r="DB1110" s="4"/>
      <c r="DC1110" s="4"/>
      <c r="DD1110" s="4"/>
      <c r="DE1110" s="4"/>
      <c r="DF1110" s="4"/>
      <c r="DG1110" s="4"/>
      <c r="DH1110" s="4"/>
      <c r="DI1110" s="4"/>
      <c r="DJ1110" s="4"/>
      <c r="DK1110" s="4"/>
      <c r="DL1110" s="4"/>
    </row>
    <row r="1111" spans="1:116" s="15" customFormat="1" x14ac:dyDescent="0.25">
      <c r="A1111" s="16"/>
      <c r="B1111" s="16"/>
      <c r="C1111" s="16"/>
      <c r="D1111" s="98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/>
      <c r="AT1111" s="14"/>
      <c r="AU1111" s="14"/>
      <c r="AV1111" s="14"/>
      <c r="AW1111" s="14"/>
      <c r="AX1111" s="14"/>
      <c r="AY1111" s="14"/>
      <c r="AZ1111" s="14"/>
      <c r="BA1111" s="14"/>
      <c r="BB1111" s="14"/>
      <c r="BC1111" s="14"/>
      <c r="BD1111" s="14"/>
      <c r="BE1111" s="14"/>
      <c r="BF1111" s="14"/>
      <c r="BG1111" s="14"/>
      <c r="BH1111" s="14"/>
      <c r="BI1111" s="14"/>
      <c r="BJ1111" s="14"/>
      <c r="BK1111" s="14"/>
      <c r="BL1111" s="14"/>
      <c r="BM1111" s="14"/>
      <c r="BN1111" s="14"/>
      <c r="BO1111" s="14"/>
      <c r="BP1111" s="14"/>
      <c r="BQ1111" s="14"/>
      <c r="BR1111" s="14"/>
      <c r="BS1111" s="14"/>
      <c r="BT1111" s="14"/>
      <c r="BU1111" s="14"/>
      <c r="BV1111" s="14"/>
      <c r="BW1111" s="14"/>
      <c r="BX1111" s="14"/>
      <c r="BY1111" s="14"/>
      <c r="BZ1111" s="14"/>
      <c r="CA1111" s="14"/>
      <c r="CB1111" s="14"/>
      <c r="CC1111" s="14"/>
      <c r="CD1111" s="14"/>
      <c r="CE1111" s="14"/>
      <c r="CF1111" s="14"/>
      <c r="CG1111" s="4"/>
      <c r="CH1111" s="4"/>
      <c r="CI1111" s="4"/>
      <c r="CJ1111" s="4"/>
      <c r="CK1111" s="4"/>
      <c r="CL1111" s="4"/>
      <c r="CM1111" s="4"/>
      <c r="CN1111" s="4"/>
      <c r="CO1111" s="4"/>
      <c r="CP1111" s="4"/>
      <c r="CQ1111" s="4"/>
      <c r="CR1111" s="4"/>
      <c r="CS1111" s="4"/>
      <c r="CT1111" s="4"/>
      <c r="CU1111" s="4"/>
      <c r="CV1111" s="4"/>
      <c r="CW1111" s="4"/>
      <c r="CX1111" s="4"/>
      <c r="CY1111" s="4"/>
      <c r="CZ1111" s="4"/>
      <c r="DA1111" s="4"/>
      <c r="DB1111" s="4"/>
      <c r="DC1111" s="4"/>
      <c r="DD1111" s="4"/>
      <c r="DE1111" s="4"/>
      <c r="DF1111" s="4"/>
      <c r="DG1111" s="4"/>
      <c r="DH1111" s="4"/>
      <c r="DI1111" s="4"/>
      <c r="DJ1111" s="4"/>
      <c r="DK1111" s="4"/>
      <c r="DL1111" s="4"/>
    </row>
    <row r="1112" spans="1:116" s="15" customFormat="1" x14ac:dyDescent="0.25">
      <c r="A1112" s="16"/>
      <c r="B1112" s="16"/>
      <c r="C1112" s="16"/>
      <c r="D1112" s="98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/>
      <c r="AT1112" s="14"/>
      <c r="AU1112" s="14"/>
      <c r="AV1112" s="14"/>
      <c r="AW1112" s="14"/>
      <c r="AX1112" s="14"/>
      <c r="AY1112" s="14"/>
      <c r="AZ1112" s="14"/>
      <c r="BA1112" s="14"/>
      <c r="BB1112" s="14"/>
      <c r="BC1112" s="14"/>
      <c r="BD1112" s="14"/>
      <c r="BE1112" s="14"/>
      <c r="BF1112" s="14"/>
      <c r="BG1112" s="14"/>
      <c r="BH1112" s="14"/>
      <c r="BI1112" s="14"/>
      <c r="BJ1112" s="14"/>
      <c r="BK1112" s="14"/>
      <c r="BL1112" s="14"/>
      <c r="BM1112" s="14"/>
      <c r="BN1112" s="14"/>
      <c r="BO1112" s="14"/>
      <c r="BP1112" s="14"/>
      <c r="BQ1112" s="14"/>
      <c r="BR1112" s="14"/>
      <c r="BS1112" s="14"/>
      <c r="BT1112" s="14"/>
      <c r="BU1112" s="14"/>
      <c r="BV1112" s="14"/>
      <c r="BW1112" s="14"/>
      <c r="BX1112" s="14"/>
      <c r="BY1112" s="14"/>
      <c r="BZ1112" s="14"/>
      <c r="CA1112" s="14"/>
      <c r="CB1112" s="14"/>
      <c r="CC1112" s="14"/>
      <c r="CD1112" s="14"/>
      <c r="CE1112" s="14"/>
      <c r="CF1112" s="14"/>
      <c r="CG1112" s="4"/>
      <c r="CH1112" s="4"/>
      <c r="CI1112" s="4"/>
      <c r="CJ1112" s="4"/>
      <c r="CK1112" s="4"/>
      <c r="CL1112" s="4"/>
      <c r="CM1112" s="4"/>
      <c r="CN1112" s="4"/>
      <c r="CO1112" s="4"/>
      <c r="CP1112" s="4"/>
      <c r="CQ1112" s="4"/>
      <c r="CR1112" s="4"/>
      <c r="CS1112" s="4"/>
      <c r="CT1112" s="4"/>
      <c r="CU1112" s="4"/>
      <c r="CV1112" s="4"/>
      <c r="CW1112" s="4"/>
      <c r="CX1112" s="4"/>
      <c r="CY1112" s="4"/>
      <c r="CZ1112" s="4"/>
      <c r="DA1112" s="4"/>
      <c r="DB1112" s="4"/>
      <c r="DC1112" s="4"/>
      <c r="DD1112" s="4"/>
      <c r="DE1112" s="4"/>
      <c r="DF1112" s="4"/>
      <c r="DG1112" s="4"/>
      <c r="DH1112" s="4"/>
      <c r="DI1112" s="4"/>
      <c r="DJ1112" s="4"/>
      <c r="DK1112" s="4"/>
      <c r="DL1112" s="4"/>
    </row>
    <row r="1113" spans="1:116" s="15" customFormat="1" x14ac:dyDescent="0.25">
      <c r="A1113" s="16"/>
      <c r="B1113" s="16"/>
      <c r="C1113" s="16"/>
      <c r="D1113" s="98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/>
      <c r="AT1113" s="14"/>
      <c r="AU1113" s="14"/>
      <c r="AV1113" s="14"/>
      <c r="AW1113" s="14"/>
      <c r="AX1113" s="14"/>
      <c r="AY1113" s="14"/>
      <c r="AZ1113" s="14"/>
      <c r="BA1113" s="14"/>
      <c r="BB1113" s="14"/>
      <c r="BC1113" s="14"/>
      <c r="BD1113" s="14"/>
      <c r="BE1113" s="14"/>
      <c r="BF1113" s="14"/>
      <c r="BG1113" s="14"/>
      <c r="BH1113" s="14"/>
      <c r="BI1113" s="14"/>
      <c r="BJ1113" s="14"/>
      <c r="BK1113" s="14"/>
      <c r="BL1113" s="14"/>
      <c r="BM1113" s="14"/>
      <c r="BN1113" s="14"/>
      <c r="BO1113" s="14"/>
      <c r="BP1113" s="14"/>
      <c r="BQ1113" s="14"/>
      <c r="BR1113" s="14"/>
      <c r="BS1113" s="14"/>
      <c r="BT1113" s="14"/>
      <c r="BU1113" s="14"/>
      <c r="BV1113" s="14"/>
      <c r="BW1113" s="14"/>
      <c r="BX1113" s="14"/>
      <c r="BY1113" s="14"/>
      <c r="BZ1113" s="14"/>
      <c r="CA1113" s="14"/>
      <c r="CB1113" s="14"/>
      <c r="CC1113" s="14"/>
      <c r="CD1113" s="14"/>
      <c r="CE1113" s="14"/>
      <c r="CF1113" s="14"/>
      <c r="CG1113" s="4"/>
      <c r="CH1113" s="4"/>
      <c r="CI1113" s="4"/>
      <c r="CJ1113" s="4"/>
      <c r="CK1113" s="4"/>
      <c r="CL1113" s="4"/>
      <c r="CM1113" s="4"/>
      <c r="CN1113" s="4"/>
      <c r="CO1113" s="4"/>
      <c r="CP1113" s="4"/>
      <c r="CQ1113" s="4"/>
      <c r="CR1113" s="4"/>
      <c r="CS1113" s="4"/>
      <c r="CT1113" s="4"/>
      <c r="CU1113" s="4"/>
      <c r="CV1113" s="4"/>
      <c r="CW1113" s="4"/>
      <c r="CX1113" s="4"/>
      <c r="CY1113" s="4"/>
      <c r="CZ1113" s="4"/>
      <c r="DA1113" s="4"/>
      <c r="DB1113" s="4"/>
      <c r="DC1113" s="4"/>
      <c r="DD1113" s="4"/>
      <c r="DE1113" s="4"/>
      <c r="DF1113" s="4"/>
      <c r="DG1113" s="4"/>
      <c r="DH1113" s="4"/>
      <c r="DI1113" s="4"/>
      <c r="DJ1113" s="4"/>
      <c r="DK1113" s="4"/>
      <c r="DL1113" s="4"/>
    </row>
    <row r="1114" spans="1:116" s="15" customFormat="1" x14ac:dyDescent="0.25">
      <c r="A1114" s="16"/>
      <c r="B1114" s="16"/>
      <c r="C1114" s="16"/>
      <c r="D1114" s="98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/>
      <c r="AT1114" s="14"/>
      <c r="AU1114" s="14"/>
      <c r="AV1114" s="14"/>
      <c r="AW1114" s="14"/>
      <c r="AX1114" s="14"/>
      <c r="AY1114" s="14"/>
      <c r="AZ1114" s="14"/>
      <c r="BA1114" s="14"/>
      <c r="BB1114" s="14"/>
      <c r="BC1114" s="14"/>
      <c r="BD1114" s="14"/>
      <c r="BE1114" s="14"/>
      <c r="BF1114" s="14"/>
      <c r="BG1114" s="14"/>
      <c r="BH1114" s="14"/>
      <c r="BI1114" s="14"/>
      <c r="BJ1114" s="14"/>
      <c r="BK1114" s="14"/>
      <c r="BL1114" s="14"/>
      <c r="BM1114" s="14"/>
      <c r="BN1114" s="14"/>
      <c r="BO1114" s="14"/>
      <c r="BP1114" s="14"/>
      <c r="BQ1114" s="14"/>
      <c r="BR1114" s="14"/>
      <c r="BS1114" s="14"/>
      <c r="BT1114" s="14"/>
      <c r="BU1114" s="14"/>
      <c r="BV1114" s="14"/>
      <c r="BW1114" s="14"/>
      <c r="BX1114" s="14"/>
      <c r="BY1114" s="14"/>
      <c r="BZ1114" s="14"/>
      <c r="CA1114" s="14"/>
      <c r="CB1114" s="14"/>
      <c r="CC1114" s="14"/>
      <c r="CD1114" s="14"/>
      <c r="CE1114" s="14"/>
      <c r="CF1114" s="14"/>
      <c r="CG1114" s="4"/>
      <c r="CH1114" s="4"/>
      <c r="CI1114" s="4"/>
      <c r="CJ1114" s="4"/>
      <c r="CK1114" s="4"/>
      <c r="CL1114" s="4"/>
      <c r="CM1114" s="4"/>
      <c r="CN1114" s="4"/>
      <c r="CO1114" s="4"/>
      <c r="CP1114" s="4"/>
      <c r="CQ1114" s="4"/>
      <c r="CR1114" s="4"/>
      <c r="CS1114" s="4"/>
      <c r="CT1114" s="4"/>
      <c r="CU1114" s="4"/>
      <c r="CV1114" s="4"/>
      <c r="CW1114" s="4"/>
      <c r="CX1114" s="4"/>
      <c r="CY1114" s="4"/>
      <c r="CZ1114" s="4"/>
      <c r="DA1114" s="4"/>
      <c r="DB1114" s="4"/>
      <c r="DC1114" s="4"/>
      <c r="DD1114" s="4"/>
      <c r="DE1114" s="4"/>
      <c r="DF1114" s="4"/>
      <c r="DG1114" s="4"/>
      <c r="DH1114" s="4"/>
      <c r="DI1114" s="4"/>
      <c r="DJ1114" s="4"/>
      <c r="DK1114" s="4"/>
      <c r="DL1114" s="4"/>
    </row>
    <row r="1115" spans="1:116" s="15" customFormat="1" x14ac:dyDescent="0.25">
      <c r="A1115" s="16"/>
      <c r="B1115" s="16"/>
      <c r="C1115" s="16"/>
      <c r="D1115" s="98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/>
      <c r="AT1115" s="14"/>
      <c r="AU1115" s="14"/>
      <c r="AV1115" s="14"/>
      <c r="AW1115" s="14"/>
      <c r="AX1115" s="14"/>
      <c r="AY1115" s="14"/>
      <c r="AZ1115" s="14"/>
      <c r="BA1115" s="14"/>
      <c r="BB1115" s="14"/>
      <c r="BC1115" s="14"/>
      <c r="BD1115" s="14"/>
      <c r="BE1115" s="14"/>
      <c r="BF1115" s="14"/>
      <c r="BG1115" s="14"/>
      <c r="BH1115" s="14"/>
      <c r="BI1115" s="14"/>
      <c r="BJ1115" s="14"/>
      <c r="BK1115" s="14"/>
      <c r="BL1115" s="14"/>
      <c r="BM1115" s="14"/>
      <c r="BN1115" s="14"/>
      <c r="BO1115" s="14"/>
      <c r="BP1115" s="14"/>
      <c r="BQ1115" s="14"/>
      <c r="BR1115" s="14"/>
      <c r="BS1115" s="14"/>
      <c r="BT1115" s="14"/>
      <c r="BU1115" s="14"/>
      <c r="BV1115" s="14"/>
      <c r="BW1115" s="14"/>
      <c r="BX1115" s="14"/>
      <c r="BY1115" s="14"/>
      <c r="BZ1115" s="14"/>
      <c r="CA1115" s="14"/>
      <c r="CB1115" s="14"/>
      <c r="CC1115" s="14"/>
      <c r="CD1115" s="14"/>
      <c r="CE1115" s="14"/>
      <c r="CF1115" s="14"/>
      <c r="CG1115" s="4"/>
      <c r="CH1115" s="4"/>
      <c r="CI1115" s="4"/>
      <c r="CJ1115" s="4"/>
      <c r="CK1115" s="4"/>
      <c r="CL1115" s="4"/>
      <c r="CM1115" s="4"/>
      <c r="CN1115" s="4"/>
      <c r="CO1115" s="4"/>
      <c r="CP1115" s="4"/>
      <c r="CQ1115" s="4"/>
      <c r="CR1115" s="4"/>
      <c r="CS1115" s="4"/>
      <c r="CT1115" s="4"/>
      <c r="CU1115" s="4"/>
      <c r="CV1115" s="4"/>
      <c r="CW1115" s="4"/>
      <c r="CX1115" s="4"/>
      <c r="CY1115" s="4"/>
      <c r="CZ1115" s="4"/>
      <c r="DA1115" s="4"/>
      <c r="DB1115" s="4"/>
      <c r="DC1115" s="4"/>
      <c r="DD1115" s="4"/>
      <c r="DE1115" s="4"/>
      <c r="DF1115" s="4"/>
      <c r="DG1115" s="4"/>
      <c r="DH1115" s="4"/>
      <c r="DI1115" s="4"/>
      <c r="DJ1115" s="4"/>
      <c r="DK1115" s="4"/>
      <c r="DL1115" s="4"/>
    </row>
    <row r="1116" spans="1:116" s="15" customFormat="1" x14ac:dyDescent="0.25">
      <c r="A1116" s="16"/>
      <c r="B1116" s="16"/>
      <c r="C1116" s="16"/>
      <c r="D1116" s="98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/>
      <c r="AT1116" s="14"/>
      <c r="AU1116" s="14"/>
      <c r="AV1116" s="14"/>
      <c r="AW1116" s="14"/>
      <c r="AX1116" s="14"/>
      <c r="AY1116" s="14"/>
      <c r="AZ1116" s="14"/>
      <c r="BA1116" s="14"/>
      <c r="BB1116" s="14"/>
      <c r="BC1116" s="14"/>
      <c r="BD1116" s="14"/>
      <c r="BE1116" s="14"/>
      <c r="BF1116" s="14"/>
      <c r="BG1116" s="14"/>
      <c r="BH1116" s="14"/>
      <c r="BI1116" s="14"/>
      <c r="BJ1116" s="14"/>
      <c r="BK1116" s="14"/>
      <c r="BL1116" s="14"/>
      <c r="BM1116" s="14"/>
      <c r="BN1116" s="14"/>
      <c r="BO1116" s="14"/>
      <c r="BP1116" s="14"/>
      <c r="BQ1116" s="14"/>
      <c r="BR1116" s="14"/>
      <c r="BS1116" s="14"/>
      <c r="BT1116" s="14"/>
      <c r="BU1116" s="14"/>
      <c r="BV1116" s="14"/>
      <c r="BW1116" s="14"/>
      <c r="BX1116" s="14"/>
      <c r="BY1116" s="14"/>
      <c r="BZ1116" s="14"/>
      <c r="CA1116" s="14"/>
      <c r="CB1116" s="14"/>
      <c r="CC1116" s="14"/>
      <c r="CD1116" s="14"/>
      <c r="CE1116" s="14"/>
      <c r="CF1116" s="14"/>
      <c r="CG1116" s="4"/>
      <c r="CH1116" s="4"/>
      <c r="CI1116" s="4"/>
      <c r="CJ1116" s="4"/>
      <c r="CK1116" s="4"/>
      <c r="CL1116" s="4"/>
      <c r="CM1116" s="4"/>
      <c r="CN1116" s="4"/>
      <c r="CO1116" s="4"/>
      <c r="CP1116" s="4"/>
      <c r="CQ1116" s="4"/>
      <c r="CR1116" s="4"/>
      <c r="CS1116" s="4"/>
      <c r="CT1116" s="4"/>
      <c r="CU1116" s="4"/>
      <c r="CV1116" s="4"/>
      <c r="CW1116" s="4"/>
      <c r="CX1116" s="4"/>
      <c r="CY1116" s="4"/>
      <c r="CZ1116" s="4"/>
      <c r="DA1116" s="4"/>
      <c r="DB1116" s="4"/>
      <c r="DC1116" s="4"/>
      <c r="DD1116" s="4"/>
      <c r="DE1116" s="4"/>
      <c r="DF1116" s="4"/>
      <c r="DG1116" s="4"/>
      <c r="DH1116" s="4"/>
      <c r="DI1116" s="4"/>
      <c r="DJ1116" s="4"/>
      <c r="DK1116" s="4"/>
      <c r="DL1116" s="4"/>
    </row>
    <row r="1117" spans="1:116" s="15" customFormat="1" x14ac:dyDescent="0.25">
      <c r="A1117" s="16"/>
      <c r="B1117" s="16"/>
      <c r="C1117" s="16"/>
      <c r="D1117" s="98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/>
      <c r="AT1117" s="14"/>
      <c r="AU1117" s="14"/>
      <c r="AV1117" s="14"/>
      <c r="AW1117" s="14"/>
      <c r="AX1117" s="14"/>
      <c r="AY1117" s="14"/>
      <c r="AZ1117" s="14"/>
      <c r="BA1117" s="14"/>
      <c r="BB1117" s="14"/>
      <c r="BC1117" s="14"/>
      <c r="BD1117" s="14"/>
      <c r="BE1117" s="14"/>
      <c r="BF1117" s="14"/>
      <c r="BG1117" s="14"/>
      <c r="BH1117" s="14"/>
      <c r="BI1117" s="14"/>
      <c r="BJ1117" s="14"/>
      <c r="BK1117" s="14"/>
      <c r="BL1117" s="14"/>
      <c r="BM1117" s="14"/>
      <c r="BN1117" s="14"/>
      <c r="BO1117" s="14"/>
      <c r="BP1117" s="14"/>
      <c r="BQ1117" s="14"/>
      <c r="BR1117" s="14"/>
      <c r="BS1117" s="14"/>
      <c r="BT1117" s="14"/>
      <c r="BU1117" s="14"/>
      <c r="BV1117" s="14"/>
      <c r="BW1117" s="14"/>
      <c r="BX1117" s="14"/>
      <c r="BY1117" s="14"/>
      <c r="BZ1117" s="14"/>
      <c r="CA1117" s="14"/>
      <c r="CB1117" s="14"/>
      <c r="CC1117" s="14"/>
      <c r="CD1117" s="14"/>
      <c r="CE1117" s="14"/>
      <c r="CF1117" s="14"/>
      <c r="CG1117" s="4"/>
      <c r="CH1117" s="4"/>
      <c r="CI1117" s="4"/>
      <c r="CJ1117" s="4"/>
      <c r="CK1117" s="4"/>
      <c r="CL1117" s="4"/>
      <c r="CM1117" s="4"/>
      <c r="CN1117" s="4"/>
      <c r="CO1117" s="4"/>
      <c r="CP1117" s="4"/>
      <c r="CQ1117" s="4"/>
      <c r="CR1117" s="4"/>
      <c r="CS1117" s="4"/>
      <c r="CT1117" s="4"/>
      <c r="CU1117" s="4"/>
      <c r="CV1117" s="4"/>
      <c r="CW1117" s="4"/>
      <c r="CX1117" s="4"/>
      <c r="CY1117" s="4"/>
      <c r="CZ1117" s="4"/>
      <c r="DA1117" s="4"/>
      <c r="DB1117" s="4"/>
      <c r="DC1117" s="4"/>
      <c r="DD1117" s="4"/>
      <c r="DE1117" s="4"/>
      <c r="DF1117" s="4"/>
      <c r="DG1117" s="4"/>
      <c r="DH1117" s="4"/>
      <c r="DI1117" s="4"/>
      <c r="DJ1117" s="4"/>
      <c r="DK1117" s="4"/>
      <c r="DL1117" s="4"/>
    </row>
    <row r="1118" spans="1:116" s="15" customFormat="1" x14ac:dyDescent="0.25">
      <c r="A1118" s="16"/>
      <c r="B1118" s="16"/>
      <c r="C1118" s="16"/>
      <c r="D1118" s="98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/>
      <c r="AT1118" s="14"/>
      <c r="AU1118" s="14"/>
      <c r="AV1118" s="14"/>
      <c r="AW1118" s="14"/>
      <c r="AX1118" s="14"/>
      <c r="AY1118" s="14"/>
      <c r="AZ1118" s="14"/>
      <c r="BA1118" s="14"/>
      <c r="BB1118" s="14"/>
      <c r="BC1118" s="14"/>
      <c r="BD1118" s="14"/>
      <c r="BE1118" s="14"/>
      <c r="BF1118" s="14"/>
      <c r="BG1118" s="14"/>
      <c r="BH1118" s="14"/>
      <c r="BI1118" s="14"/>
      <c r="BJ1118" s="14"/>
      <c r="BK1118" s="14"/>
      <c r="BL1118" s="14"/>
      <c r="BM1118" s="14"/>
      <c r="BN1118" s="14"/>
      <c r="BO1118" s="14"/>
      <c r="BP1118" s="14"/>
      <c r="BQ1118" s="14"/>
      <c r="BR1118" s="14"/>
      <c r="BS1118" s="14"/>
      <c r="BT1118" s="14"/>
      <c r="BU1118" s="14"/>
      <c r="BV1118" s="14"/>
      <c r="BW1118" s="14"/>
      <c r="BX1118" s="14"/>
      <c r="BY1118" s="14"/>
      <c r="BZ1118" s="14"/>
      <c r="CA1118" s="14"/>
      <c r="CB1118" s="14"/>
      <c r="CC1118" s="14"/>
      <c r="CD1118" s="14"/>
      <c r="CE1118" s="14"/>
      <c r="CF1118" s="14"/>
      <c r="CG1118" s="4"/>
      <c r="CH1118" s="4"/>
      <c r="CI1118" s="4"/>
      <c r="CJ1118" s="4"/>
      <c r="CK1118" s="4"/>
      <c r="CL1118" s="4"/>
      <c r="CM1118" s="4"/>
      <c r="CN1118" s="4"/>
      <c r="CO1118" s="4"/>
      <c r="CP1118" s="4"/>
      <c r="CQ1118" s="4"/>
      <c r="CR1118" s="4"/>
      <c r="CS1118" s="4"/>
      <c r="CT1118" s="4"/>
      <c r="CU1118" s="4"/>
      <c r="CV1118" s="4"/>
      <c r="CW1118" s="4"/>
      <c r="CX1118" s="4"/>
      <c r="CY1118" s="4"/>
      <c r="CZ1118" s="4"/>
      <c r="DA1118" s="4"/>
      <c r="DB1118" s="4"/>
      <c r="DC1118" s="4"/>
      <c r="DD1118" s="4"/>
      <c r="DE1118" s="4"/>
      <c r="DF1118" s="4"/>
      <c r="DG1118" s="4"/>
      <c r="DH1118" s="4"/>
      <c r="DI1118" s="4"/>
      <c r="DJ1118" s="4"/>
      <c r="DK1118" s="4"/>
      <c r="DL1118" s="4"/>
    </row>
    <row r="1119" spans="1:116" s="15" customFormat="1" x14ac:dyDescent="0.25">
      <c r="A1119" s="16"/>
      <c r="B1119" s="16"/>
      <c r="C1119" s="16"/>
      <c r="D1119" s="98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/>
      <c r="AT1119" s="14"/>
      <c r="AU1119" s="14"/>
      <c r="AV1119" s="14"/>
      <c r="AW1119" s="14"/>
      <c r="AX1119" s="14"/>
      <c r="AY1119" s="14"/>
      <c r="AZ1119" s="14"/>
      <c r="BA1119" s="14"/>
      <c r="BB1119" s="14"/>
      <c r="BC1119" s="14"/>
      <c r="BD1119" s="14"/>
      <c r="BE1119" s="14"/>
      <c r="BF1119" s="14"/>
      <c r="BG1119" s="14"/>
      <c r="BH1119" s="14"/>
      <c r="BI1119" s="14"/>
      <c r="BJ1119" s="14"/>
      <c r="BK1119" s="14"/>
      <c r="BL1119" s="14"/>
      <c r="BM1119" s="14"/>
      <c r="BN1119" s="14"/>
      <c r="BO1119" s="14"/>
      <c r="BP1119" s="14"/>
      <c r="BQ1119" s="14"/>
      <c r="BR1119" s="14"/>
      <c r="BS1119" s="14"/>
      <c r="BT1119" s="14"/>
      <c r="BU1119" s="14"/>
      <c r="BV1119" s="14"/>
      <c r="BW1119" s="14"/>
      <c r="BX1119" s="14"/>
      <c r="BY1119" s="14"/>
      <c r="BZ1119" s="14"/>
      <c r="CA1119" s="14"/>
      <c r="CB1119" s="14"/>
      <c r="CC1119" s="14"/>
      <c r="CD1119" s="14"/>
      <c r="CE1119" s="14"/>
      <c r="CF1119" s="14"/>
      <c r="CG1119" s="4"/>
      <c r="CH1119" s="4"/>
      <c r="CI1119" s="4"/>
      <c r="CJ1119" s="4"/>
      <c r="CK1119" s="4"/>
      <c r="CL1119" s="4"/>
      <c r="CM1119" s="4"/>
      <c r="CN1119" s="4"/>
      <c r="CO1119" s="4"/>
      <c r="CP1119" s="4"/>
      <c r="CQ1119" s="4"/>
      <c r="CR1119" s="4"/>
      <c r="CS1119" s="4"/>
      <c r="CT1119" s="4"/>
      <c r="CU1119" s="4"/>
      <c r="CV1119" s="4"/>
      <c r="CW1119" s="4"/>
      <c r="CX1119" s="4"/>
      <c r="CY1119" s="4"/>
      <c r="CZ1119" s="4"/>
      <c r="DA1119" s="4"/>
      <c r="DB1119" s="4"/>
      <c r="DC1119" s="4"/>
      <c r="DD1119" s="4"/>
      <c r="DE1119" s="4"/>
      <c r="DF1119" s="4"/>
      <c r="DG1119" s="4"/>
      <c r="DH1119" s="4"/>
      <c r="DI1119" s="4"/>
      <c r="DJ1119" s="4"/>
      <c r="DK1119" s="4"/>
      <c r="DL1119" s="4"/>
    </row>
    <row r="1120" spans="1:116" s="15" customFormat="1" x14ac:dyDescent="0.25">
      <c r="A1120" s="16"/>
      <c r="B1120" s="16"/>
      <c r="C1120" s="16"/>
      <c r="D1120" s="98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/>
      <c r="AT1120" s="14"/>
      <c r="AU1120" s="14"/>
      <c r="AV1120" s="14"/>
      <c r="AW1120" s="14"/>
      <c r="AX1120" s="14"/>
      <c r="AY1120" s="14"/>
      <c r="AZ1120" s="14"/>
      <c r="BA1120" s="14"/>
      <c r="BB1120" s="14"/>
      <c r="BC1120" s="14"/>
      <c r="BD1120" s="14"/>
      <c r="BE1120" s="14"/>
      <c r="BF1120" s="14"/>
      <c r="BG1120" s="14"/>
      <c r="BH1120" s="14"/>
      <c r="BI1120" s="14"/>
      <c r="BJ1120" s="14"/>
      <c r="BK1120" s="14"/>
      <c r="BL1120" s="14"/>
      <c r="BM1120" s="14"/>
      <c r="BN1120" s="14"/>
      <c r="BO1120" s="14"/>
      <c r="BP1120" s="14"/>
      <c r="BQ1120" s="14"/>
      <c r="BR1120" s="14"/>
      <c r="BS1120" s="14"/>
      <c r="BT1120" s="14"/>
      <c r="BU1120" s="14"/>
      <c r="BV1120" s="14"/>
      <c r="BW1120" s="14"/>
      <c r="BX1120" s="14"/>
      <c r="BY1120" s="14"/>
      <c r="BZ1120" s="14"/>
      <c r="CA1120" s="14"/>
      <c r="CB1120" s="14"/>
      <c r="CC1120" s="14"/>
      <c r="CD1120" s="14"/>
      <c r="CE1120" s="14"/>
      <c r="CF1120" s="14"/>
      <c r="CG1120" s="4"/>
      <c r="CH1120" s="4"/>
      <c r="CI1120" s="4"/>
      <c r="CJ1120" s="4"/>
      <c r="CK1120" s="4"/>
      <c r="CL1120" s="4"/>
      <c r="CM1120" s="4"/>
      <c r="CN1120" s="4"/>
      <c r="CO1120" s="4"/>
      <c r="CP1120" s="4"/>
      <c r="CQ1120" s="4"/>
      <c r="CR1120" s="4"/>
      <c r="CS1120" s="4"/>
      <c r="CT1120" s="4"/>
      <c r="CU1120" s="4"/>
      <c r="CV1120" s="4"/>
      <c r="CW1120" s="4"/>
      <c r="CX1120" s="4"/>
      <c r="CY1120" s="4"/>
      <c r="CZ1120" s="4"/>
      <c r="DA1120" s="4"/>
      <c r="DB1120" s="4"/>
      <c r="DC1120" s="4"/>
      <c r="DD1120" s="4"/>
      <c r="DE1120" s="4"/>
      <c r="DF1120" s="4"/>
      <c r="DG1120" s="4"/>
      <c r="DH1120" s="4"/>
      <c r="DI1120" s="4"/>
      <c r="DJ1120" s="4"/>
      <c r="DK1120" s="4"/>
      <c r="DL1120" s="4"/>
    </row>
    <row r="1121" spans="1:124" s="4" customFormat="1" x14ac:dyDescent="0.25">
      <c r="A1121" s="2"/>
      <c r="B1121" s="2"/>
      <c r="C1121" s="2"/>
      <c r="D1121" s="98"/>
      <c r="E1121" s="15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/>
      <c r="AT1121" s="14"/>
      <c r="AU1121" s="14"/>
      <c r="AV1121" s="14"/>
      <c r="AW1121" s="14"/>
      <c r="AX1121" s="14"/>
      <c r="AY1121" s="14"/>
      <c r="AZ1121" s="14"/>
      <c r="BA1121" s="14"/>
      <c r="BB1121" s="14"/>
      <c r="BC1121" s="14"/>
      <c r="BD1121" s="14"/>
      <c r="BE1121" s="14"/>
      <c r="BF1121" s="14"/>
      <c r="BG1121" s="14"/>
      <c r="BH1121" s="14"/>
      <c r="BI1121" s="14"/>
      <c r="BJ1121" s="14"/>
      <c r="BK1121" s="14"/>
      <c r="BL1121" s="14"/>
      <c r="BM1121" s="14"/>
      <c r="BN1121" s="14"/>
      <c r="BO1121" s="14"/>
      <c r="BP1121" s="14"/>
      <c r="BQ1121" s="14"/>
      <c r="BR1121" s="14"/>
      <c r="BS1121" s="14"/>
      <c r="BT1121" s="14"/>
      <c r="BU1121" s="14"/>
      <c r="BV1121" s="14"/>
      <c r="BW1121" s="14"/>
      <c r="BX1121" s="14"/>
      <c r="BY1121" s="14"/>
      <c r="BZ1121" s="14"/>
      <c r="CA1121" s="14"/>
      <c r="CB1121" s="14"/>
      <c r="CC1121" s="14"/>
      <c r="CD1121" s="14"/>
      <c r="CE1121" s="14"/>
      <c r="CF1121" s="14"/>
      <c r="DM1121" s="15"/>
      <c r="DN1121" s="15"/>
      <c r="DO1121" s="15"/>
      <c r="DP1121" s="15"/>
      <c r="DQ1121" s="15"/>
      <c r="DR1121" s="15"/>
      <c r="DS1121" s="15"/>
      <c r="DT1121" s="15"/>
    </row>
    <row r="1122" spans="1:124" s="4" customFormat="1" x14ac:dyDescent="0.25">
      <c r="A1122" s="2"/>
      <c r="B1122" s="2"/>
      <c r="C1122" s="2"/>
      <c r="D1122" s="98"/>
      <c r="E1122" s="15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/>
      <c r="AT1122" s="14"/>
      <c r="AU1122" s="14"/>
      <c r="AV1122" s="14"/>
      <c r="AW1122" s="14"/>
      <c r="AX1122" s="14"/>
      <c r="AY1122" s="14"/>
      <c r="AZ1122" s="14"/>
      <c r="BA1122" s="14"/>
      <c r="BB1122" s="14"/>
      <c r="BC1122" s="14"/>
      <c r="BD1122" s="14"/>
      <c r="BE1122" s="14"/>
      <c r="BF1122" s="14"/>
      <c r="BG1122" s="14"/>
      <c r="BH1122" s="14"/>
      <c r="BI1122" s="14"/>
      <c r="BJ1122" s="14"/>
      <c r="BK1122" s="14"/>
      <c r="BL1122" s="14"/>
      <c r="BM1122" s="14"/>
      <c r="BN1122" s="14"/>
      <c r="BO1122" s="14"/>
      <c r="BP1122" s="14"/>
      <c r="BQ1122" s="14"/>
      <c r="BR1122" s="14"/>
      <c r="BS1122" s="14"/>
      <c r="BT1122" s="14"/>
      <c r="BU1122" s="14"/>
      <c r="BV1122" s="14"/>
      <c r="BW1122" s="14"/>
      <c r="BX1122" s="14"/>
      <c r="BY1122" s="14"/>
      <c r="BZ1122" s="14"/>
      <c r="CA1122" s="14"/>
      <c r="CB1122" s="14"/>
      <c r="CC1122" s="14"/>
      <c r="CD1122" s="14"/>
      <c r="CE1122" s="14"/>
      <c r="CF1122" s="14"/>
      <c r="DM1122" s="15"/>
      <c r="DN1122" s="15"/>
      <c r="DO1122" s="15"/>
      <c r="DP1122" s="15"/>
      <c r="DQ1122" s="15"/>
      <c r="DR1122" s="15"/>
      <c r="DS1122" s="15"/>
      <c r="DT1122" s="15"/>
    </row>
    <row r="1123" spans="1:124" s="4" customFormat="1" x14ac:dyDescent="0.25">
      <c r="A1123" s="2"/>
      <c r="B1123" s="2"/>
      <c r="C1123" s="2"/>
      <c r="D1123" s="98"/>
      <c r="E1123" s="15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/>
      <c r="AT1123" s="14"/>
      <c r="AU1123" s="14"/>
      <c r="AV1123" s="14"/>
      <c r="AW1123" s="14"/>
      <c r="AX1123" s="14"/>
      <c r="AY1123" s="14"/>
      <c r="AZ1123" s="14"/>
      <c r="BA1123" s="14"/>
      <c r="BB1123" s="14"/>
      <c r="BC1123" s="14"/>
      <c r="BD1123" s="14"/>
      <c r="BE1123" s="14"/>
      <c r="BF1123" s="14"/>
      <c r="BG1123" s="14"/>
      <c r="BH1123" s="14"/>
      <c r="BI1123" s="14"/>
      <c r="BJ1123" s="14"/>
      <c r="BK1123" s="14"/>
      <c r="BL1123" s="14"/>
      <c r="BM1123" s="14"/>
      <c r="BN1123" s="14"/>
      <c r="BO1123" s="14"/>
      <c r="BP1123" s="14"/>
      <c r="BQ1123" s="14"/>
      <c r="BR1123" s="14"/>
      <c r="BS1123" s="14"/>
      <c r="BT1123" s="14"/>
      <c r="BU1123" s="14"/>
      <c r="BV1123" s="14"/>
      <c r="BW1123" s="14"/>
      <c r="BX1123" s="14"/>
      <c r="BY1123" s="14"/>
      <c r="BZ1123" s="14"/>
      <c r="CA1123" s="14"/>
      <c r="CB1123" s="14"/>
      <c r="CC1123" s="14"/>
      <c r="CD1123" s="14"/>
      <c r="CE1123" s="14"/>
      <c r="CF1123" s="14"/>
      <c r="DM1123" s="15"/>
      <c r="DN1123" s="15"/>
      <c r="DO1123" s="15"/>
      <c r="DP1123" s="15"/>
      <c r="DQ1123" s="15"/>
      <c r="DR1123" s="15"/>
      <c r="DS1123" s="15"/>
      <c r="DT1123" s="15"/>
    </row>
    <row r="1124" spans="1:124" s="4" customFormat="1" x14ac:dyDescent="0.25">
      <c r="A1124" s="2"/>
      <c r="B1124" s="2"/>
      <c r="C1124" s="2"/>
      <c r="D1124" s="98"/>
      <c r="E1124" s="15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/>
      <c r="AT1124" s="14"/>
      <c r="AU1124" s="14"/>
      <c r="AV1124" s="14"/>
      <c r="AW1124" s="14"/>
      <c r="AX1124" s="14"/>
      <c r="AY1124" s="14"/>
      <c r="AZ1124" s="14"/>
      <c r="BA1124" s="14"/>
      <c r="BB1124" s="14"/>
      <c r="BC1124" s="14"/>
      <c r="BD1124" s="14"/>
      <c r="BE1124" s="14"/>
      <c r="BF1124" s="14"/>
      <c r="BG1124" s="14"/>
      <c r="BH1124" s="14"/>
      <c r="BI1124" s="14"/>
      <c r="BJ1124" s="14"/>
      <c r="BK1124" s="14"/>
      <c r="BL1124" s="14"/>
      <c r="BM1124" s="14"/>
      <c r="BN1124" s="14"/>
      <c r="BO1124" s="14"/>
      <c r="BP1124" s="14"/>
      <c r="BQ1124" s="14"/>
      <c r="BR1124" s="14"/>
      <c r="BS1124" s="14"/>
      <c r="BT1124" s="14"/>
      <c r="BU1124" s="14"/>
      <c r="BV1124" s="14"/>
      <c r="BW1124" s="14"/>
      <c r="BX1124" s="14"/>
      <c r="BY1124" s="14"/>
      <c r="BZ1124" s="14"/>
      <c r="CA1124" s="14"/>
      <c r="CB1124" s="14"/>
      <c r="CC1124" s="14"/>
      <c r="CD1124" s="14"/>
      <c r="CE1124" s="14"/>
      <c r="CF1124" s="14"/>
      <c r="DM1124" s="15"/>
      <c r="DN1124" s="15"/>
      <c r="DO1124" s="15"/>
      <c r="DP1124" s="15"/>
      <c r="DQ1124" s="15"/>
      <c r="DR1124" s="15"/>
      <c r="DS1124" s="15"/>
      <c r="DT1124" s="15"/>
    </row>
    <row r="1125" spans="1:124" s="4" customFormat="1" x14ac:dyDescent="0.25">
      <c r="A1125" s="2"/>
      <c r="B1125" s="2"/>
      <c r="C1125" s="2"/>
      <c r="D1125" s="98"/>
      <c r="E1125" s="15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/>
      <c r="AT1125" s="14"/>
      <c r="AU1125" s="14"/>
      <c r="AV1125" s="14"/>
      <c r="AW1125" s="14"/>
      <c r="AX1125" s="14"/>
      <c r="AY1125" s="14"/>
      <c r="AZ1125" s="14"/>
      <c r="BA1125" s="14"/>
      <c r="BB1125" s="14"/>
      <c r="BC1125" s="14"/>
      <c r="BD1125" s="14"/>
      <c r="BE1125" s="14"/>
      <c r="BF1125" s="14"/>
      <c r="BG1125" s="14"/>
      <c r="BH1125" s="14"/>
      <c r="BI1125" s="14"/>
      <c r="BJ1125" s="14"/>
      <c r="BK1125" s="14"/>
      <c r="BL1125" s="14"/>
      <c r="BM1125" s="14"/>
      <c r="BN1125" s="14"/>
      <c r="BO1125" s="14"/>
      <c r="BP1125" s="14"/>
      <c r="BQ1125" s="14"/>
      <c r="BR1125" s="14"/>
      <c r="BS1125" s="14"/>
      <c r="BT1125" s="14"/>
      <c r="BU1125" s="14"/>
      <c r="BV1125" s="14"/>
      <c r="BW1125" s="14"/>
      <c r="BX1125" s="14"/>
      <c r="BY1125" s="14"/>
      <c r="BZ1125" s="14"/>
      <c r="CA1125" s="14"/>
      <c r="CB1125" s="14"/>
      <c r="CC1125" s="14"/>
      <c r="CD1125" s="14"/>
      <c r="CE1125" s="14"/>
      <c r="CF1125" s="14"/>
      <c r="DM1125" s="15"/>
      <c r="DN1125" s="15"/>
      <c r="DO1125" s="15"/>
      <c r="DP1125" s="15"/>
      <c r="DQ1125" s="15"/>
      <c r="DR1125" s="15"/>
      <c r="DS1125" s="15"/>
      <c r="DT1125" s="15"/>
    </row>
    <row r="1126" spans="1:124" s="4" customFormat="1" x14ac:dyDescent="0.25">
      <c r="A1126" s="2"/>
      <c r="B1126" s="2"/>
      <c r="C1126" s="2"/>
      <c r="D1126" s="98"/>
      <c r="E1126" s="15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/>
      <c r="AT1126" s="14"/>
      <c r="AU1126" s="14"/>
      <c r="AV1126" s="14"/>
      <c r="AW1126" s="14"/>
      <c r="AX1126" s="14"/>
      <c r="AY1126" s="14"/>
      <c r="AZ1126" s="14"/>
      <c r="BA1126" s="14"/>
      <c r="BB1126" s="14"/>
      <c r="BC1126" s="14"/>
      <c r="BD1126" s="14"/>
      <c r="BE1126" s="14"/>
      <c r="BF1126" s="14"/>
      <c r="BG1126" s="14"/>
      <c r="BH1126" s="14"/>
      <c r="BI1126" s="14"/>
      <c r="BJ1126" s="14"/>
      <c r="BK1126" s="14"/>
      <c r="BL1126" s="14"/>
      <c r="BM1126" s="14"/>
      <c r="BN1126" s="14"/>
      <c r="BO1126" s="14"/>
      <c r="BP1126" s="14"/>
      <c r="BQ1126" s="14"/>
      <c r="BR1126" s="14"/>
      <c r="BS1126" s="14"/>
      <c r="BT1126" s="14"/>
      <c r="BU1126" s="14"/>
      <c r="BV1126" s="14"/>
      <c r="BW1126" s="14"/>
      <c r="BX1126" s="14"/>
      <c r="BY1126" s="14"/>
      <c r="BZ1126" s="14"/>
      <c r="CA1126" s="14"/>
      <c r="CB1126" s="14"/>
      <c r="CC1126" s="14"/>
      <c r="CD1126" s="14"/>
      <c r="CE1126" s="14"/>
      <c r="CF1126" s="14"/>
      <c r="DM1126" s="15"/>
      <c r="DN1126" s="15"/>
      <c r="DO1126" s="15"/>
      <c r="DP1126" s="15"/>
      <c r="DQ1126" s="15"/>
      <c r="DR1126" s="15"/>
      <c r="DS1126" s="15"/>
      <c r="DT1126" s="15"/>
    </row>
    <row r="1127" spans="1:124" s="4" customFormat="1" x14ac:dyDescent="0.25">
      <c r="A1127" s="2"/>
      <c r="B1127" s="2"/>
      <c r="C1127" s="2"/>
      <c r="D1127" s="98"/>
      <c r="E1127" s="15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/>
      <c r="AT1127" s="14"/>
      <c r="AU1127" s="14"/>
      <c r="AV1127" s="14"/>
      <c r="AW1127" s="14"/>
      <c r="AX1127" s="14"/>
      <c r="AY1127" s="14"/>
      <c r="AZ1127" s="14"/>
      <c r="BA1127" s="14"/>
      <c r="BB1127" s="14"/>
      <c r="BC1127" s="14"/>
      <c r="BD1127" s="14"/>
      <c r="BE1127" s="14"/>
      <c r="BF1127" s="14"/>
      <c r="BG1127" s="14"/>
      <c r="BH1127" s="14"/>
      <c r="BI1127" s="14"/>
      <c r="BJ1127" s="14"/>
      <c r="BK1127" s="14"/>
      <c r="BL1127" s="14"/>
      <c r="BM1127" s="14"/>
      <c r="BN1127" s="14"/>
      <c r="BO1127" s="14"/>
      <c r="BP1127" s="14"/>
      <c r="BQ1127" s="14"/>
      <c r="BR1127" s="14"/>
      <c r="BS1127" s="14"/>
      <c r="BT1127" s="14"/>
      <c r="BU1127" s="14"/>
      <c r="BV1127" s="14"/>
      <c r="BW1127" s="14"/>
      <c r="BX1127" s="14"/>
      <c r="BY1127" s="14"/>
      <c r="BZ1127" s="14"/>
      <c r="CA1127" s="14"/>
      <c r="CB1127" s="14"/>
      <c r="CC1127" s="14"/>
      <c r="CD1127" s="14"/>
      <c r="CE1127" s="14"/>
      <c r="CF1127" s="14"/>
      <c r="DM1127" s="15"/>
      <c r="DN1127" s="15"/>
      <c r="DO1127" s="15"/>
      <c r="DP1127" s="15"/>
      <c r="DQ1127" s="15"/>
      <c r="DR1127" s="15"/>
      <c r="DS1127" s="15"/>
      <c r="DT1127" s="15"/>
    </row>
    <row r="1128" spans="1:124" s="4" customFormat="1" x14ac:dyDescent="0.25">
      <c r="A1128" s="2"/>
      <c r="B1128" s="2"/>
      <c r="C1128" s="2"/>
      <c r="D1128" s="98"/>
      <c r="E1128" s="15"/>
      <c r="F1128" s="5"/>
      <c r="G1128" s="5"/>
      <c r="H1128" s="5"/>
      <c r="I1128" s="5"/>
      <c r="J1128" s="5"/>
      <c r="K1128" s="5"/>
      <c r="M1128" s="5"/>
      <c r="N1128" s="5"/>
      <c r="O1128" s="5"/>
      <c r="P1128" s="5"/>
      <c r="Q1128" s="5"/>
      <c r="R1128" s="5"/>
      <c r="S1128" s="7"/>
      <c r="T1128" s="7"/>
      <c r="U1128" s="7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O1128" s="5"/>
      <c r="BM1128" s="5"/>
      <c r="BN1128" s="5"/>
      <c r="BO1128" s="5"/>
      <c r="BP1128" s="14"/>
      <c r="BQ1128" s="5"/>
      <c r="BZ1128" s="14"/>
      <c r="CA1128" s="14"/>
      <c r="DM1128" s="15"/>
      <c r="DN1128" s="15"/>
      <c r="DO1128" s="15"/>
      <c r="DP1128" s="15"/>
      <c r="DQ1128" s="15"/>
      <c r="DR1128" s="15"/>
      <c r="DS1128" s="15"/>
      <c r="DT1128" s="15"/>
    </row>
    <row r="1129" spans="1:124" s="4" customFormat="1" x14ac:dyDescent="0.25">
      <c r="A1129" s="2"/>
      <c r="B1129" s="2"/>
      <c r="C1129" s="2"/>
      <c r="D1129" s="98"/>
      <c r="E1129" s="15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/>
      <c r="AT1129" s="14"/>
      <c r="AU1129" s="14"/>
      <c r="AV1129" s="14"/>
      <c r="AW1129" s="14"/>
      <c r="AX1129" s="14"/>
      <c r="AY1129" s="14"/>
      <c r="AZ1129" s="14"/>
      <c r="BA1129" s="14"/>
      <c r="BB1129" s="14"/>
      <c r="BC1129" s="14"/>
      <c r="BD1129" s="14"/>
      <c r="BE1129" s="14"/>
      <c r="BF1129" s="14"/>
      <c r="BG1129" s="14"/>
      <c r="BH1129" s="14"/>
      <c r="BI1129" s="14"/>
      <c r="BJ1129" s="14"/>
      <c r="BK1129" s="14"/>
      <c r="BL1129" s="14"/>
      <c r="BM1129" s="14"/>
      <c r="BN1129" s="14"/>
      <c r="BO1129" s="14"/>
      <c r="BP1129" s="14"/>
      <c r="BQ1129" s="14"/>
      <c r="BR1129" s="14"/>
      <c r="BS1129" s="14"/>
      <c r="BT1129" s="14"/>
      <c r="BU1129" s="14"/>
      <c r="BV1129" s="14"/>
      <c r="BW1129" s="14"/>
      <c r="BX1129" s="14"/>
      <c r="BY1129" s="14"/>
      <c r="BZ1129" s="14"/>
      <c r="CA1129" s="14"/>
      <c r="CB1129" s="14"/>
      <c r="CC1129" s="14"/>
      <c r="CD1129" s="14"/>
      <c r="CE1129" s="14"/>
      <c r="CF1129" s="14"/>
      <c r="DM1129" s="15"/>
      <c r="DN1129" s="15"/>
      <c r="DO1129" s="15"/>
      <c r="DP1129" s="15"/>
      <c r="DQ1129" s="15"/>
      <c r="DR1129" s="15"/>
      <c r="DS1129" s="15"/>
      <c r="DT1129" s="15"/>
    </row>
    <row r="1130" spans="1:124" s="4" customFormat="1" x14ac:dyDescent="0.25">
      <c r="A1130" s="2"/>
      <c r="B1130" s="2"/>
      <c r="C1130" s="2"/>
      <c r="D1130" s="98"/>
      <c r="E1130" s="15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/>
      <c r="AT1130" s="14"/>
      <c r="AU1130" s="14"/>
      <c r="AV1130" s="14"/>
      <c r="AW1130" s="14"/>
      <c r="AX1130" s="14"/>
      <c r="AY1130" s="14"/>
      <c r="AZ1130" s="14"/>
      <c r="BA1130" s="14"/>
      <c r="BB1130" s="14"/>
      <c r="BC1130" s="14"/>
      <c r="BD1130" s="14"/>
      <c r="BE1130" s="14"/>
      <c r="BF1130" s="14"/>
      <c r="BG1130" s="14"/>
      <c r="BH1130" s="14"/>
      <c r="BI1130" s="14"/>
      <c r="BJ1130" s="14"/>
      <c r="BK1130" s="14"/>
      <c r="BL1130" s="14"/>
      <c r="BM1130" s="14"/>
      <c r="BN1130" s="14"/>
      <c r="BO1130" s="14"/>
      <c r="BP1130" s="14"/>
      <c r="BQ1130" s="14"/>
      <c r="BR1130" s="14"/>
      <c r="BS1130" s="14"/>
      <c r="BT1130" s="14"/>
      <c r="BU1130" s="14"/>
      <c r="BV1130" s="14"/>
      <c r="BW1130" s="14"/>
      <c r="BX1130" s="14"/>
      <c r="BY1130" s="14"/>
      <c r="BZ1130" s="14"/>
      <c r="CA1130" s="14"/>
      <c r="CB1130" s="14"/>
      <c r="CC1130" s="14"/>
      <c r="CD1130" s="14"/>
      <c r="CE1130" s="14"/>
      <c r="CF1130" s="14"/>
      <c r="DM1130" s="15"/>
      <c r="DN1130" s="15"/>
      <c r="DO1130" s="15"/>
      <c r="DP1130" s="15"/>
      <c r="DQ1130" s="15"/>
      <c r="DR1130" s="15"/>
      <c r="DS1130" s="15"/>
      <c r="DT1130" s="15"/>
    </row>
    <row r="1131" spans="1:124" s="4" customFormat="1" x14ac:dyDescent="0.25">
      <c r="A1131" s="2"/>
      <c r="B1131" s="2"/>
      <c r="C1131" s="2"/>
      <c r="D1131" s="98"/>
      <c r="E1131" s="15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4"/>
      <c r="AJ1131" s="14"/>
      <c r="AK1131" s="14"/>
      <c r="AL1131" s="14"/>
      <c r="AM1131" s="14"/>
      <c r="AN1131" s="14"/>
      <c r="AO1131" s="14"/>
      <c r="AP1131" s="14"/>
      <c r="AQ1131" s="14"/>
      <c r="AR1131" s="14"/>
      <c r="AS1131" s="14"/>
      <c r="AT1131" s="14"/>
      <c r="AU1131" s="14"/>
      <c r="AV1131" s="14"/>
      <c r="AW1131" s="14"/>
      <c r="AX1131" s="14"/>
      <c r="AY1131" s="14"/>
      <c r="AZ1131" s="14"/>
      <c r="BA1131" s="14"/>
      <c r="BB1131" s="14"/>
      <c r="BC1131" s="14"/>
      <c r="BD1131" s="14"/>
      <c r="BE1131" s="14"/>
      <c r="BF1131" s="14"/>
      <c r="BG1131" s="14"/>
      <c r="BH1131" s="14"/>
      <c r="BI1131" s="14"/>
      <c r="BJ1131" s="14"/>
      <c r="BK1131" s="14"/>
      <c r="BL1131" s="14"/>
      <c r="BM1131" s="14"/>
      <c r="BN1131" s="14"/>
      <c r="BO1131" s="14"/>
      <c r="BP1131" s="14"/>
      <c r="BQ1131" s="14"/>
      <c r="BR1131" s="14"/>
      <c r="BS1131" s="14"/>
      <c r="BT1131" s="14"/>
      <c r="BU1131" s="14"/>
      <c r="BV1131" s="14"/>
      <c r="BW1131" s="14"/>
      <c r="BX1131" s="14"/>
      <c r="BY1131" s="14"/>
      <c r="BZ1131" s="14"/>
      <c r="CA1131" s="14"/>
      <c r="CB1131" s="14"/>
      <c r="CC1131" s="14"/>
      <c r="CD1131" s="14"/>
      <c r="CE1131" s="14"/>
      <c r="CF1131" s="14"/>
      <c r="DM1131" s="15"/>
      <c r="DN1131" s="15"/>
      <c r="DO1131" s="15"/>
      <c r="DP1131" s="15"/>
      <c r="DQ1131" s="15"/>
      <c r="DR1131" s="15"/>
      <c r="DS1131" s="15"/>
      <c r="DT1131" s="15"/>
    </row>
    <row r="1132" spans="1:124" s="4" customFormat="1" x14ac:dyDescent="0.25">
      <c r="A1132" s="2"/>
      <c r="B1132" s="2"/>
      <c r="C1132" s="2"/>
      <c r="D1132" s="98"/>
      <c r="E1132" s="15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/>
      <c r="AR1132" s="14"/>
      <c r="AS1132" s="14"/>
      <c r="AT1132" s="14"/>
      <c r="AU1132" s="14"/>
      <c r="AV1132" s="14"/>
      <c r="AW1132" s="14"/>
      <c r="AX1132" s="14"/>
      <c r="AY1132" s="14"/>
      <c r="AZ1132" s="14"/>
      <c r="BA1132" s="14"/>
      <c r="BB1132" s="14"/>
      <c r="BC1132" s="14"/>
      <c r="BD1132" s="14"/>
      <c r="BE1132" s="14"/>
      <c r="BF1132" s="14"/>
      <c r="BG1132" s="14"/>
      <c r="BH1132" s="14"/>
      <c r="BI1132" s="14"/>
      <c r="BJ1132" s="14"/>
      <c r="BK1132" s="14"/>
      <c r="BL1132" s="14"/>
      <c r="BM1132" s="14"/>
      <c r="BN1132" s="14"/>
      <c r="BO1132" s="14"/>
      <c r="BP1132" s="14"/>
      <c r="BQ1132" s="14"/>
      <c r="BR1132" s="14"/>
      <c r="BS1132" s="14"/>
      <c r="BT1132" s="14"/>
      <c r="BU1132" s="14"/>
      <c r="BV1132" s="14"/>
      <c r="BW1132" s="14"/>
      <c r="BX1132" s="14"/>
      <c r="BY1132" s="14"/>
      <c r="BZ1132" s="14"/>
      <c r="CA1132" s="14"/>
      <c r="CB1132" s="14"/>
      <c r="CC1132" s="14"/>
      <c r="CD1132" s="14"/>
      <c r="CE1132" s="14"/>
      <c r="CF1132" s="14"/>
      <c r="DM1132" s="15"/>
      <c r="DN1132" s="15"/>
      <c r="DO1132" s="15"/>
      <c r="DP1132" s="15"/>
      <c r="DQ1132" s="15"/>
      <c r="DR1132" s="15"/>
      <c r="DS1132" s="15"/>
      <c r="DT1132" s="15"/>
    </row>
    <row r="1133" spans="1:124" s="4" customFormat="1" x14ac:dyDescent="0.25">
      <c r="A1133" s="2"/>
      <c r="B1133" s="2"/>
      <c r="C1133" s="2"/>
      <c r="D1133" s="98"/>
      <c r="E1133" s="15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/>
      <c r="AT1133" s="14"/>
      <c r="AU1133" s="14"/>
      <c r="AV1133" s="14"/>
      <c r="AW1133" s="14"/>
      <c r="AX1133" s="14"/>
      <c r="AY1133" s="14"/>
      <c r="AZ1133" s="14"/>
      <c r="BA1133" s="14"/>
      <c r="BB1133" s="14"/>
      <c r="BC1133" s="14"/>
      <c r="BD1133" s="14"/>
      <c r="BE1133" s="14"/>
      <c r="BF1133" s="14"/>
      <c r="BG1133" s="14"/>
      <c r="BH1133" s="14"/>
      <c r="BI1133" s="14"/>
      <c r="BJ1133" s="14"/>
      <c r="BK1133" s="14"/>
      <c r="BL1133" s="14"/>
      <c r="BM1133" s="14"/>
      <c r="BN1133" s="14"/>
      <c r="BO1133" s="14"/>
      <c r="BP1133" s="14"/>
      <c r="BQ1133" s="14"/>
      <c r="BR1133" s="14"/>
      <c r="BS1133" s="14"/>
      <c r="BT1133" s="14"/>
      <c r="BU1133" s="14"/>
      <c r="BV1133" s="14"/>
      <c r="BW1133" s="14"/>
      <c r="BX1133" s="14"/>
      <c r="BY1133" s="14"/>
      <c r="BZ1133" s="14"/>
      <c r="CA1133" s="14"/>
      <c r="CB1133" s="14"/>
      <c r="CC1133" s="14"/>
      <c r="CD1133" s="14"/>
      <c r="CE1133" s="14"/>
      <c r="CF1133" s="14"/>
      <c r="DM1133" s="15"/>
      <c r="DN1133" s="15"/>
      <c r="DO1133" s="15"/>
      <c r="DP1133" s="15"/>
      <c r="DQ1133" s="15"/>
      <c r="DR1133" s="15"/>
      <c r="DS1133" s="15"/>
      <c r="DT1133" s="15"/>
    </row>
    <row r="1134" spans="1:124" s="4" customFormat="1" x14ac:dyDescent="0.25">
      <c r="A1134" s="2"/>
      <c r="B1134" s="2"/>
      <c r="C1134" s="2"/>
      <c r="D1134" s="98"/>
      <c r="E1134" s="15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/>
      <c r="AT1134" s="14"/>
      <c r="AU1134" s="14"/>
      <c r="AV1134" s="14"/>
      <c r="AW1134" s="14"/>
      <c r="AX1134" s="14"/>
      <c r="AY1134" s="14"/>
      <c r="AZ1134" s="14"/>
      <c r="BA1134" s="14"/>
      <c r="BB1134" s="14"/>
      <c r="BC1134" s="14"/>
      <c r="BD1134" s="14"/>
      <c r="BE1134" s="14"/>
      <c r="BF1134" s="14"/>
      <c r="BG1134" s="14"/>
      <c r="BH1134" s="14"/>
      <c r="BI1134" s="14"/>
      <c r="BJ1134" s="14"/>
      <c r="BK1134" s="14"/>
      <c r="BL1134" s="14"/>
      <c r="BM1134" s="14"/>
      <c r="BN1134" s="14"/>
      <c r="BO1134" s="14"/>
      <c r="BP1134" s="14"/>
      <c r="BQ1134" s="14"/>
      <c r="BR1134" s="14"/>
      <c r="BS1134" s="14"/>
      <c r="BT1134" s="14"/>
      <c r="BU1134" s="14"/>
      <c r="BV1134" s="14"/>
      <c r="BW1134" s="14"/>
      <c r="BX1134" s="14"/>
      <c r="BY1134" s="14"/>
      <c r="BZ1134" s="14"/>
      <c r="CA1134" s="14"/>
      <c r="CB1134" s="14"/>
      <c r="CC1134" s="14"/>
      <c r="CD1134" s="14"/>
      <c r="CE1134" s="14"/>
      <c r="CF1134" s="14"/>
      <c r="DM1134" s="15"/>
      <c r="DN1134" s="15"/>
      <c r="DO1134" s="15"/>
      <c r="DP1134" s="15"/>
      <c r="DQ1134" s="15"/>
      <c r="DR1134" s="15"/>
      <c r="DS1134" s="15"/>
      <c r="DT1134" s="15"/>
    </row>
    <row r="1135" spans="1:124" s="4" customFormat="1" x14ac:dyDescent="0.25">
      <c r="A1135" s="2"/>
      <c r="B1135" s="2"/>
      <c r="C1135" s="2"/>
      <c r="D1135" s="98"/>
      <c r="E1135" s="15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/>
      <c r="AT1135" s="14"/>
      <c r="AU1135" s="14"/>
      <c r="AV1135" s="14"/>
      <c r="AW1135" s="14"/>
      <c r="AX1135" s="14"/>
      <c r="AY1135" s="14"/>
      <c r="AZ1135" s="14"/>
      <c r="BA1135" s="14"/>
      <c r="BB1135" s="14"/>
      <c r="BC1135" s="14"/>
      <c r="BD1135" s="14"/>
      <c r="BE1135" s="14"/>
      <c r="BF1135" s="14"/>
      <c r="BG1135" s="14"/>
      <c r="BH1135" s="14"/>
      <c r="BI1135" s="14"/>
      <c r="BJ1135" s="14"/>
      <c r="BK1135" s="14"/>
      <c r="BL1135" s="14"/>
      <c r="BM1135" s="14"/>
      <c r="BN1135" s="14"/>
      <c r="BO1135" s="14"/>
      <c r="BP1135" s="14"/>
      <c r="BQ1135" s="14"/>
      <c r="BR1135" s="14"/>
      <c r="BS1135" s="14"/>
      <c r="BT1135" s="14"/>
      <c r="BU1135" s="14"/>
      <c r="BV1135" s="14"/>
      <c r="BW1135" s="14"/>
      <c r="BX1135" s="14"/>
      <c r="BY1135" s="14"/>
      <c r="BZ1135" s="14"/>
      <c r="CA1135" s="14"/>
      <c r="CB1135" s="14"/>
      <c r="CC1135" s="14"/>
      <c r="CD1135" s="14"/>
      <c r="CE1135" s="14"/>
      <c r="CF1135" s="14"/>
      <c r="DM1135" s="15"/>
      <c r="DN1135" s="15"/>
      <c r="DO1135" s="15"/>
      <c r="DP1135" s="15"/>
      <c r="DQ1135" s="15"/>
      <c r="DR1135" s="15"/>
      <c r="DS1135" s="15"/>
      <c r="DT1135" s="15"/>
    </row>
    <row r="1136" spans="1:124" s="4" customFormat="1" x14ac:dyDescent="0.25">
      <c r="A1136" s="2"/>
      <c r="B1136" s="2"/>
      <c r="C1136" s="2"/>
      <c r="D1136" s="98"/>
      <c r="E1136" s="15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/>
      <c r="AT1136" s="14"/>
      <c r="AU1136" s="14"/>
      <c r="AV1136" s="14"/>
      <c r="AW1136" s="14"/>
      <c r="AX1136" s="14"/>
      <c r="AY1136" s="14"/>
      <c r="AZ1136" s="14"/>
      <c r="BA1136" s="14"/>
      <c r="BB1136" s="14"/>
      <c r="BC1136" s="14"/>
      <c r="BD1136" s="14"/>
      <c r="BE1136" s="14"/>
      <c r="BF1136" s="14"/>
      <c r="BG1136" s="14"/>
      <c r="BH1136" s="14"/>
      <c r="BI1136" s="14"/>
      <c r="BJ1136" s="14"/>
      <c r="BK1136" s="14"/>
      <c r="BL1136" s="14"/>
      <c r="BM1136" s="14"/>
      <c r="BN1136" s="14"/>
      <c r="BO1136" s="14"/>
      <c r="BP1136" s="14"/>
      <c r="BQ1136" s="14"/>
      <c r="BR1136" s="14"/>
      <c r="BS1136" s="14"/>
      <c r="BT1136" s="14"/>
      <c r="BU1136" s="14"/>
      <c r="BV1136" s="14"/>
      <c r="BW1136" s="14"/>
      <c r="BX1136" s="14"/>
      <c r="BY1136" s="14"/>
      <c r="BZ1136" s="14"/>
      <c r="CA1136" s="14"/>
      <c r="CB1136" s="14"/>
      <c r="CC1136" s="14"/>
      <c r="CD1136" s="14"/>
      <c r="CE1136" s="14"/>
      <c r="CF1136" s="14"/>
      <c r="DM1136" s="15"/>
      <c r="DN1136" s="15"/>
      <c r="DO1136" s="15"/>
      <c r="DP1136" s="15"/>
      <c r="DQ1136" s="15"/>
      <c r="DR1136" s="15"/>
      <c r="DS1136" s="15"/>
      <c r="DT1136" s="15"/>
    </row>
    <row r="1137" spans="1:116" s="15" customFormat="1" x14ac:dyDescent="0.25">
      <c r="A1137" s="16"/>
      <c r="B1137" s="16"/>
      <c r="C1137" s="16"/>
      <c r="D1137" s="98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/>
      <c r="AT1137" s="14"/>
      <c r="AU1137" s="14"/>
      <c r="AV1137" s="14"/>
      <c r="AW1137" s="14"/>
      <c r="AX1137" s="14"/>
      <c r="AY1137" s="14"/>
      <c r="AZ1137" s="14"/>
      <c r="BA1137" s="14"/>
      <c r="BB1137" s="14"/>
      <c r="BC1137" s="14"/>
      <c r="BD1137" s="14"/>
      <c r="BE1137" s="14"/>
      <c r="BF1137" s="14"/>
      <c r="BG1137" s="14"/>
      <c r="BH1137" s="14"/>
      <c r="BI1137" s="14"/>
      <c r="BJ1137" s="14"/>
      <c r="BK1137" s="14"/>
      <c r="BL1137" s="14"/>
      <c r="BM1137" s="14"/>
      <c r="BN1137" s="14"/>
      <c r="BO1137" s="14"/>
      <c r="BP1137" s="14"/>
      <c r="BQ1137" s="14"/>
      <c r="BR1137" s="14"/>
      <c r="BS1137" s="14"/>
      <c r="BT1137" s="14"/>
      <c r="BU1137" s="14"/>
      <c r="BV1137" s="14"/>
      <c r="BW1137" s="14"/>
      <c r="BX1137" s="14"/>
      <c r="BY1137" s="14"/>
      <c r="BZ1137" s="14"/>
      <c r="CA1137" s="14"/>
      <c r="CB1137" s="14"/>
      <c r="CC1137" s="14"/>
      <c r="CD1137" s="14"/>
      <c r="CE1137" s="14"/>
      <c r="CF1137" s="14"/>
      <c r="CG1137" s="4"/>
      <c r="CH1137" s="4"/>
      <c r="CI1137" s="4"/>
      <c r="CJ1137" s="4"/>
      <c r="CK1137" s="4"/>
      <c r="CL1137" s="4"/>
      <c r="CM1137" s="4"/>
      <c r="CN1137" s="4"/>
      <c r="CO1137" s="4"/>
      <c r="CP1137" s="4"/>
      <c r="CQ1137" s="4"/>
      <c r="CR1137" s="4"/>
      <c r="CS1137" s="4"/>
      <c r="CT1137" s="4"/>
      <c r="CU1137" s="4"/>
      <c r="CV1137" s="4"/>
      <c r="CW1137" s="4"/>
      <c r="CX1137" s="4"/>
      <c r="CY1137" s="4"/>
      <c r="CZ1137" s="4"/>
      <c r="DA1137" s="4"/>
      <c r="DB1137" s="4"/>
      <c r="DC1137" s="4"/>
      <c r="DD1137" s="4"/>
      <c r="DE1137" s="4"/>
      <c r="DF1137" s="4"/>
      <c r="DG1137" s="4"/>
      <c r="DH1137" s="4"/>
      <c r="DI1137" s="4"/>
      <c r="DJ1137" s="4"/>
      <c r="DK1137" s="4"/>
      <c r="DL1137" s="4"/>
    </row>
    <row r="1138" spans="1:116" s="15" customFormat="1" x14ac:dyDescent="0.25">
      <c r="A1138" s="16"/>
      <c r="B1138" s="16"/>
      <c r="C1138" s="16"/>
      <c r="D1138" s="98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/>
      <c r="AT1138" s="14"/>
      <c r="AU1138" s="14"/>
      <c r="AV1138" s="14"/>
      <c r="AW1138" s="14"/>
      <c r="AX1138" s="14"/>
      <c r="AY1138" s="14"/>
      <c r="AZ1138" s="14"/>
      <c r="BA1138" s="14"/>
      <c r="BB1138" s="14"/>
      <c r="BC1138" s="14"/>
      <c r="BD1138" s="14"/>
      <c r="BE1138" s="14"/>
      <c r="BF1138" s="14"/>
      <c r="BG1138" s="14"/>
      <c r="BH1138" s="14"/>
      <c r="BI1138" s="14"/>
      <c r="BJ1138" s="14"/>
      <c r="BK1138" s="14"/>
      <c r="BL1138" s="14"/>
      <c r="BM1138" s="14"/>
      <c r="BN1138" s="14"/>
      <c r="BO1138" s="14"/>
      <c r="BP1138" s="14"/>
      <c r="BQ1138" s="14"/>
      <c r="BR1138" s="14"/>
      <c r="BS1138" s="14"/>
      <c r="BT1138" s="14"/>
      <c r="BU1138" s="14"/>
      <c r="BV1138" s="14"/>
      <c r="BW1138" s="14"/>
      <c r="BX1138" s="14"/>
      <c r="BY1138" s="14"/>
      <c r="BZ1138" s="14"/>
      <c r="CA1138" s="14"/>
      <c r="CB1138" s="14"/>
      <c r="CC1138" s="14"/>
      <c r="CD1138" s="14"/>
      <c r="CE1138" s="14"/>
      <c r="CF1138" s="14"/>
      <c r="CG1138" s="4"/>
      <c r="CH1138" s="4"/>
      <c r="CI1138" s="4"/>
      <c r="CJ1138" s="4"/>
      <c r="CK1138" s="4"/>
      <c r="CL1138" s="4"/>
      <c r="CM1138" s="4"/>
      <c r="CN1138" s="4"/>
      <c r="CO1138" s="4"/>
      <c r="CP1138" s="4"/>
      <c r="CQ1138" s="4"/>
      <c r="CR1138" s="4"/>
      <c r="CS1138" s="4"/>
      <c r="CT1138" s="4"/>
      <c r="CU1138" s="4"/>
      <c r="CV1138" s="4"/>
      <c r="CW1138" s="4"/>
      <c r="CX1138" s="4"/>
      <c r="CY1138" s="4"/>
      <c r="CZ1138" s="4"/>
      <c r="DA1138" s="4"/>
      <c r="DB1138" s="4"/>
      <c r="DC1138" s="4"/>
      <c r="DD1138" s="4"/>
      <c r="DE1138" s="4"/>
      <c r="DF1138" s="4"/>
      <c r="DG1138" s="4"/>
      <c r="DH1138" s="4"/>
      <c r="DI1138" s="4"/>
      <c r="DJ1138" s="4"/>
      <c r="DK1138" s="4"/>
      <c r="DL1138" s="4"/>
    </row>
    <row r="1139" spans="1:116" s="15" customFormat="1" x14ac:dyDescent="0.25">
      <c r="A1139" s="16"/>
      <c r="B1139" s="16"/>
      <c r="C1139" s="16"/>
      <c r="D1139" s="98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/>
      <c r="AT1139" s="14"/>
      <c r="AU1139" s="14"/>
      <c r="AV1139" s="14"/>
      <c r="AW1139" s="14"/>
      <c r="AX1139" s="14"/>
      <c r="AY1139" s="14"/>
      <c r="AZ1139" s="14"/>
      <c r="BA1139" s="14"/>
      <c r="BB1139" s="14"/>
      <c r="BC1139" s="14"/>
      <c r="BD1139" s="14"/>
      <c r="BE1139" s="14"/>
      <c r="BF1139" s="14"/>
      <c r="BG1139" s="14"/>
      <c r="BH1139" s="14"/>
      <c r="BI1139" s="14"/>
      <c r="BJ1139" s="14"/>
      <c r="BK1139" s="14"/>
      <c r="BL1139" s="14"/>
      <c r="BM1139" s="14"/>
      <c r="BN1139" s="14"/>
      <c r="BO1139" s="14"/>
      <c r="BP1139" s="14"/>
      <c r="BQ1139" s="14"/>
      <c r="BR1139" s="14"/>
      <c r="BS1139" s="14"/>
      <c r="BT1139" s="14"/>
      <c r="BU1139" s="14"/>
      <c r="BV1139" s="14"/>
      <c r="BW1139" s="14"/>
      <c r="BX1139" s="14"/>
      <c r="BY1139" s="14"/>
      <c r="BZ1139" s="14"/>
      <c r="CA1139" s="14"/>
      <c r="CB1139" s="14"/>
      <c r="CC1139" s="14"/>
      <c r="CD1139" s="14"/>
      <c r="CE1139" s="14"/>
      <c r="CF1139" s="14"/>
      <c r="CG1139" s="4"/>
      <c r="CH1139" s="4"/>
      <c r="CI1139" s="4"/>
      <c r="CJ1139" s="4"/>
      <c r="CK1139" s="4"/>
      <c r="CL1139" s="4"/>
      <c r="CM1139" s="4"/>
      <c r="CN1139" s="4"/>
      <c r="CO1139" s="4"/>
      <c r="CP1139" s="4"/>
      <c r="CQ1139" s="4"/>
      <c r="CR1139" s="4"/>
      <c r="CS1139" s="4"/>
      <c r="CT1139" s="4"/>
      <c r="CU1139" s="4"/>
      <c r="CV1139" s="4"/>
      <c r="CW1139" s="4"/>
      <c r="CX1139" s="4"/>
      <c r="CY1139" s="4"/>
      <c r="CZ1139" s="4"/>
      <c r="DA1139" s="4"/>
      <c r="DB1139" s="4"/>
      <c r="DC1139" s="4"/>
      <c r="DD1139" s="4"/>
      <c r="DE1139" s="4"/>
      <c r="DF1139" s="4"/>
      <c r="DG1139" s="4"/>
      <c r="DH1139" s="4"/>
      <c r="DI1139" s="4"/>
      <c r="DJ1139" s="4"/>
      <c r="DK1139" s="4"/>
      <c r="DL1139" s="4"/>
    </row>
    <row r="1140" spans="1:116" s="15" customFormat="1" x14ac:dyDescent="0.25">
      <c r="A1140" s="16"/>
      <c r="B1140" s="16"/>
      <c r="C1140" s="16"/>
      <c r="D1140" s="98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/>
      <c r="AT1140" s="14"/>
      <c r="AU1140" s="14"/>
      <c r="AV1140" s="14"/>
      <c r="AW1140" s="14"/>
      <c r="AX1140" s="14"/>
      <c r="AY1140" s="14"/>
      <c r="AZ1140" s="14"/>
      <c r="BA1140" s="14"/>
      <c r="BB1140" s="14"/>
      <c r="BC1140" s="14"/>
      <c r="BD1140" s="14"/>
      <c r="BE1140" s="14"/>
      <c r="BF1140" s="14"/>
      <c r="BG1140" s="14"/>
      <c r="BH1140" s="14"/>
      <c r="BI1140" s="14"/>
      <c r="BJ1140" s="14"/>
      <c r="BK1140" s="14"/>
      <c r="BL1140" s="14"/>
      <c r="BM1140" s="14"/>
      <c r="BN1140" s="14"/>
      <c r="BO1140" s="14"/>
      <c r="BP1140" s="14"/>
      <c r="BQ1140" s="14"/>
      <c r="BR1140" s="14"/>
      <c r="BS1140" s="14"/>
      <c r="BT1140" s="14"/>
      <c r="BU1140" s="14"/>
      <c r="BV1140" s="14"/>
      <c r="BW1140" s="14"/>
      <c r="BX1140" s="14"/>
      <c r="BY1140" s="14"/>
      <c r="BZ1140" s="14"/>
      <c r="CA1140" s="14"/>
      <c r="CB1140" s="14"/>
      <c r="CC1140" s="14"/>
      <c r="CD1140" s="14"/>
      <c r="CE1140" s="14"/>
      <c r="CF1140" s="14"/>
      <c r="CG1140" s="4"/>
      <c r="CH1140" s="4"/>
      <c r="CI1140" s="4"/>
      <c r="CJ1140" s="4"/>
      <c r="CK1140" s="4"/>
      <c r="CL1140" s="4"/>
      <c r="CM1140" s="4"/>
      <c r="CN1140" s="4"/>
      <c r="CO1140" s="4"/>
      <c r="CP1140" s="4"/>
      <c r="CQ1140" s="4"/>
      <c r="CR1140" s="4"/>
      <c r="CS1140" s="4"/>
      <c r="CT1140" s="4"/>
      <c r="CU1140" s="4"/>
      <c r="CV1140" s="4"/>
      <c r="CW1140" s="4"/>
      <c r="CX1140" s="4"/>
      <c r="CY1140" s="4"/>
      <c r="CZ1140" s="4"/>
      <c r="DA1140" s="4"/>
      <c r="DB1140" s="4"/>
      <c r="DC1140" s="4"/>
      <c r="DD1140" s="4"/>
      <c r="DE1140" s="4"/>
      <c r="DF1140" s="4"/>
      <c r="DG1140" s="4"/>
      <c r="DH1140" s="4"/>
      <c r="DI1140" s="4"/>
      <c r="DJ1140" s="4"/>
      <c r="DK1140" s="4"/>
      <c r="DL1140" s="4"/>
    </row>
    <row r="1141" spans="1:116" s="15" customFormat="1" x14ac:dyDescent="0.25">
      <c r="A1141" s="16"/>
      <c r="B1141" s="16"/>
      <c r="C1141" s="16"/>
      <c r="D1141" s="98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/>
      <c r="AT1141" s="14"/>
      <c r="AU1141" s="14"/>
      <c r="AV1141" s="14"/>
      <c r="AW1141" s="14"/>
      <c r="AX1141" s="14"/>
      <c r="AY1141" s="14"/>
      <c r="AZ1141" s="14"/>
      <c r="BA1141" s="14"/>
      <c r="BB1141" s="14"/>
      <c r="BC1141" s="14"/>
      <c r="BD1141" s="14"/>
      <c r="BE1141" s="14"/>
      <c r="BF1141" s="14"/>
      <c r="BG1141" s="14"/>
      <c r="BH1141" s="14"/>
      <c r="BI1141" s="14"/>
      <c r="BJ1141" s="14"/>
      <c r="BK1141" s="14"/>
      <c r="BL1141" s="14"/>
      <c r="BM1141" s="14"/>
      <c r="BN1141" s="14"/>
      <c r="BO1141" s="14"/>
      <c r="BP1141" s="14"/>
      <c r="BQ1141" s="14"/>
      <c r="BR1141" s="14"/>
      <c r="BS1141" s="14"/>
      <c r="BT1141" s="14"/>
      <c r="BU1141" s="14"/>
      <c r="BV1141" s="14"/>
      <c r="BW1141" s="14"/>
      <c r="BX1141" s="14"/>
      <c r="BY1141" s="14"/>
      <c r="BZ1141" s="14"/>
      <c r="CA1141" s="14"/>
      <c r="CB1141" s="14"/>
      <c r="CC1141" s="14"/>
      <c r="CD1141" s="14"/>
      <c r="CE1141" s="14"/>
      <c r="CF1141" s="14"/>
      <c r="CG1141" s="4"/>
      <c r="CH1141" s="4"/>
      <c r="CI1141" s="4"/>
      <c r="CJ1141" s="4"/>
      <c r="CK1141" s="4"/>
      <c r="CL1141" s="4"/>
      <c r="CM1141" s="4"/>
      <c r="CN1141" s="4"/>
      <c r="CO1141" s="4"/>
      <c r="CP1141" s="4"/>
      <c r="CQ1141" s="4"/>
      <c r="CR1141" s="4"/>
      <c r="CS1141" s="4"/>
      <c r="CT1141" s="4"/>
      <c r="CU1141" s="4"/>
      <c r="CV1141" s="4"/>
      <c r="CW1141" s="4"/>
      <c r="CX1141" s="4"/>
      <c r="CY1141" s="4"/>
      <c r="CZ1141" s="4"/>
      <c r="DA1141" s="4"/>
      <c r="DB1141" s="4"/>
      <c r="DC1141" s="4"/>
      <c r="DD1141" s="4"/>
      <c r="DE1141" s="4"/>
      <c r="DF1141" s="4"/>
      <c r="DG1141" s="4"/>
      <c r="DH1141" s="4"/>
      <c r="DI1141" s="4"/>
      <c r="DJ1141" s="4"/>
      <c r="DK1141" s="4"/>
      <c r="DL1141" s="4"/>
    </row>
    <row r="1142" spans="1:116" s="15" customFormat="1" x14ac:dyDescent="0.25">
      <c r="A1142" s="16"/>
      <c r="B1142" s="16"/>
      <c r="C1142" s="16"/>
      <c r="D1142" s="98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4"/>
      <c r="AJ1142" s="14"/>
      <c r="AK1142" s="14"/>
      <c r="AL1142" s="14"/>
      <c r="AM1142" s="14"/>
      <c r="AN1142" s="14"/>
      <c r="AO1142" s="14"/>
      <c r="AP1142" s="14"/>
      <c r="AQ1142" s="14"/>
      <c r="AR1142" s="14"/>
      <c r="AS1142" s="14"/>
      <c r="AT1142" s="14"/>
      <c r="AU1142" s="14"/>
      <c r="AV1142" s="14"/>
      <c r="AW1142" s="14"/>
      <c r="AX1142" s="14"/>
      <c r="AY1142" s="14"/>
      <c r="AZ1142" s="14"/>
      <c r="BA1142" s="14"/>
      <c r="BB1142" s="14"/>
      <c r="BC1142" s="14"/>
      <c r="BD1142" s="14"/>
      <c r="BE1142" s="14"/>
      <c r="BF1142" s="14"/>
      <c r="BG1142" s="14"/>
      <c r="BH1142" s="14"/>
      <c r="BI1142" s="14"/>
      <c r="BJ1142" s="14"/>
      <c r="BK1142" s="14"/>
      <c r="BL1142" s="14"/>
      <c r="BM1142" s="14"/>
      <c r="BN1142" s="14"/>
      <c r="BO1142" s="14"/>
      <c r="BP1142" s="14"/>
      <c r="BQ1142" s="14"/>
      <c r="BR1142" s="14"/>
      <c r="BS1142" s="14"/>
      <c r="BT1142" s="14"/>
      <c r="BU1142" s="14"/>
      <c r="BV1142" s="14"/>
      <c r="BW1142" s="14"/>
      <c r="BX1142" s="14"/>
      <c r="BY1142" s="14"/>
      <c r="BZ1142" s="14"/>
      <c r="CA1142" s="14"/>
      <c r="CB1142" s="14"/>
      <c r="CC1142" s="14"/>
      <c r="CD1142" s="14"/>
      <c r="CE1142" s="14"/>
      <c r="CF1142" s="14"/>
      <c r="CG1142" s="4"/>
      <c r="CH1142" s="4"/>
      <c r="CI1142" s="4"/>
      <c r="CJ1142" s="4"/>
      <c r="CK1142" s="4"/>
      <c r="CL1142" s="4"/>
      <c r="CM1142" s="4"/>
      <c r="CN1142" s="4"/>
      <c r="CO1142" s="4"/>
      <c r="CP1142" s="4"/>
      <c r="CQ1142" s="4"/>
      <c r="CR1142" s="4"/>
      <c r="CS1142" s="4"/>
      <c r="CT1142" s="4"/>
      <c r="CU1142" s="4"/>
      <c r="CV1142" s="4"/>
      <c r="CW1142" s="4"/>
      <c r="CX1142" s="4"/>
      <c r="CY1142" s="4"/>
      <c r="CZ1142" s="4"/>
      <c r="DA1142" s="4"/>
      <c r="DB1142" s="4"/>
      <c r="DC1142" s="4"/>
      <c r="DD1142" s="4"/>
      <c r="DE1142" s="4"/>
      <c r="DF1142" s="4"/>
      <c r="DG1142" s="4"/>
      <c r="DH1142" s="4"/>
      <c r="DI1142" s="4"/>
      <c r="DJ1142" s="4"/>
      <c r="DK1142" s="4"/>
      <c r="DL1142" s="4"/>
    </row>
    <row r="1143" spans="1:116" s="15" customFormat="1" x14ac:dyDescent="0.25">
      <c r="A1143" s="16"/>
      <c r="B1143" s="16"/>
      <c r="C1143" s="16"/>
      <c r="D1143" s="98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/>
      <c r="AT1143" s="14"/>
      <c r="AU1143" s="14"/>
      <c r="AV1143" s="14"/>
      <c r="AW1143" s="14"/>
      <c r="AX1143" s="14"/>
      <c r="AY1143" s="14"/>
      <c r="AZ1143" s="14"/>
      <c r="BA1143" s="14"/>
      <c r="BB1143" s="14"/>
      <c r="BC1143" s="14"/>
      <c r="BD1143" s="14"/>
      <c r="BE1143" s="14"/>
      <c r="BF1143" s="14"/>
      <c r="BG1143" s="14"/>
      <c r="BH1143" s="14"/>
      <c r="BI1143" s="14"/>
      <c r="BJ1143" s="14"/>
      <c r="BK1143" s="14"/>
      <c r="BL1143" s="14"/>
      <c r="BM1143" s="14"/>
      <c r="BN1143" s="14"/>
      <c r="BO1143" s="14"/>
      <c r="BP1143" s="14"/>
      <c r="BQ1143" s="14"/>
      <c r="BR1143" s="14"/>
      <c r="BS1143" s="14"/>
      <c r="BT1143" s="14"/>
      <c r="BU1143" s="14"/>
      <c r="BV1143" s="14"/>
      <c r="BW1143" s="14"/>
      <c r="BX1143" s="14"/>
      <c r="BY1143" s="14"/>
      <c r="BZ1143" s="14"/>
      <c r="CA1143" s="14"/>
      <c r="CB1143" s="14"/>
      <c r="CC1143" s="14"/>
      <c r="CD1143" s="14"/>
      <c r="CE1143" s="14"/>
      <c r="CF1143" s="14"/>
      <c r="CG1143" s="4"/>
      <c r="CH1143" s="4"/>
      <c r="CI1143" s="4"/>
      <c r="CJ1143" s="4"/>
      <c r="CK1143" s="4"/>
      <c r="CL1143" s="4"/>
      <c r="CM1143" s="4"/>
      <c r="CN1143" s="4"/>
      <c r="CO1143" s="4"/>
      <c r="CP1143" s="4"/>
      <c r="CQ1143" s="4"/>
      <c r="CR1143" s="4"/>
      <c r="CS1143" s="4"/>
      <c r="CT1143" s="4"/>
      <c r="CU1143" s="4"/>
      <c r="CV1143" s="4"/>
      <c r="CW1143" s="4"/>
      <c r="CX1143" s="4"/>
      <c r="CY1143" s="4"/>
      <c r="CZ1143" s="4"/>
      <c r="DA1143" s="4"/>
      <c r="DB1143" s="4"/>
      <c r="DC1143" s="4"/>
      <c r="DD1143" s="4"/>
      <c r="DE1143" s="4"/>
      <c r="DF1143" s="4"/>
      <c r="DG1143" s="4"/>
      <c r="DH1143" s="4"/>
      <c r="DI1143" s="4"/>
      <c r="DJ1143" s="4"/>
      <c r="DK1143" s="4"/>
      <c r="DL1143" s="4"/>
    </row>
    <row r="1144" spans="1:116" s="15" customFormat="1" x14ac:dyDescent="0.25">
      <c r="A1144" s="16"/>
      <c r="B1144" s="16"/>
      <c r="C1144" s="16"/>
      <c r="D1144" s="98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/>
      <c r="AT1144" s="14"/>
      <c r="AU1144" s="14"/>
      <c r="AV1144" s="14"/>
      <c r="AW1144" s="14"/>
      <c r="AX1144" s="14"/>
      <c r="AY1144" s="14"/>
      <c r="AZ1144" s="14"/>
      <c r="BA1144" s="14"/>
      <c r="BB1144" s="14"/>
      <c r="BC1144" s="14"/>
      <c r="BD1144" s="14"/>
      <c r="BE1144" s="14"/>
      <c r="BF1144" s="14"/>
      <c r="BG1144" s="14"/>
      <c r="BH1144" s="14"/>
      <c r="BI1144" s="14"/>
      <c r="BJ1144" s="14"/>
      <c r="BK1144" s="14"/>
      <c r="BL1144" s="14"/>
      <c r="BM1144" s="14"/>
      <c r="BN1144" s="14"/>
      <c r="BO1144" s="14"/>
      <c r="BP1144" s="14"/>
      <c r="BQ1144" s="14"/>
      <c r="BR1144" s="14"/>
      <c r="BS1144" s="14"/>
      <c r="BT1144" s="14"/>
      <c r="BU1144" s="14"/>
      <c r="BV1144" s="14"/>
      <c r="BW1144" s="14"/>
      <c r="BX1144" s="14"/>
      <c r="BY1144" s="14"/>
      <c r="BZ1144" s="14"/>
      <c r="CA1144" s="14"/>
      <c r="CB1144" s="14"/>
      <c r="CC1144" s="14"/>
      <c r="CD1144" s="14"/>
      <c r="CE1144" s="14"/>
      <c r="CF1144" s="14"/>
      <c r="CG1144" s="4"/>
      <c r="CH1144" s="4"/>
      <c r="CI1144" s="4"/>
      <c r="CJ1144" s="4"/>
      <c r="CK1144" s="4"/>
      <c r="CL1144" s="4"/>
      <c r="CM1144" s="4"/>
      <c r="CN1144" s="4"/>
      <c r="CO1144" s="4"/>
      <c r="CP1144" s="4"/>
      <c r="CQ1144" s="4"/>
      <c r="CR1144" s="4"/>
      <c r="CS1144" s="4"/>
      <c r="CT1144" s="4"/>
      <c r="CU1144" s="4"/>
      <c r="CV1144" s="4"/>
      <c r="CW1144" s="4"/>
      <c r="CX1144" s="4"/>
      <c r="CY1144" s="4"/>
      <c r="CZ1144" s="4"/>
      <c r="DA1144" s="4"/>
      <c r="DB1144" s="4"/>
      <c r="DC1144" s="4"/>
      <c r="DD1144" s="4"/>
      <c r="DE1144" s="4"/>
      <c r="DF1144" s="4"/>
      <c r="DG1144" s="4"/>
      <c r="DH1144" s="4"/>
      <c r="DI1144" s="4"/>
      <c r="DJ1144" s="4"/>
      <c r="DK1144" s="4"/>
      <c r="DL1144" s="4"/>
    </row>
    <row r="1145" spans="1:116" s="15" customFormat="1" x14ac:dyDescent="0.25">
      <c r="A1145" s="16"/>
      <c r="B1145" s="16"/>
      <c r="C1145" s="16"/>
      <c r="D1145" s="98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  <c r="AB1145" s="14"/>
      <c r="AC1145" s="14"/>
      <c r="AD1145" s="14"/>
      <c r="AE1145" s="14"/>
      <c r="AF1145" s="14"/>
      <c r="AG1145" s="14"/>
      <c r="AH1145" s="14"/>
      <c r="AI1145" s="14"/>
      <c r="AJ1145" s="14"/>
      <c r="AK1145" s="14"/>
      <c r="AL1145" s="14"/>
      <c r="AM1145" s="14"/>
      <c r="AN1145" s="14"/>
      <c r="AO1145" s="14"/>
      <c r="AP1145" s="14"/>
      <c r="AQ1145" s="14"/>
      <c r="AR1145" s="14"/>
      <c r="AS1145" s="14"/>
      <c r="AT1145" s="14"/>
      <c r="AU1145" s="14"/>
      <c r="AV1145" s="14"/>
      <c r="AW1145" s="14"/>
      <c r="AX1145" s="14"/>
      <c r="AY1145" s="14"/>
      <c r="AZ1145" s="14"/>
      <c r="BA1145" s="14"/>
      <c r="BB1145" s="14"/>
      <c r="BC1145" s="14"/>
      <c r="BD1145" s="14"/>
      <c r="BE1145" s="14"/>
      <c r="BF1145" s="14"/>
      <c r="BG1145" s="14"/>
      <c r="BH1145" s="14"/>
      <c r="BI1145" s="14"/>
      <c r="BJ1145" s="14"/>
      <c r="BK1145" s="14"/>
      <c r="BL1145" s="14"/>
      <c r="BM1145" s="14"/>
      <c r="BN1145" s="14"/>
      <c r="BO1145" s="14"/>
      <c r="BP1145" s="14"/>
      <c r="BQ1145" s="14"/>
      <c r="BR1145" s="14"/>
      <c r="BS1145" s="14"/>
      <c r="BT1145" s="14"/>
      <c r="BU1145" s="14"/>
      <c r="BV1145" s="14"/>
      <c r="BW1145" s="14"/>
      <c r="BX1145" s="14"/>
      <c r="BY1145" s="14"/>
      <c r="BZ1145" s="14"/>
      <c r="CA1145" s="14"/>
      <c r="CB1145" s="14"/>
      <c r="CC1145" s="14"/>
      <c r="CD1145" s="14"/>
      <c r="CE1145" s="14"/>
      <c r="CF1145" s="14"/>
      <c r="CG1145" s="4"/>
      <c r="CH1145" s="4"/>
      <c r="CI1145" s="4"/>
      <c r="CJ1145" s="4"/>
      <c r="CK1145" s="4"/>
      <c r="CL1145" s="4"/>
      <c r="CM1145" s="4"/>
      <c r="CN1145" s="4"/>
      <c r="CO1145" s="4"/>
      <c r="CP1145" s="4"/>
      <c r="CQ1145" s="4"/>
      <c r="CR1145" s="4"/>
      <c r="CS1145" s="4"/>
      <c r="CT1145" s="4"/>
      <c r="CU1145" s="4"/>
      <c r="CV1145" s="4"/>
      <c r="CW1145" s="4"/>
      <c r="CX1145" s="4"/>
      <c r="CY1145" s="4"/>
      <c r="CZ1145" s="4"/>
      <c r="DA1145" s="4"/>
      <c r="DB1145" s="4"/>
      <c r="DC1145" s="4"/>
      <c r="DD1145" s="4"/>
      <c r="DE1145" s="4"/>
      <c r="DF1145" s="4"/>
      <c r="DG1145" s="4"/>
      <c r="DH1145" s="4"/>
      <c r="DI1145" s="4"/>
      <c r="DJ1145" s="4"/>
      <c r="DK1145" s="4"/>
      <c r="DL1145" s="4"/>
    </row>
    <row r="1146" spans="1:116" s="15" customFormat="1" x14ac:dyDescent="0.25">
      <c r="A1146" s="16"/>
      <c r="B1146" s="16"/>
      <c r="C1146" s="16"/>
      <c r="D1146" s="98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/>
      <c r="AT1146" s="14"/>
      <c r="AU1146" s="14"/>
      <c r="AV1146" s="14"/>
      <c r="AW1146" s="14"/>
      <c r="AX1146" s="14"/>
      <c r="AY1146" s="14"/>
      <c r="AZ1146" s="14"/>
      <c r="BA1146" s="14"/>
      <c r="BB1146" s="14"/>
      <c r="BC1146" s="14"/>
      <c r="BD1146" s="14"/>
      <c r="BE1146" s="14"/>
      <c r="BF1146" s="14"/>
      <c r="BG1146" s="14"/>
      <c r="BH1146" s="14"/>
      <c r="BI1146" s="14"/>
      <c r="BJ1146" s="14"/>
      <c r="BK1146" s="14"/>
      <c r="BL1146" s="14"/>
      <c r="BM1146" s="14"/>
      <c r="BN1146" s="14"/>
      <c r="BO1146" s="14"/>
      <c r="BP1146" s="14"/>
      <c r="BQ1146" s="14"/>
      <c r="BR1146" s="14"/>
      <c r="BS1146" s="14"/>
      <c r="BT1146" s="14"/>
      <c r="BU1146" s="14"/>
      <c r="BV1146" s="14"/>
      <c r="BW1146" s="14"/>
      <c r="BX1146" s="14"/>
      <c r="BY1146" s="14"/>
      <c r="BZ1146" s="14"/>
      <c r="CA1146" s="14"/>
      <c r="CB1146" s="14"/>
      <c r="CC1146" s="14"/>
      <c r="CD1146" s="14"/>
      <c r="CE1146" s="14"/>
      <c r="CF1146" s="14"/>
      <c r="CG1146" s="4"/>
      <c r="CH1146" s="4"/>
      <c r="CI1146" s="4"/>
      <c r="CJ1146" s="4"/>
      <c r="CK1146" s="4"/>
      <c r="CL1146" s="4"/>
      <c r="CM1146" s="4"/>
      <c r="CN1146" s="4"/>
      <c r="CO1146" s="4"/>
      <c r="CP1146" s="4"/>
      <c r="CQ1146" s="4"/>
      <c r="CR1146" s="4"/>
      <c r="CS1146" s="4"/>
      <c r="CT1146" s="4"/>
      <c r="CU1146" s="4"/>
      <c r="CV1146" s="4"/>
      <c r="CW1146" s="4"/>
      <c r="CX1146" s="4"/>
      <c r="CY1146" s="4"/>
      <c r="CZ1146" s="4"/>
      <c r="DA1146" s="4"/>
      <c r="DB1146" s="4"/>
      <c r="DC1146" s="4"/>
      <c r="DD1146" s="4"/>
      <c r="DE1146" s="4"/>
      <c r="DF1146" s="4"/>
      <c r="DG1146" s="4"/>
      <c r="DH1146" s="4"/>
      <c r="DI1146" s="4"/>
      <c r="DJ1146" s="4"/>
      <c r="DK1146" s="4"/>
      <c r="DL1146" s="4"/>
    </row>
    <row r="1147" spans="1:116" s="15" customFormat="1" x14ac:dyDescent="0.25">
      <c r="A1147" s="16"/>
      <c r="B1147" s="16"/>
      <c r="C1147" s="16"/>
      <c r="D1147" s="98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4"/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/>
      <c r="AT1147" s="14"/>
      <c r="AU1147" s="14"/>
      <c r="AV1147" s="14"/>
      <c r="AW1147" s="14"/>
      <c r="AX1147" s="14"/>
      <c r="AY1147" s="14"/>
      <c r="AZ1147" s="14"/>
      <c r="BA1147" s="14"/>
      <c r="BB1147" s="14"/>
      <c r="BC1147" s="14"/>
      <c r="BD1147" s="14"/>
      <c r="BE1147" s="14"/>
      <c r="BF1147" s="14"/>
      <c r="BG1147" s="14"/>
      <c r="BH1147" s="14"/>
      <c r="BI1147" s="14"/>
      <c r="BJ1147" s="14"/>
      <c r="BK1147" s="14"/>
      <c r="BL1147" s="14"/>
      <c r="BM1147" s="14"/>
      <c r="BN1147" s="14"/>
      <c r="BO1147" s="14"/>
      <c r="BP1147" s="14"/>
      <c r="BQ1147" s="14"/>
      <c r="BR1147" s="14"/>
      <c r="BS1147" s="14"/>
      <c r="BT1147" s="14"/>
      <c r="BU1147" s="14"/>
      <c r="BV1147" s="14"/>
      <c r="BW1147" s="14"/>
      <c r="BX1147" s="14"/>
      <c r="BY1147" s="14"/>
      <c r="BZ1147" s="14"/>
      <c r="CA1147" s="14"/>
      <c r="CB1147" s="14"/>
      <c r="CC1147" s="14"/>
      <c r="CD1147" s="14"/>
      <c r="CE1147" s="14"/>
      <c r="CF1147" s="14"/>
      <c r="CG1147" s="4"/>
      <c r="CH1147" s="4"/>
      <c r="CI1147" s="4"/>
      <c r="CJ1147" s="4"/>
      <c r="CK1147" s="4"/>
      <c r="CL1147" s="4"/>
      <c r="CM1147" s="4"/>
      <c r="CN1147" s="4"/>
      <c r="CO1147" s="4"/>
      <c r="CP1147" s="4"/>
      <c r="CQ1147" s="4"/>
      <c r="CR1147" s="4"/>
      <c r="CS1147" s="4"/>
      <c r="CT1147" s="4"/>
      <c r="CU1147" s="4"/>
      <c r="CV1147" s="4"/>
      <c r="CW1147" s="4"/>
      <c r="CX1147" s="4"/>
      <c r="CY1147" s="4"/>
      <c r="CZ1147" s="4"/>
      <c r="DA1147" s="4"/>
      <c r="DB1147" s="4"/>
      <c r="DC1147" s="4"/>
      <c r="DD1147" s="4"/>
      <c r="DE1147" s="4"/>
      <c r="DF1147" s="4"/>
      <c r="DG1147" s="4"/>
      <c r="DH1147" s="4"/>
      <c r="DI1147" s="4"/>
      <c r="DJ1147" s="4"/>
      <c r="DK1147" s="4"/>
      <c r="DL1147" s="4"/>
    </row>
    <row r="1148" spans="1:116" s="15" customFormat="1" x14ac:dyDescent="0.25">
      <c r="A1148" s="16"/>
      <c r="B1148" s="16"/>
      <c r="C1148" s="16"/>
      <c r="D1148" s="98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/>
      <c r="AT1148" s="14"/>
      <c r="AU1148" s="14"/>
      <c r="AV1148" s="14"/>
      <c r="AW1148" s="14"/>
      <c r="AX1148" s="14"/>
      <c r="AY1148" s="14"/>
      <c r="AZ1148" s="14"/>
      <c r="BA1148" s="14"/>
      <c r="BB1148" s="14"/>
      <c r="BC1148" s="14"/>
      <c r="BD1148" s="14"/>
      <c r="BE1148" s="14"/>
      <c r="BF1148" s="14"/>
      <c r="BG1148" s="14"/>
      <c r="BH1148" s="14"/>
      <c r="BI1148" s="14"/>
      <c r="BJ1148" s="14"/>
      <c r="BK1148" s="14"/>
      <c r="BL1148" s="14"/>
      <c r="BM1148" s="14"/>
      <c r="BN1148" s="14"/>
      <c r="BO1148" s="14"/>
      <c r="BP1148" s="14"/>
      <c r="BQ1148" s="14"/>
      <c r="BR1148" s="14"/>
      <c r="BS1148" s="14"/>
      <c r="BT1148" s="14"/>
      <c r="BU1148" s="14"/>
      <c r="BV1148" s="14"/>
      <c r="BW1148" s="14"/>
      <c r="BX1148" s="14"/>
      <c r="BY1148" s="14"/>
      <c r="BZ1148" s="14"/>
      <c r="CA1148" s="14"/>
      <c r="CB1148" s="14"/>
      <c r="CC1148" s="14"/>
      <c r="CD1148" s="14"/>
      <c r="CE1148" s="14"/>
      <c r="CF1148" s="14"/>
      <c r="CG1148" s="4"/>
      <c r="CH1148" s="4"/>
      <c r="CI1148" s="4"/>
      <c r="CJ1148" s="4"/>
      <c r="CK1148" s="4"/>
      <c r="CL1148" s="4"/>
      <c r="CM1148" s="4"/>
      <c r="CN1148" s="4"/>
      <c r="CO1148" s="4"/>
      <c r="CP1148" s="4"/>
      <c r="CQ1148" s="4"/>
      <c r="CR1148" s="4"/>
      <c r="CS1148" s="4"/>
      <c r="CT1148" s="4"/>
      <c r="CU1148" s="4"/>
      <c r="CV1148" s="4"/>
      <c r="CW1148" s="4"/>
      <c r="CX1148" s="4"/>
      <c r="CY1148" s="4"/>
      <c r="CZ1148" s="4"/>
      <c r="DA1148" s="4"/>
      <c r="DB1148" s="4"/>
      <c r="DC1148" s="4"/>
      <c r="DD1148" s="4"/>
      <c r="DE1148" s="4"/>
      <c r="DF1148" s="4"/>
      <c r="DG1148" s="4"/>
      <c r="DH1148" s="4"/>
      <c r="DI1148" s="4"/>
      <c r="DJ1148" s="4"/>
      <c r="DK1148" s="4"/>
      <c r="DL1148" s="4"/>
    </row>
    <row r="1149" spans="1:116" s="15" customFormat="1" x14ac:dyDescent="0.25">
      <c r="A1149" s="16"/>
      <c r="B1149" s="16"/>
      <c r="C1149" s="16"/>
      <c r="D1149" s="98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/>
      <c r="AT1149" s="14"/>
      <c r="AU1149" s="14"/>
      <c r="AV1149" s="14"/>
      <c r="AW1149" s="14"/>
      <c r="AX1149" s="14"/>
      <c r="AY1149" s="14"/>
      <c r="AZ1149" s="14"/>
      <c r="BA1149" s="14"/>
      <c r="BB1149" s="14"/>
      <c r="BC1149" s="14"/>
      <c r="BD1149" s="14"/>
      <c r="BE1149" s="14"/>
      <c r="BF1149" s="14"/>
      <c r="BG1149" s="14"/>
      <c r="BH1149" s="14"/>
      <c r="BI1149" s="14"/>
      <c r="BJ1149" s="14"/>
      <c r="BK1149" s="14"/>
      <c r="BL1149" s="14"/>
      <c r="BM1149" s="14"/>
      <c r="BN1149" s="14"/>
      <c r="BO1149" s="14"/>
      <c r="BP1149" s="14"/>
      <c r="BQ1149" s="14"/>
      <c r="BR1149" s="14"/>
      <c r="BS1149" s="14"/>
      <c r="BT1149" s="14"/>
      <c r="BU1149" s="14"/>
      <c r="BV1149" s="14"/>
      <c r="BW1149" s="14"/>
      <c r="BX1149" s="14"/>
      <c r="BY1149" s="14"/>
      <c r="BZ1149" s="14"/>
      <c r="CA1149" s="14"/>
      <c r="CB1149" s="14"/>
      <c r="CC1149" s="14"/>
      <c r="CD1149" s="14"/>
      <c r="CE1149" s="14"/>
      <c r="CF1149" s="14"/>
      <c r="CG1149" s="4"/>
      <c r="CH1149" s="4"/>
      <c r="CI1149" s="4"/>
      <c r="CJ1149" s="4"/>
      <c r="CK1149" s="4"/>
      <c r="CL1149" s="4"/>
      <c r="CM1149" s="4"/>
      <c r="CN1149" s="4"/>
      <c r="CO1149" s="4"/>
      <c r="CP1149" s="4"/>
      <c r="CQ1149" s="4"/>
      <c r="CR1149" s="4"/>
      <c r="CS1149" s="4"/>
      <c r="CT1149" s="4"/>
      <c r="CU1149" s="4"/>
      <c r="CV1149" s="4"/>
      <c r="CW1149" s="4"/>
      <c r="CX1149" s="4"/>
      <c r="CY1149" s="4"/>
      <c r="CZ1149" s="4"/>
      <c r="DA1149" s="4"/>
      <c r="DB1149" s="4"/>
      <c r="DC1149" s="4"/>
      <c r="DD1149" s="4"/>
      <c r="DE1149" s="4"/>
      <c r="DF1149" s="4"/>
      <c r="DG1149" s="4"/>
      <c r="DH1149" s="4"/>
      <c r="DI1149" s="4"/>
      <c r="DJ1149" s="4"/>
      <c r="DK1149" s="4"/>
      <c r="DL1149" s="4"/>
    </row>
    <row r="1150" spans="1:116" s="15" customFormat="1" x14ac:dyDescent="0.25">
      <c r="A1150" s="16"/>
      <c r="B1150" s="16"/>
      <c r="C1150" s="16"/>
      <c r="D1150" s="98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/>
      <c r="AT1150" s="14"/>
      <c r="AU1150" s="14"/>
      <c r="AV1150" s="14"/>
      <c r="AW1150" s="14"/>
      <c r="AX1150" s="14"/>
      <c r="AY1150" s="14"/>
      <c r="AZ1150" s="14"/>
      <c r="BA1150" s="14"/>
      <c r="BB1150" s="14"/>
      <c r="BC1150" s="14"/>
      <c r="BD1150" s="14"/>
      <c r="BE1150" s="14"/>
      <c r="BF1150" s="14"/>
      <c r="BG1150" s="14"/>
      <c r="BH1150" s="14"/>
      <c r="BI1150" s="14"/>
      <c r="BJ1150" s="14"/>
      <c r="BK1150" s="14"/>
      <c r="BL1150" s="14"/>
      <c r="BM1150" s="14"/>
      <c r="BN1150" s="14"/>
      <c r="BO1150" s="14"/>
      <c r="BP1150" s="14"/>
      <c r="BQ1150" s="14"/>
      <c r="BR1150" s="14"/>
      <c r="BS1150" s="14"/>
      <c r="BT1150" s="14"/>
      <c r="BU1150" s="14"/>
      <c r="BV1150" s="14"/>
      <c r="BW1150" s="14"/>
      <c r="BX1150" s="14"/>
      <c r="BY1150" s="14"/>
      <c r="BZ1150" s="14"/>
      <c r="CA1150" s="14"/>
      <c r="CB1150" s="14"/>
      <c r="CC1150" s="14"/>
      <c r="CD1150" s="14"/>
      <c r="CE1150" s="14"/>
      <c r="CF1150" s="14"/>
      <c r="CG1150" s="4"/>
      <c r="CH1150" s="4"/>
      <c r="CI1150" s="4"/>
      <c r="CJ1150" s="4"/>
      <c r="CK1150" s="4"/>
      <c r="CL1150" s="4"/>
      <c r="CM1150" s="4"/>
      <c r="CN1150" s="4"/>
      <c r="CO1150" s="4"/>
      <c r="CP1150" s="4"/>
      <c r="CQ1150" s="4"/>
      <c r="CR1150" s="4"/>
      <c r="CS1150" s="4"/>
      <c r="CT1150" s="4"/>
      <c r="CU1150" s="4"/>
      <c r="CV1150" s="4"/>
      <c r="CW1150" s="4"/>
      <c r="CX1150" s="4"/>
      <c r="CY1150" s="4"/>
      <c r="CZ1150" s="4"/>
      <c r="DA1150" s="4"/>
      <c r="DB1150" s="4"/>
      <c r="DC1150" s="4"/>
      <c r="DD1150" s="4"/>
      <c r="DE1150" s="4"/>
      <c r="DF1150" s="4"/>
      <c r="DG1150" s="4"/>
      <c r="DH1150" s="4"/>
      <c r="DI1150" s="4"/>
      <c r="DJ1150" s="4"/>
      <c r="DK1150" s="4"/>
      <c r="DL1150" s="4"/>
    </row>
    <row r="1151" spans="1:116" s="15" customFormat="1" x14ac:dyDescent="0.25">
      <c r="A1151" s="16"/>
      <c r="B1151" s="16"/>
      <c r="C1151" s="16"/>
      <c r="D1151" s="98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/>
      <c r="AT1151" s="14"/>
      <c r="AU1151" s="14"/>
      <c r="AV1151" s="14"/>
      <c r="AW1151" s="14"/>
      <c r="AX1151" s="14"/>
      <c r="AY1151" s="14"/>
      <c r="AZ1151" s="14"/>
      <c r="BA1151" s="14"/>
      <c r="BB1151" s="14"/>
      <c r="BC1151" s="14"/>
      <c r="BD1151" s="14"/>
      <c r="BE1151" s="14"/>
      <c r="BF1151" s="14"/>
      <c r="BG1151" s="14"/>
      <c r="BH1151" s="14"/>
      <c r="BI1151" s="14"/>
      <c r="BJ1151" s="14"/>
      <c r="BK1151" s="14"/>
      <c r="BL1151" s="14"/>
      <c r="BM1151" s="14"/>
      <c r="BN1151" s="14"/>
      <c r="BO1151" s="14"/>
      <c r="BP1151" s="14"/>
      <c r="BQ1151" s="14"/>
      <c r="BR1151" s="14"/>
      <c r="BS1151" s="14"/>
      <c r="BT1151" s="14"/>
      <c r="BU1151" s="14"/>
      <c r="BV1151" s="14"/>
      <c r="BW1151" s="14"/>
      <c r="BX1151" s="14"/>
      <c r="BY1151" s="14"/>
      <c r="BZ1151" s="14"/>
      <c r="CA1151" s="14"/>
      <c r="CB1151" s="14"/>
      <c r="CC1151" s="14"/>
      <c r="CD1151" s="14"/>
      <c r="CE1151" s="14"/>
      <c r="CF1151" s="14"/>
      <c r="CG1151" s="4"/>
      <c r="CH1151" s="4"/>
      <c r="CI1151" s="4"/>
      <c r="CJ1151" s="4"/>
      <c r="CK1151" s="4"/>
      <c r="CL1151" s="4"/>
      <c r="CM1151" s="4"/>
      <c r="CN1151" s="4"/>
      <c r="CO1151" s="4"/>
      <c r="CP1151" s="4"/>
      <c r="CQ1151" s="4"/>
      <c r="CR1151" s="4"/>
      <c r="CS1151" s="4"/>
      <c r="CT1151" s="4"/>
      <c r="CU1151" s="4"/>
      <c r="CV1151" s="4"/>
      <c r="CW1151" s="4"/>
      <c r="CX1151" s="4"/>
      <c r="CY1151" s="4"/>
      <c r="CZ1151" s="4"/>
      <c r="DA1151" s="4"/>
      <c r="DB1151" s="4"/>
      <c r="DC1151" s="4"/>
      <c r="DD1151" s="4"/>
      <c r="DE1151" s="4"/>
      <c r="DF1151" s="4"/>
      <c r="DG1151" s="4"/>
      <c r="DH1151" s="4"/>
      <c r="DI1151" s="4"/>
      <c r="DJ1151" s="4"/>
      <c r="DK1151" s="4"/>
      <c r="DL1151" s="4"/>
    </row>
    <row r="1152" spans="1:116" s="15" customFormat="1" x14ac:dyDescent="0.25">
      <c r="A1152" s="16"/>
      <c r="B1152" s="16"/>
      <c r="C1152" s="16"/>
      <c r="D1152" s="98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/>
      <c r="AT1152" s="14"/>
      <c r="AU1152" s="14"/>
      <c r="AV1152" s="14"/>
      <c r="AW1152" s="14"/>
      <c r="AX1152" s="14"/>
      <c r="AY1152" s="14"/>
      <c r="AZ1152" s="14"/>
      <c r="BA1152" s="14"/>
      <c r="BB1152" s="14"/>
      <c r="BC1152" s="14"/>
      <c r="BD1152" s="14"/>
      <c r="BE1152" s="14"/>
      <c r="BF1152" s="14"/>
      <c r="BG1152" s="14"/>
      <c r="BH1152" s="14"/>
      <c r="BI1152" s="14"/>
      <c r="BJ1152" s="14"/>
      <c r="BK1152" s="14"/>
      <c r="BL1152" s="14"/>
      <c r="BM1152" s="14"/>
      <c r="BN1152" s="14"/>
      <c r="BO1152" s="14"/>
      <c r="BP1152" s="14"/>
      <c r="BQ1152" s="14"/>
      <c r="BR1152" s="14"/>
      <c r="BS1152" s="14"/>
      <c r="BT1152" s="14"/>
      <c r="BU1152" s="14"/>
      <c r="BV1152" s="14"/>
      <c r="BW1152" s="14"/>
      <c r="BX1152" s="14"/>
      <c r="BY1152" s="14"/>
      <c r="BZ1152" s="14"/>
      <c r="CA1152" s="14"/>
      <c r="CB1152" s="14"/>
      <c r="CC1152" s="14"/>
      <c r="CD1152" s="14"/>
      <c r="CE1152" s="14"/>
      <c r="CF1152" s="14"/>
      <c r="CG1152" s="4"/>
      <c r="CH1152" s="4"/>
      <c r="CI1152" s="4"/>
      <c r="CJ1152" s="4"/>
      <c r="CK1152" s="4"/>
      <c r="CL1152" s="4"/>
      <c r="CM1152" s="4"/>
      <c r="CN1152" s="4"/>
      <c r="CO1152" s="4"/>
      <c r="CP1152" s="4"/>
      <c r="CQ1152" s="4"/>
      <c r="CR1152" s="4"/>
      <c r="CS1152" s="4"/>
      <c r="CT1152" s="4"/>
      <c r="CU1152" s="4"/>
      <c r="CV1152" s="4"/>
      <c r="CW1152" s="4"/>
      <c r="CX1152" s="4"/>
      <c r="CY1152" s="4"/>
      <c r="CZ1152" s="4"/>
      <c r="DA1152" s="4"/>
      <c r="DB1152" s="4"/>
      <c r="DC1152" s="4"/>
      <c r="DD1152" s="4"/>
      <c r="DE1152" s="4"/>
      <c r="DF1152" s="4"/>
      <c r="DG1152" s="4"/>
      <c r="DH1152" s="4"/>
      <c r="DI1152" s="4"/>
      <c r="DJ1152" s="4"/>
      <c r="DK1152" s="4"/>
      <c r="DL1152" s="4"/>
    </row>
    <row r="1313" spans="1:124" s="4" customFormat="1" x14ac:dyDescent="0.25">
      <c r="A1313" s="2"/>
      <c r="B1313" s="2"/>
      <c r="C1313" s="2"/>
      <c r="D1313" s="98"/>
      <c r="E1313" s="15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4"/>
      <c r="AJ1313" s="14"/>
      <c r="AK1313" s="14"/>
      <c r="AL1313" s="14"/>
      <c r="AM1313" s="14"/>
      <c r="AN1313" s="14"/>
      <c r="AO1313" s="14"/>
      <c r="AP1313" s="14"/>
      <c r="AQ1313" s="14"/>
      <c r="AR1313" s="14"/>
      <c r="AS1313" s="14"/>
      <c r="AT1313" s="14"/>
      <c r="AU1313" s="14"/>
      <c r="AV1313" s="14"/>
      <c r="AW1313" s="14"/>
      <c r="AX1313" s="14"/>
      <c r="AY1313" s="14"/>
      <c r="AZ1313" s="14"/>
      <c r="BA1313" s="14"/>
      <c r="BB1313" s="14"/>
      <c r="BC1313" s="14"/>
      <c r="BD1313" s="14"/>
      <c r="BE1313" s="14"/>
      <c r="BF1313" s="14"/>
      <c r="BG1313" s="14"/>
      <c r="BH1313" s="14"/>
      <c r="BI1313" s="14"/>
      <c r="BJ1313" s="14"/>
      <c r="BK1313" s="14"/>
      <c r="BL1313" s="14"/>
      <c r="BM1313" s="14"/>
      <c r="BN1313" s="14"/>
      <c r="BO1313" s="14"/>
      <c r="BP1313" s="14"/>
      <c r="BQ1313" s="14"/>
      <c r="BR1313" s="14"/>
      <c r="BS1313" s="14"/>
      <c r="BT1313" s="14"/>
      <c r="BU1313" s="14"/>
      <c r="BV1313" s="14"/>
      <c r="BW1313" s="14"/>
      <c r="BX1313" s="14"/>
      <c r="BY1313" s="14"/>
      <c r="BZ1313" s="14"/>
      <c r="CA1313" s="14"/>
      <c r="CB1313" s="14"/>
      <c r="CC1313" s="14"/>
      <c r="CD1313" s="14"/>
      <c r="CE1313" s="14"/>
      <c r="CF1313" s="14"/>
      <c r="DM1313" s="15"/>
      <c r="DN1313" s="15"/>
      <c r="DO1313" s="15"/>
      <c r="DP1313" s="15"/>
      <c r="DQ1313" s="15"/>
      <c r="DR1313" s="15"/>
      <c r="DS1313" s="15"/>
      <c r="DT1313" s="15"/>
    </row>
    <row r="1314" spans="1:124" s="4" customFormat="1" x14ac:dyDescent="0.25">
      <c r="A1314" s="2"/>
      <c r="B1314" s="2"/>
      <c r="C1314" s="2"/>
      <c r="D1314" s="98"/>
      <c r="E1314" s="15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4"/>
      <c r="AJ1314" s="14"/>
      <c r="AK1314" s="14"/>
      <c r="AL1314" s="14"/>
      <c r="AM1314" s="14"/>
      <c r="AN1314" s="14"/>
      <c r="AO1314" s="14"/>
      <c r="AP1314" s="14"/>
      <c r="AQ1314" s="14"/>
      <c r="AR1314" s="14"/>
      <c r="AS1314" s="14"/>
      <c r="AT1314" s="14"/>
      <c r="AU1314" s="14"/>
      <c r="AV1314" s="14"/>
      <c r="AW1314" s="14"/>
      <c r="AX1314" s="14"/>
      <c r="AY1314" s="14"/>
      <c r="AZ1314" s="14"/>
      <c r="BA1314" s="14"/>
      <c r="BB1314" s="14"/>
      <c r="BC1314" s="14"/>
      <c r="BD1314" s="14"/>
      <c r="BE1314" s="14"/>
      <c r="BF1314" s="14"/>
      <c r="BG1314" s="14"/>
      <c r="BH1314" s="14"/>
      <c r="BI1314" s="14"/>
      <c r="BJ1314" s="14"/>
      <c r="BK1314" s="14"/>
      <c r="BL1314" s="14"/>
      <c r="BM1314" s="14"/>
      <c r="BN1314" s="14"/>
      <c r="BO1314" s="14"/>
      <c r="BP1314" s="14"/>
      <c r="BQ1314" s="14"/>
      <c r="BR1314" s="14"/>
      <c r="BS1314" s="14"/>
      <c r="BT1314" s="14"/>
      <c r="BU1314" s="14"/>
      <c r="BV1314" s="14"/>
      <c r="BW1314" s="14"/>
      <c r="BX1314" s="14"/>
      <c r="BY1314" s="14"/>
      <c r="BZ1314" s="14"/>
      <c r="CA1314" s="14"/>
      <c r="CB1314" s="14"/>
      <c r="CC1314" s="14"/>
      <c r="CD1314" s="14"/>
      <c r="CE1314" s="14"/>
      <c r="CF1314" s="14"/>
      <c r="DM1314" s="15"/>
      <c r="DN1314" s="15"/>
      <c r="DO1314" s="15"/>
      <c r="DP1314" s="15"/>
      <c r="DQ1314" s="15"/>
      <c r="DR1314" s="15"/>
      <c r="DS1314" s="15"/>
      <c r="DT1314" s="15"/>
    </row>
    <row r="1315" spans="1:124" s="4" customFormat="1" x14ac:dyDescent="0.25">
      <c r="A1315" s="2"/>
      <c r="B1315" s="2"/>
      <c r="C1315" s="2"/>
      <c r="D1315" s="98"/>
      <c r="E1315" s="15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4"/>
      <c r="AJ1315" s="14"/>
      <c r="AK1315" s="14"/>
      <c r="AL1315" s="14"/>
      <c r="AM1315" s="14"/>
      <c r="AN1315" s="14"/>
      <c r="AO1315" s="14"/>
      <c r="AP1315" s="14"/>
      <c r="AQ1315" s="14"/>
      <c r="AR1315" s="14"/>
      <c r="AS1315" s="14"/>
      <c r="AT1315" s="14"/>
      <c r="AU1315" s="14"/>
      <c r="AV1315" s="14"/>
      <c r="AW1315" s="14"/>
      <c r="AX1315" s="14"/>
      <c r="AY1315" s="14"/>
      <c r="AZ1315" s="14"/>
      <c r="BA1315" s="14"/>
      <c r="BB1315" s="14"/>
      <c r="BC1315" s="14"/>
      <c r="BD1315" s="14"/>
      <c r="BE1315" s="14"/>
      <c r="BF1315" s="14"/>
      <c r="BG1315" s="14"/>
      <c r="BH1315" s="14"/>
      <c r="BI1315" s="14"/>
      <c r="BJ1315" s="14"/>
      <c r="BK1315" s="14"/>
      <c r="BL1315" s="14"/>
      <c r="BM1315" s="14"/>
      <c r="BN1315" s="14"/>
      <c r="BO1315" s="14"/>
      <c r="BP1315" s="14"/>
      <c r="BQ1315" s="14"/>
      <c r="BR1315" s="14"/>
      <c r="BS1315" s="14"/>
      <c r="BT1315" s="14"/>
      <c r="BU1315" s="14"/>
      <c r="BV1315" s="14"/>
      <c r="BW1315" s="14"/>
      <c r="BX1315" s="14"/>
      <c r="BY1315" s="14"/>
      <c r="BZ1315" s="14"/>
      <c r="CA1315" s="14"/>
      <c r="CB1315" s="14"/>
      <c r="CC1315" s="14"/>
      <c r="CD1315" s="14"/>
      <c r="CE1315" s="14"/>
      <c r="CF1315" s="14"/>
      <c r="DM1315" s="15"/>
      <c r="DN1315" s="15"/>
      <c r="DO1315" s="15"/>
      <c r="DP1315" s="15"/>
      <c r="DQ1315" s="15"/>
      <c r="DR1315" s="15"/>
      <c r="DS1315" s="15"/>
      <c r="DT1315" s="15"/>
    </row>
    <row r="1316" spans="1:124" s="4" customFormat="1" x14ac:dyDescent="0.25">
      <c r="A1316" s="2"/>
      <c r="B1316" s="2"/>
      <c r="C1316" s="2"/>
      <c r="D1316" s="98"/>
      <c r="E1316" s="15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4"/>
      <c r="AJ1316" s="14"/>
      <c r="AK1316" s="14"/>
      <c r="AL1316" s="14"/>
      <c r="AM1316" s="14"/>
      <c r="AN1316" s="14"/>
      <c r="AO1316" s="14"/>
      <c r="AP1316" s="14"/>
      <c r="AQ1316" s="14"/>
      <c r="AR1316" s="14"/>
      <c r="AS1316" s="14"/>
      <c r="AT1316" s="14"/>
      <c r="AU1316" s="14"/>
      <c r="AV1316" s="14"/>
      <c r="AW1316" s="14"/>
      <c r="AX1316" s="14"/>
      <c r="AY1316" s="14"/>
      <c r="AZ1316" s="14"/>
      <c r="BA1316" s="14"/>
      <c r="BB1316" s="14"/>
      <c r="BC1316" s="14"/>
      <c r="BD1316" s="14"/>
      <c r="BE1316" s="14"/>
      <c r="BF1316" s="14"/>
      <c r="BG1316" s="14"/>
      <c r="BH1316" s="14"/>
      <c r="BI1316" s="14"/>
      <c r="BJ1316" s="14"/>
      <c r="BK1316" s="14"/>
      <c r="BL1316" s="14"/>
      <c r="BM1316" s="14"/>
      <c r="BN1316" s="14"/>
      <c r="BO1316" s="14"/>
      <c r="BP1316" s="14"/>
      <c r="BQ1316" s="14"/>
      <c r="BR1316" s="14"/>
      <c r="BS1316" s="14"/>
      <c r="BT1316" s="14"/>
      <c r="BU1316" s="14"/>
      <c r="BV1316" s="14"/>
      <c r="BW1316" s="14"/>
      <c r="BX1316" s="14"/>
      <c r="BY1316" s="14"/>
      <c r="BZ1316" s="14"/>
      <c r="CA1316" s="14"/>
      <c r="CB1316" s="14"/>
      <c r="CC1316" s="14"/>
      <c r="CD1316" s="14"/>
      <c r="CE1316" s="14"/>
      <c r="CF1316" s="14"/>
      <c r="DM1316" s="15"/>
      <c r="DN1316" s="15"/>
      <c r="DO1316" s="15"/>
      <c r="DP1316" s="15"/>
      <c r="DQ1316" s="15"/>
      <c r="DR1316" s="15"/>
      <c r="DS1316" s="15"/>
      <c r="DT1316" s="15"/>
    </row>
    <row r="1317" spans="1:124" s="4" customFormat="1" x14ac:dyDescent="0.25">
      <c r="A1317" s="2"/>
      <c r="B1317" s="2"/>
      <c r="C1317" s="2"/>
      <c r="D1317" s="98"/>
      <c r="E1317" s="15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4"/>
      <c r="AJ1317" s="14"/>
      <c r="AK1317" s="14"/>
      <c r="AL1317" s="14"/>
      <c r="AM1317" s="14"/>
      <c r="AN1317" s="14"/>
      <c r="AO1317" s="14"/>
      <c r="AP1317" s="14"/>
      <c r="AQ1317" s="14"/>
      <c r="AR1317" s="14"/>
      <c r="AS1317" s="14"/>
      <c r="AT1317" s="14"/>
      <c r="AU1317" s="14"/>
      <c r="AV1317" s="14"/>
      <c r="AW1317" s="14"/>
      <c r="AX1317" s="14"/>
      <c r="AY1317" s="14"/>
      <c r="AZ1317" s="14"/>
      <c r="BA1317" s="14"/>
      <c r="BB1317" s="14"/>
      <c r="BC1317" s="14"/>
      <c r="BD1317" s="14"/>
      <c r="BE1317" s="14"/>
      <c r="BF1317" s="14"/>
      <c r="BG1317" s="14"/>
      <c r="BH1317" s="14"/>
      <c r="BI1317" s="14"/>
      <c r="BJ1317" s="14"/>
      <c r="BK1317" s="14"/>
      <c r="BL1317" s="14"/>
      <c r="BM1317" s="14"/>
      <c r="BN1317" s="14"/>
      <c r="BO1317" s="14"/>
      <c r="BP1317" s="14"/>
      <c r="BQ1317" s="14"/>
      <c r="BR1317" s="14"/>
      <c r="BS1317" s="14"/>
      <c r="BT1317" s="14"/>
      <c r="BU1317" s="14"/>
      <c r="BV1317" s="14"/>
      <c r="BW1317" s="14"/>
      <c r="BX1317" s="14"/>
      <c r="BY1317" s="14"/>
      <c r="BZ1317" s="14"/>
      <c r="CA1317" s="14"/>
      <c r="CB1317" s="14"/>
      <c r="CC1317" s="14"/>
      <c r="CD1317" s="14"/>
      <c r="CE1317" s="14"/>
      <c r="CF1317" s="14"/>
      <c r="DM1317" s="15"/>
      <c r="DN1317" s="15"/>
      <c r="DO1317" s="15"/>
      <c r="DP1317" s="15"/>
      <c r="DQ1317" s="15"/>
      <c r="DR1317" s="15"/>
      <c r="DS1317" s="15"/>
      <c r="DT1317" s="15"/>
    </row>
    <row r="1318" spans="1:124" s="4" customFormat="1" x14ac:dyDescent="0.25">
      <c r="A1318" s="2"/>
      <c r="B1318" s="2"/>
      <c r="C1318" s="2"/>
      <c r="D1318" s="98"/>
      <c r="E1318" s="15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4"/>
      <c r="AJ1318" s="14"/>
      <c r="AK1318" s="14"/>
      <c r="AL1318" s="14"/>
      <c r="AM1318" s="14"/>
      <c r="AN1318" s="14"/>
      <c r="AO1318" s="14"/>
      <c r="AP1318" s="14"/>
      <c r="AQ1318" s="14"/>
      <c r="AR1318" s="14"/>
      <c r="AS1318" s="14"/>
      <c r="AT1318" s="14"/>
      <c r="AU1318" s="14"/>
      <c r="AV1318" s="14"/>
      <c r="AW1318" s="14"/>
      <c r="AX1318" s="14"/>
      <c r="AY1318" s="14"/>
      <c r="AZ1318" s="14"/>
      <c r="BA1318" s="14"/>
      <c r="BB1318" s="14"/>
      <c r="BC1318" s="14"/>
      <c r="BD1318" s="14"/>
      <c r="BE1318" s="14"/>
      <c r="BF1318" s="14"/>
      <c r="BG1318" s="14"/>
      <c r="BH1318" s="14"/>
      <c r="BI1318" s="14"/>
      <c r="BJ1318" s="14"/>
      <c r="BK1318" s="14"/>
      <c r="BL1318" s="14"/>
      <c r="BM1318" s="14"/>
      <c r="BN1318" s="14"/>
      <c r="BO1318" s="14"/>
      <c r="BP1318" s="14"/>
      <c r="BQ1318" s="14"/>
      <c r="BR1318" s="14"/>
      <c r="BS1318" s="14"/>
      <c r="BT1318" s="14"/>
      <c r="BU1318" s="14"/>
      <c r="BV1318" s="14"/>
      <c r="BW1318" s="14"/>
      <c r="BX1318" s="14"/>
      <c r="BY1318" s="14"/>
      <c r="BZ1318" s="14"/>
      <c r="CA1318" s="14"/>
      <c r="CB1318" s="14"/>
      <c r="CC1318" s="14"/>
      <c r="CD1318" s="14"/>
      <c r="CE1318" s="14"/>
      <c r="CF1318" s="14"/>
      <c r="DM1318" s="15"/>
      <c r="DN1318" s="15"/>
      <c r="DO1318" s="15"/>
      <c r="DP1318" s="15"/>
      <c r="DQ1318" s="15"/>
      <c r="DR1318" s="15"/>
      <c r="DS1318" s="15"/>
      <c r="DT1318" s="15"/>
    </row>
    <row r="1319" spans="1:124" s="4" customFormat="1" x14ac:dyDescent="0.25">
      <c r="A1319" s="2"/>
      <c r="B1319" s="2"/>
      <c r="C1319" s="2"/>
      <c r="D1319" s="98"/>
      <c r="E1319" s="15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  <c r="AB1319" s="14"/>
      <c r="AC1319" s="14"/>
      <c r="AD1319" s="14"/>
      <c r="AE1319" s="14"/>
      <c r="AF1319" s="14"/>
      <c r="AG1319" s="14"/>
      <c r="AH1319" s="14"/>
      <c r="AI1319" s="14"/>
      <c r="AJ1319" s="14"/>
      <c r="AK1319" s="14"/>
      <c r="AL1319" s="14"/>
      <c r="AM1319" s="14"/>
      <c r="AN1319" s="14"/>
      <c r="AO1319" s="14"/>
      <c r="AP1319" s="14"/>
      <c r="AQ1319" s="14"/>
      <c r="AR1319" s="14"/>
      <c r="AS1319" s="14"/>
      <c r="AT1319" s="14"/>
      <c r="AU1319" s="14"/>
      <c r="AV1319" s="14"/>
      <c r="AW1319" s="14"/>
      <c r="AX1319" s="14"/>
      <c r="AY1319" s="14"/>
      <c r="AZ1319" s="14"/>
      <c r="BA1319" s="14"/>
      <c r="BB1319" s="14"/>
      <c r="BC1319" s="14"/>
      <c r="BD1319" s="14"/>
      <c r="BE1319" s="14"/>
      <c r="BF1319" s="14"/>
      <c r="BG1319" s="14"/>
      <c r="BH1319" s="14"/>
      <c r="BI1319" s="14"/>
      <c r="BJ1319" s="14"/>
      <c r="BK1319" s="14"/>
      <c r="BL1319" s="14"/>
      <c r="BM1319" s="14"/>
      <c r="BN1319" s="14"/>
      <c r="BO1319" s="14"/>
      <c r="BP1319" s="14"/>
      <c r="BQ1319" s="14"/>
      <c r="BR1319" s="14"/>
      <c r="BS1319" s="14"/>
      <c r="BT1319" s="14"/>
      <c r="BU1319" s="14"/>
      <c r="BV1319" s="14"/>
      <c r="BW1319" s="14"/>
      <c r="BX1319" s="14"/>
      <c r="BY1319" s="14"/>
      <c r="BZ1319" s="14"/>
      <c r="CA1319" s="14"/>
      <c r="CB1319" s="14"/>
      <c r="CC1319" s="14"/>
      <c r="CD1319" s="14"/>
      <c r="CE1319" s="14"/>
      <c r="CF1319" s="14"/>
      <c r="DM1319" s="15"/>
      <c r="DN1319" s="15"/>
      <c r="DO1319" s="15"/>
      <c r="DP1319" s="15"/>
      <c r="DQ1319" s="15"/>
      <c r="DR1319" s="15"/>
      <c r="DS1319" s="15"/>
      <c r="DT1319" s="15"/>
    </row>
    <row r="1320" spans="1:124" s="4" customFormat="1" x14ac:dyDescent="0.25">
      <c r="A1320" s="2"/>
      <c r="B1320" s="2"/>
      <c r="C1320" s="2"/>
      <c r="D1320" s="98"/>
      <c r="E1320" s="15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4"/>
      <c r="AJ1320" s="14"/>
      <c r="AK1320" s="14"/>
      <c r="AL1320" s="14"/>
      <c r="AM1320" s="14"/>
      <c r="AN1320" s="14"/>
      <c r="AO1320" s="14"/>
      <c r="AP1320" s="14"/>
      <c r="AQ1320" s="14"/>
      <c r="AR1320" s="14"/>
      <c r="AS1320" s="14"/>
      <c r="AT1320" s="14"/>
      <c r="AU1320" s="14"/>
      <c r="AV1320" s="14"/>
      <c r="AW1320" s="14"/>
      <c r="AX1320" s="14"/>
      <c r="AY1320" s="14"/>
      <c r="AZ1320" s="14"/>
      <c r="BA1320" s="14"/>
      <c r="BB1320" s="14"/>
      <c r="BC1320" s="14"/>
      <c r="BD1320" s="14"/>
      <c r="BE1320" s="14"/>
      <c r="BF1320" s="14"/>
      <c r="BG1320" s="14"/>
      <c r="BH1320" s="14"/>
      <c r="BI1320" s="14"/>
      <c r="BJ1320" s="14"/>
      <c r="BK1320" s="14"/>
      <c r="BL1320" s="14"/>
      <c r="BM1320" s="14"/>
      <c r="BN1320" s="14"/>
      <c r="BO1320" s="14"/>
      <c r="BP1320" s="14"/>
      <c r="BQ1320" s="14"/>
      <c r="BR1320" s="14"/>
      <c r="BS1320" s="14"/>
      <c r="BT1320" s="14"/>
      <c r="BU1320" s="14"/>
      <c r="BV1320" s="14"/>
      <c r="BW1320" s="14"/>
      <c r="BX1320" s="14"/>
      <c r="BY1320" s="14"/>
      <c r="BZ1320" s="14"/>
      <c r="CA1320" s="14"/>
      <c r="CB1320" s="14"/>
      <c r="CC1320" s="14"/>
      <c r="CD1320" s="14"/>
      <c r="CE1320" s="14"/>
      <c r="CF1320" s="14"/>
      <c r="DM1320" s="15"/>
      <c r="DN1320" s="15"/>
      <c r="DO1320" s="15"/>
      <c r="DP1320" s="15"/>
      <c r="DQ1320" s="15"/>
      <c r="DR1320" s="15"/>
      <c r="DS1320" s="15"/>
      <c r="DT1320" s="15"/>
    </row>
    <row r="1321" spans="1:124" s="4" customFormat="1" x14ac:dyDescent="0.25">
      <c r="A1321" s="2"/>
      <c r="B1321" s="2"/>
      <c r="C1321" s="2"/>
      <c r="D1321" s="98"/>
      <c r="E1321" s="15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4"/>
      <c r="AJ1321" s="14"/>
      <c r="AK1321" s="14"/>
      <c r="AL1321" s="14"/>
      <c r="AM1321" s="14"/>
      <c r="AN1321" s="14"/>
      <c r="AO1321" s="14"/>
      <c r="AP1321" s="14"/>
      <c r="AQ1321" s="14"/>
      <c r="AR1321" s="14"/>
      <c r="AS1321" s="14"/>
      <c r="AT1321" s="14"/>
      <c r="AU1321" s="14"/>
      <c r="AV1321" s="14"/>
      <c r="AW1321" s="14"/>
      <c r="AX1321" s="14"/>
      <c r="AY1321" s="14"/>
      <c r="AZ1321" s="14"/>
      <c r="BA1321" s="14"/>
      <c r="BB1321" s="14"/>
      <c r="BC1321" s="14"/>
      <c r="BD1321" s="14"/>
      <c r="BE1321" s="14"/>
      <c r="BF1321" s="14"/>
      <c r="BG1321" s="14"/>
      <c r="BH1321" s="14"/>
      <c r="BI1321" s="14"/>
      <c r="BJ1321" s="14"/>
      <c r="BK1321" s="14"/>
      <c r="BL1321" s="14"/>
      <c r="BM1321" s="14"/>
      <c r="BN1321" s="14"/>
      <c r="BO1321" s="14"/>
      <c r="BP1321" s="14"/>
      <c r="BQ1321" s="14"/>
      <c r="BR1321" s="14"/>
      <c r="BS1321" s="14"/>
      <c r="BT1321" s="14"/>
      <c r="BU1321" s="14"/>
      <c r="BV1321" s="14"/>
      <c r="BW1321" s="14"/>
      <c r="BX1321" s="14"/>
      <c r="BY1321" s="14"/>
      <c r="BZ1321" s="14"/>
      <c r="CA1321" s="14"/>
      <c r="CB1321" s="14"/>
      <c r="CC1321" s="14"/>
      <c r="CD1321" s="14"/>
      <c r="CE1321" s="14"/>
      <c r="CF1321" s="14"/>
      <c r="DM1321" s="15"/>
      <c r="DN1321" s="15"/>
      <c r="DO1321" s="15"/>
      <c r="DP1321" s="15"/>
      <c r="DQ1321" s="15"/>
      <c r="DR1321" s="15"/>
      <c r="DS1321" s="15"/>
      <c r="DT1321" s="15"/>
    </row>
    <row r="1322" spans="1:124" s="4" customFormat="1" x14ac:dyDescent="0.25">
      <c r="A1322" s="2"/>
      <c r="B1322" s="2"/>
      <c r="C1322" s="2"/>
      <c r="D1322" s="98"/>
      <c r="E1322" s="15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4"/>
      <c r="AJ1322" s="14"/>
      <c r="AK1322" s="14"/>
      <c r="AL1322" s="14"/>
      <c r="AM1322" s="14"/>
      <c r="AN1322" s="14"/>
      <c r="AO1322" s="14"/>
      <c r="AP1322" s="14"/>
      <c r="AQ1322" s="14"/>
      <c r="AR1322" s="14"/>
      <c r="AS1322" s="14"/>
      <c r="AT1322" s="14"/>
      <c r="AU1322" s="14"/>
      <c r="AV1322" s="14"/>
      <c r="AW1322" s="14"/>
      <c r="AX1322" s="14"/>
      <c r="AY1322" s="14"/>
      <c r="AZ1322" s="14"/>
      <c r="BA1322" s="14"/>
      <c r="BB1322" s="14"/>
      <c r="BC1322" s="14"/>
      <c r="BD1322" s="14"/>
      <c r="BE1322" s="14"/>
      <c r="BF1322" s="14"/>
      <c r="BG1322" s="14"/>
      <c r="BH1322" s="14"/>
      <c r="BI1322" s="14"/>
      <c r="BJ1322" s="14"/>
      <c r="BK1322" s="14"/>
      <c r="BL1322" s="14"/>
      <c r="BM1322" s="14"/>
      <c r="BN1322" s="14"/>
      <c r="BO1322" s="14"/>
      <c r="BP1322" s="14"/>
      <c r="BQ1322" s="14"/>
      <c r="BR1322" s="14"/>
      <c r="BS1322" s="14"/>
      <c r="BT1322" s="14"/>
      <c r="BU1322" s="14"/>
      <c r="BV1322" s="14"/>
      <c r="BW1322" s="14"/>
      <c r="BX1322" s="14"/>
      <c r="BY1322" s="14"/>
      <c r="BZ1322" s="14"/>
      <c r="CA1322" s="14"/>
      <c r="CB1322" s="14"/>
      <c r="CC1322" s="14"/>
      <c r="CD1322" s="14"/>
      <c r="CE1322" s="14"/>
      <c r="CF1322" s="14"/>
      <c r="DM1322" s="15"/>
      <c r="DN1322" s="15"/>
      <c r="DO1322" s="15"/>
      <c r="DP1322" s="15"/>
      <c r="DQ1322" s="15"/>
      <c r="DR1322" s="15"/>
      <c r="DS1322" s="15"/>
      <c r="DT1322" s="15"/>
    </row>
    <row r="1323" spans="1:124" s="4" customFormat="1" x14ac:dyDescent="0.25">
      <c r="A1323" s="2"/>
      <c r="B1323" s="2"/>
      <c r="C1323" s="2"/>
      <c r="D1323" s="98"/>
      <c r="E1323" s="15"/>
      <c r="F1323" s="5"/>
      <c r="G1323" s="5"/>
      <c r="H1323" s="5"/>
      <c r="I1323" s="5"/>
      <c r="J1323" s="5"/>
      <c r="K1323" s="5"/>
      <c r="M1323" s="5"/>
      <c r="N1323" s="5"/>
      <c r="O1323" s="5"/>
      <c r="P1323" s="5"/>
      <c r="Q1323" s="5"/>
      <c r="R1323" s="5"/>
      <c r="S1323" s="6"/>
      <c r="T1323" s="6"/>
      <c r="U1323" s="6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O1323" s="5"/>
      <c r="BJ1323" s="14"/>
      <c r="BN1323" s="5"/>
      <c r="BO1323" s="5"/>
      <c r="BP1323" s="5"/>
      <c r="BQ1323" s="5"/>
      <c r="BZ1323" s="14"/>
      <c r="CA1323" s="14"/>
      <c r="DM1323" s="15"/>
      <c r="DN1323" s="15"/>
      <c r="DO1323" s="15"/>
      <c r="DP1323" s="15"/>
      <c r="DQ1323" s="15"/>
      <c r="DR1323" s="15"/>
      <c r="DS1323" s="15"/>
      <c r="DT1323" s="15"/>
    </row>
    <row r="1324" spans="1:124" s="4" customFormat="1" x14ac:dyDescent="0.25">
      <c r="A1324" s="2"/>
      <c r="B1324" s="2"/>
      <c r="C1324" s="2"/>
      <c r="D1324" s="98"/>
      <c r="E1324" s="15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4"/>
      <c r="AJ1324" s="14"/>
      <c r="AK1324" s="14"/>
      <c r="AL1324" s="14"/>
      <c r="AM1324" s="14"/>
      <c r="AN1324" s="14"/>
      <c r="AO1324" s="14"/>
      <c r="AP1324" s="14"/>
      <c r="AQ1324" s="14"/>
      <c r="AR1324" s="14"/>
      <c r="AS1324" s="14"/>
      <c r="AT1324" s="14"/>
      <c r="AU1324" s="14"/>
      <c r="AV1324" s="14"/>
      <c r="AW1324" s="14"/>
      <c r="AX1324" s="14"/>
      <c r="AY1324" s="14"/>
      <c r="AZ1324" s="14"/>
      <c r="BA1324" s="14"/>
      <c r="BB1324" s="14"/>
      <c r="BC1324" s="14"/>
      <c r="BD1324" s="14"/>
      <c r="BE1324" s="14"/>
      <c r="BF1324" s="14"/>
      <c r="BG1324" s="14"/>
      <c r="BH1324" s="14"/>
      <c r="BI1324" s="14"/>
      <c r="BJ1324" s="14"/>
      <c r="BK1324" s="14"/>
      <c r="BL1324" s="14"/>
      <c r="BM1324" s="14"/>
      <c r="BN1324" s="14"/>
      <c r="BO1324" s="14"/>
      <c r="BP1324" s="14"/>
      <c r="BQ1324" s="14"/>
      <c r="BR1324" s="14"/>
      <c r="BS1324" s="14"/>
      <c r="BT1324" s="14"/>
      <c r="BU1324" s="14"/>
      <c r="BV1324" s="14"/>
      <c r="BW1324" s="14"/>
      <c r="BX1324" s="14"/>
      <c r="BY1324" s="14"/>
      <c r="BZ1324" s="14"/>
      <c r="CA1324" s="14"/>
      <c r="CB1324" s="14"/>
      <c r="CC1324" s="14"/>
      <c r="CD1324" s="14"/>
      <c r="CE1324" s="14"/>
      <c r="CF1324" s="14"/>
      <c r="DM1324" s="15"/>
      <c r="DN1324" s="15"/>
      <c r="DO1324" s="15"/>
      <c r="DP1324" s="15"/>
      <c r="DQ1324" s="15"/>
      <c r="DR1324" s="15"/>
      <c r="DS1324" s="15"/>
      <c r="DT1324" s="15"/>
    </row>
    <row r="1325" spans="1:124" s="4" customFormat="1" x14ac:dyDescent="0.25">
      <c r="A1325" s="2"/>
      <c r="B1325" s="2"/>
      <c r="C1325" s="2"/>
      <c r="D1325" s="98"/>
      <c r="E1325" s="15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4"/>
      <c r="AJ1325" s="14"/>
      <c r="AK1325" s="14"/>
      <c r="AL1325" s="14"/>
      <c r="AM1325" s="14"/>
      <c r="AN1325" s="14"/>
      <c r="AO1325" s="14"/>
      <c r="AP1325" s="14"/>
      <c r="AQ1325" s="14"/>
      <c r="AR1325" s="14"/>
      <c r="AS1325" s="14"/>
      <c r="AT1325" s="14"/>
      <c r="AU1325" s="14"/>
      <c r="AV1325" s="14"/>
      <c r="AW1325" s="14"/>
      <c r="AX1325" s="14"/>
      <c r="AY1325" s="14"/>
      <c r="AZ1325" s="14"/>
      <c r="BA1325" s="14"/>
      <c r="BB1325" s="14"/>
      <c r="BC1325" s="14"/>
      <c r="BD1325" s="14"/>
      <c r="BE1325" s="14"/>
      <c r="BF1325" s="14"/>
      <c r="BG1325" s="14"/>
      <c r="BH1325" s="14"/>
      <c r="BI1325" s="14"/>
      <c r="BJ1325" s="14"/>
      <c r="BK1325" s="14"/>
      <c r="BL1325" s="14"/>
      <c r="BM1325" s="14"/>
      <c r="BN1325" s="14"/>
      <c r="BO1325" s="14"/>
      <c r="BP1325" s="14"/>
      <c r="BQ1325" s="14"/>
      <c r="BR1325" s="14"/>
      <c r="BS1325" s="14"/>
      <c r="BT1325" s="14"/>
      <c r="BU1325" s="14"/>
      <c r="BV1325" s="14"/>
      <c r="BW1325" s="14"/>
      <c r="BX1325" s="14"/>
      <c r="BY1325" s="14"/>
      <c r="BZ1325" s="14"/>
      <c r="CA1325" s="14"/>
      <c r="CB1325" s="14"/>
      <c r="CC1325" s="14"/>
      <c r="CD1325" s="14"/>
      <c r="CE1325" s="14"/>
      <c r="CF1325" s="14"/>
      <c r="DM1325" s="15"/>
      <c r="DN1325" s="15"/>
      <c r="DO1325" s="15"/>
      <c r="DP1325" s="15"/>
      <c r="DQ1325" s="15"/>
      <c r="DR1325" s="15"/>
      <c r="DS1325" s="15"/>
      <c r="DT1325" s="15"/>
    </row>
    <row r="1326" spans="1:124" s="4" customFormat="1" x14ac:dyDescent="0.25">
      <c r="A1326" s="2"/>
      <c r="B1326" s="2"/>
      <c r="C1326" s="2"/>
      <c r="D1326" s="98"/>
      <c r="E1326" s="15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4"/>
      <c r="AJ1326" s="14"/>
      <c r="AK1326" s="14"/>
      <c r="AL1326" s="14"/>
      <c r="AM1326" s="14"/>
      <c r="AN1326" s="14"/>
      <c r="AO1326" s="14"/>
      <c r="AP1326" s="14"/>
      <c r="AQ1326" s="14"/>
      <c r="AR1326" s="14"/>
      <c r="AS1326" s="14"/>
      <c r="AT1326" s="14"/>
      <c r="AU1326" s="14"/>
      <c r="AV1326" s="14"/>
      <c r="AW1326" s="14"/>
      <c r="AX1326" s="14"/>
      <c r="AY1326" s="14"/>
      <c r="AZ1326" s="14"/>
      <c r="BA1326" s="14"/>
      <c r="BB1326" s="14"/>
      <c r="BC1326" s="14"/>
      <c r="BD1326" s="14"/>
      <c r="BE1326" s="14"/>
      <c r="BF1326" s="14"/>
      <c r="BG1326" s="14"/>
      <c r="BH1326" s="14"/>
      <c r="BI1326" s="14"/>
      <c r="BJ1326" s="14"/>
      <c r="BK1326" s="14"/>
      <c r="BL1326" s="14"/>
      <c r="BM1326" s="14"/>
      <c r="BN1326" s="14"/>
      <c r="BO1326" s="14"/>
      <c r="BP1326" s="14"/>
      <c r="BQ1326" s="14"/>
      <c r="BR1326" s="14"/>
      <c r="BS1326" s="14"/>
      <c r="BT1326" s="14"/>
      <c r="BU1326" s="14"/>
      <c r="BV1326" s="14"/>
      <c r="BW1326" s="14"/>
      <c r="BX1326" s="14"/>
      <c r="BY1326" s="14"/>
      <c r="BZ1326" s="14"/>
      <c r="CA1326" s="14"/>
      <c r="CB1326" s="14"/>
      <c r="CC1326" s="14"/>
      <c r="CD1326" s="14"/>
      <c r="CE1326" s="14"/>
      <c r="CF1326" s="14"/>
      <c r="DM1326" s="15"/>
      <c r="DN1326" s="15"/>
      <c r="DO1326" s="15"/>
      <c r="DP1326" s="15"/>
      <c r="DQ1326" s="15"/>
      <c r="DR1326" s="15"/>
      <c r="DS1326" s="15"/>
      <c r="DT1326" s="15"/>
    </row>
    <row r="1327" spans="1:124" s="4" customFormat="1" x14ac:dyDescent="0.25">
      <c r="A1327" s="2"/>
      <c r="B1327" s="2"/>
      <c r="C1327" s="2"/>
      <c r="D1327" s="98"/>
      <c r="E1327" s="15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4"/>
      <c r="AJ1327" s="14"/>
      <c r="AK1327" s="14"/>
      <c r="AL1327" s="14"/>
      <c r="AM1327" s="14"/>
      <c r="AN1327" s="14"/>
      <c r="AO1327" s="14"/>
      <c r="AP1327" s="14"/>
      <c r="AQ1327" s="14"/>
      <c r="AR1327" s="14"/>
      <c r="AS1327" s="14"/>
      <c r="AT1327" s="14"/>
      <c r="AU1327" s="14"/>
      <c r="AV1327" s="14"/>
      <c r="AW1327" s="14"/>
      <c r="AX1327" s="14"/>
      <c r="AY1327" s="14"/>
      <c r="AZ1327" s="14"/>
      <c r="BA1327" s="14"/>
      <c r="BB1327" s="14"/>
      <c r="BC1327" s="14"/>
      <c r="BD1327" s="14"/>
      <c r="BE1327" s="14"/>
      <c r="BF1327" s="14"/>
      <c r="BG1327" s="14"/>
      <c r="BH1327" s="14"/>
      <c r="BI1327" s="14"/>
      <c r="BJ1327" s="14"/>
      <c r="BK1327" s="14"/>
      <c r="BL1327" s="14"/>
      <c r="BM1327" s="14"/>
      <c r="BN1327" s="14"/>
      <c r="BO1327" s="14"/>
      <c r="BP1327" s="14"/>
      <c r="BQ1327" s="14"/>
      <c r="BR1327" s="14"/>
      <c r="BS1327" s="14"/>
      <c r="BT1327" s="14"/>
      <c r="BU1327" s="14"/>
      <c r="BV1327" s="14"/>
      <c r="BW1327" s="14"/>
      <c r="BX1327" s="14"/>
      <c r="BY1327" s="14"/>
      <c r="BZ1327" s="14"/>
      <c r="CA1327" s="14"/>
      <c r="CB1327" s="14"/>
      <c r="CC1327" s="14"/>
      <c r="CD1327" s="14"/>
      <c r="CE1327" s="14"/>
      <c r="CF1327" s="14"/>
      <c r="DM1327" s="15"/>
      <c r="DN1327" s="15"/>
      <c r="DO1327" s="15"/>
      <c r="DP1327" s="15"/>
      <c r="DQ1327" s="15"/>
      <c r="DR1327" s="15"/>
      <c r="DS1327" s="15"/>
      <c r="DT1327" s="15"/>
    </row>
    <row r="1328" spans="1:124" s="4" customFormat="1" x14ac:dyDescent="0.25">
      <c r="A1328" s="2"/>
      <c r="B1328" s="2"/>
      <c r="C1328" s="2"/>
      <c r="D1328" s="98"/>
      <c r="E1328" s="15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4"/>
      <c r="AJ1328" s="14"/>
      <c r="AK1328" s="14"/>
      <c r="AL1328" s="14"/>
      <c r="AM1328" s="14"/>
      <c r="AN1328" s="14"/>
      <c r="AO1328" s="14"/>
      <c r="AP1328" s="14"/>
      <c r="AQ1328" s="14"/>
      <c r="AR1328" s="14"/>
      <c r="AS1328" s="14"/>
      <c r="AT1328" s="14"/>
      <c r="AU1328" s="14"/>
      <c r="AV1328" s="14"/>
      <c r="AW1328" s="14"/>
      <c r="AX1328" s="14"/>
      <c r="AY1328" s="14"/>
      <c r="AZ1328" s="14"/>
      <c r="BA1328" s="14"/>
      <c r="BB1328" s="14"/>
      <c r="BC1328" s="14"/>
      <c r="BD1328" s="14"/>
      <c r="BE1328" s="14"/>
      <c r="BF1328" s="14"/>
      <c r="BG1328" s="14"/>
      <c r="BH1328" s="14"/>
      <c r="BI1328" s="14"/>
      <c r="BJ1328" s="14"/>
      <c r="BK1328" s="14"/>
      <c r="BL1328" s="14"/>
      <c r="BM1328" s="14"/>
      <c r="BN1328" s="14"/>
      <c r="BO1328" s="14"/>
      <c r="BP1328" s="14"/>
      <c r="BQ1328" s="14"/>
      <c r="BR1328" s="14"/>
      <c r="BS1328" s="14"/>
      <c r="BT1328" s="14"/>
      <c r="BU1328" s="14"/>
      <c r="BV1328" s="14"/>
      <c r="BW1328" s="14"/>
      <c r="BX1328" s="14"/>
      <c r="BY1328" s="14"/>
      <c r="BZ1328" s="14"/>
      <c r="CA1328" s="14"/>
      <c r="CB1328" s="14"/>
      <c r="CC1328" s="14"/>
      <c r="CD1328" s="14"/>
      <c r="CE1328" s="14"/>
      <c r="CF1328" s="14"/>
      <c r="DM1328" s="15"/>
      <c r="DN1328" s="15"/>
      <c r="DO1328" s="15"/>
      <c r="DP1328" s="15"/>
      <c r="DQ1328" s="15"/>
      <c r="DR1328" s="15"/>
      <c r="DS1328" s="15"/>
      <c r="DT1328" s="15"/>
    </row>
    <row r="1361" spans="1:116" s="15" customFormat="1" x14ac:dyDescent="0.25">
      <c r="A1361" s="16"/>
      <c r="B1361" s="16"/>
      <c r="C1361" s="16"/>
      <c r="D1361" s="98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4"/>
      <c r="AJ1361" s="14"/>
      <c r="AK1361" s="14"/>
      <c r="AL1361" s="14"/>
      <c r="AM1361" s="14"/>
      <c r="AN1361" s="14"/>
      <c r="AO1361" s="14"/>
      <c r="AP1361" s="14"/>
      <c r="AQ1361" s="14"/>
      <c r="AR1361" s="14"/>
      <c r="AS1361" s="14"/>
      <c r="AT1361" s="14"/>
      <c r="AU1361" s="14"/>
      <c r="AV1361" s="14"/>
      <c r="AW1361" s="14"/>
      <c r="AX1361" s="14"/>
      <c r="AY1361" s="14"/>
      <c r="AZ1361" s="14"/>
      <c r="BA1361" s="14"/>
      <c r="BB1361" s="14"/>
      <c r="BC1361" s="14"/>
      <c r="BD1361" s="14"/>
      <c r="BE1361" s="14"/>
      <c r="BF1361" s="14"/>
      <c r="BG1361" s="14"/>
      <c r="BH1361" s="14"/>
      <c r="BI1361" s="14"/>
      <c r="BJ1361" s="14"/>
      <c r="BK1361" s="14"/>
      <c r="BL1361" s="14"/>
      <c r="BM1361" s="14"/>
      <c r="BN1361" s="14"/>
      <c r="BO1361" s="14"/>
      <c r="BP1361" s="14"/>
      <c r="BQ1361" s="14"/>
      <c r="BR1361" s="14"/>
      <c r="BS1361" s="14"/>
      <c r="BT1361" s="14"/>
      <c r="BU1361" s="14"/>
      <c r="BV1361" s="14"/>
      <c r="BW1361" s="14"/>
      <c r="BX1361" s="14"/>
      <c r="BY1361" s="14"/>
      <c r="BZ1361" s="14"/>
      <c r="CA1361" s="14"/>
      <c r="CB1361" s="14"/>
      <c r="CC1361" s="14"/>
      <c r="CD1361" s="14"/>
      <c r="CE1361" s="14"/>
      <c r="CF1361" s="14"/>
      <c r="CG1361" s="4"/>
      <c r="CH1361" s="4"/>
      <c r="CI1361" s="4"/>
      <c r="CJ1361" s="4"/>
      <c r="CK1361" s="4"/>
      <c r="CL1361" s="4"/>
      <c r="CM1361" s="4"/>
      <c r="CN1361" s="4"/>
      <c r="CO1361" s="4"/>
      <c r="CP1361" s="4"/>
      <c r="CQ1361" s="4"/>
      <c r="CR1361" s="4"/>
      <c r="CS1361" s="4"/>
      <c r="CT1361" s="4"/>
      <c r="CU1361" s="4"/>
      <c r="CV1361" s="4"/>
      <c r="CW1361" s="4"/>
      <c r="CX1361" s="4"/>
      <c r="CY1361" s="4"/>
      <c r="CZ1361" s="4"/>
      <c r="DA1361" s="4"/>
      <c r="DB1361" s="4"/>
      <c r="DC1361" s="4"/>
      <c r="DD1361" s="4"/>
      <c r="DE1361" s="4"/>
      <c r="DF1361" s="4"/>
      <c r="DG1361" s="4"/>
      <c r="DH1361" s="4"/>
      <c r="DI1361" s="4"/>
      <c r="DJ1361" s="4"/>
      <c r="DK1361" s="4"/>
      <c r="DL1361" s="4"/>
    </row>
    <row r="1362" spans="1:116" s="15" customFormat="1" x14ac:dyDescent="0.25">
      <c r="A1362" s="16"/>
      <c r="B1362" s="16"/>
      <c r="C1362" s="16"/>
      <c r="D1362" s="98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4"/>
      <c r="AJ1362" s="14"/>
      <c r="AK1362" s="14"/>
      <c r="AL1362" s="14"/>
      <c r="AM1362" s="14"/>
      <c r="AN1362" s="14"/>
      <c r="AO1362" s="14"/>
      <c r="AP1362" s="14"/>
      <c r="AQ1362" s="14"/>
      <c r="AR1362" s="14"/>
      <c r="AS1362" s="14"/>
      <c r="AT1362" s="14"/>
      <c r="AU1362" s="14"/>
      <c r="AV1362" s="14"/>
      <c r="AW1362" s="14"/>
      <c r="AX1362" s="14"/>
      <c r="AY1362" s="14"/>
      <c r="AZ1362" s="14"/>
      <c r="BA1362" s="14"/>
      <c r="BB1362" s="14"/>
      <c r="BC1362" s="14"/>
      <c r="BD1362" s="14"/>
      <c r="BE1362" s="14"/>
      <c r="BF1362" s="14"/>
      <c r="BG1362" s="14"/>
      <c r="BH1362" s="14"/>
      <c r="BI1362" s="14"/>
      <c r="BJ1362" s="14"/>
      <c r="BK1362" s="14"/>
      <c r="BL1362" s="14"/>
      <c r="BM1362" s="14"/>
      <c r="BN1362" s="14"/>
      <c r="BO1362" s="14"/>
      <c r="BP1362" s="14"/>
      <c r="BQ1362" s="14"/>
      <c r="BR1362" s="14"/>
      <c r="BS1362" s="14"/>
      <c r="BT1362" s="14"/>
      <c r="BU1362" s="14"/>
      <c r="BV1362" s="14"/>
      <c r="BW1362" s="14"/>
      <c r="BX1362" s="14"/>
      <c r="BY1362" s="14"/>
      <c r="BZ1362" s="14"/>
      <c r="CA1362" s="14"/>
      <c r="CB1362" s="14"/>
      <c r="CC1362" s="14"/>
      <c r="CD1362" s="14"/>
      <c r="CE1362" s="14"/>
      <c r="CF1362" s="14"/>
      <c r="CG1362" s="4"/>
      <c r="CH1362" s="4"/>
      <c r="CI1362" s="4"/>
      <c r="CJ1362" s="4"/>
      <c r="CK1362" s="4"/>
      <c r="CL1362" s="4"/>
      <c r="CM1362" s="4"/>
      <c r="CN1362" s="4"/>
      <c r="CO1362" s="4"/>
      <c r="CP1362" s="4"/>
      <c r="CQ1362" s="4"/>
      <c r="CR1362" s="4"/>
      <c r="CS1362" s="4"/>
      <c r="CT1362" s="4"/>
      <c r="CU1362" s="4"/>
      <c r="CV1362" s="4"/>
      <c r="CW1362" s="4"/>
      <c r="CX1362" s="4"/>
      <c r="CY1362" s="4"/>
      <c r="CZ1362" s="4"/>
      <c r="DA1362" s="4"/>
      <c r="DB1362" s="4"/>
      <c r="DC1362" s="4"/>
      <c r="DD1362" s="4"/>
      <c r="DE1362" s="4"/>
      <c r="DF1362" s="4"/>
      <c r="DG1362" s="4"/>
      <c r="DH1362" s="4"/>
      <c r="DI1362" s="4"/>
      <c r="DJ1362" s="4"/>
      <c r="DK1362" s="4"/>
      <c r="DL1362" s="4"/>
    </row>
    <row r="1363" spans="1:116" s="15" customFormat="1" x14ac:dyDescent="0.25">
      <c r="A1363" s="16"/>
      <c r="B1363" s="16"/>
      <c r="C1363" s="16"/>
      <c r="D1363" s="98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4"/>
      <c r="AJ1363" s="14"/>
      <c r="AK1363" s="14"/>
      <c r="AL1363" s="14"/>
      <c r="AM1363" s="14"/>
      <c r="AN1363" s="14"/>
      <c r="AO1363" s="14"/>
      <c r="AP1363" s="14"/>
      <c r="AQ1363" s="14"/>
      <c r="AR1363" s="14"/>
      <c r="AS1363" s="14"/>
      <c r="AT1363" s="14"/>
      <c r="AU1363" s="14"/>
      <c r="AV1363" s="14"/>
      <c r="AW1363" s="14"/>
      <c r="AX1363" s="14"/>
      <c r="AY1363" s="14"/>
      <c r="AZ1363" s="14"/>
      <c r="BA1363" s="14"/>
      <c r="BB1363" s="14"/>
      <c r="BC1363" s="14"/>
      <c r="BD1363" s="14"/>
      <c r="BE1363" s="14"/>
      <c r="BF1363" s="14"/>
      <c r="BG1363" s="14"/>
      <c r="BH1363" s="14"/>
      <c r="BI1363" s="14"/>
      <c r="BJ1363" s="14"/>
      <c r="BK1363" s="14"/>
      <c r="BL1363" s="14"/>
      <c r="BM1363" s="14"/>
      <c r="BN1363" s="14"/>
      <c r="BO1363" s="14"/>
      <c r="BP1363" s="14"/>
      <c r="BQ1363" s="14"/>
      <c r="BR1363" s="14"/>
      <c r="BS1363" s="14"/>
      <c r="BT1363" s="14"/>
      <c r="BU1363" s="14"/>
      <c r="BV1363" s="14"/>
      <c r="BW1363" s="14"/>
      <c r="BX1363" s="14"/>
      <c r="BY1363" s="14"/>
      <c r="BZ1363" s="14"/>
      <c r="CA1363" s="14"/>
      <c r="CB1363" s="14"/>
      <c r="CC1363" s="14"/>
      <c r="CD1363" s="14"/>
      <c r="CE1363" s="14"/>
      <c r="CF1363" s="14"/>
      <c r="CG1363" s="4"/>
      <c r="CH1363" s="4"/>
      <c r="CI1363" s="4"/>
      <c r="CJ1363" s="4"/>
      <c r="CK1363" s="4"/>
      <c r="CL1363" s="4"/>
      <c r="CM1363" s="4"/>
      <c r="CN1363" s="4"/>
      <c r="CO1363" s="4"/>
      <c r="CP1363" s="4"/>
      <c r="CQ1363" s="4"/>
      <c r="CR1363" s="4"/>
      <c r="CS1363" s="4"/>
      <c r="CT1363" s="4"/>
      <c r="CU1363" s="4"/>
      <c r="CV1363" s="4"/>
      <c r="CW1363" s="4"/>
      <c r="CX1363" s="4"/>
      <c r="CY1363" s="4"/>
      <c r="CZ1363" s="4"/>
      <c r="DA1363" s="4"/>
      <c r="DB1363" s="4"/>
      <c r="DC1363" s="4"/>
      <c r="DD1363" s="4"/>
      <c r="DE1363" s="4"/>
      <c r="DF1363" s="4"/>
      <c r="DG1363" s="4"/>
      <c r="DH1363" s="4"/>
      <c r="DI1363" s="4"/>
      <c r="DJ1363" s="4"/>
      <c r="DK1363" s="4"/>
      <c r="DL1363" s="4"/>
    </row>
    <row r="1364" spans="1:116" s="15" customFormat="1" x14ac:dyDescent="0.25">
      <c r="A1364" s="16"/>
      <c r="B1364" s="16"/>
      <c r="C1364" s="16"/>
      <c r="D1364" s="98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4"/>
      <c r="AJ1364" s="14"/>
      <c r="AK1364" s="14"/>
      <c r="AL1364" s="14"/>
      <c r="AM1364" s="14"/>
      <c r="AN1364" s="14"/>
      <c r="AO1364" s="14"/>
      <c r="AP1364" s="14"/>
      <c r="AQ1364" s="14"/>
      <c r="AR1364" s="14"/>
      <c r="AS1364" s="14"/>
      <c r="AT1364" s="14"/>
      <c r="AU1364" s="14"/>
      <c r="AV1364" s="14"/>
      <c r="AW1364" s="14"/>
      <c r="AX1364" s="14"/>
      <c r="AY1364" s="14"/>
      <c r="AZ1364" s="14"/>
      <c r="BA1364" s="14"/>
      <c r="BB1364" s="14"/>
      <c r="BC1364" s="14"/>
      <c r="BD1364" s="14"/>
      <c r="BE1364" s="14"/>
      <c r="BF1364" s="14"/>
      <c r="BG1364" s="14"/>
      <c r="BH1364" s="14"/>
      <c r="BI1364" s="14"/>
      <c r="BJ1364" s="14"/>
      <c r="BK1364" s="14"/>
      <c r="BL1364" s="14"/>
      <c r="BM1364" s="14"/>
      <c r="BN1364" s="14"/>
      <c r="BO1364" s="14"/>
      <c r="BP1364" s="14"/>
      <c r="BQ1364" s="14"/>
      <c r="BR1364" s="14"/>
      <c r="BS1364" s="14"/>
      <c r="BT1364" s="14"/>
      <c r="BU1364" s="14"/>
      <c r="BV1364" s="14"/>
      <c r="BW1364" s="14"/>
      <c r="BX1364" s="14"/>
      <c r="BY1364" s="14"/>
      <c r="BZ1364" s="14"/>
      <c r="CA1364" s="14"/>
      <c r="CB1364" s="14"/>
      <c r="CC1364" s="14"/>
      <c r="CD1364" s="14"/>
      <c r="CE1364" s="14"/>
      <c r="CF1364" s="14"/>
      <c r="CG1364" s="4"/>
      <c r="CH1364" s="4"/>
      <c r="CI1364" s="4"/>
      <c r="CJ1364" s="4"/>
      <c r="CK1364" s="4"/>
      <c r="CL1364" s="4"/>
      <c r="CM1364" s="4"/>
      <c r="CN1364" s="4"/>
      <c r="CO1364" s="4"/>
      <c r="CP1364" s="4"/>
      <c r="CQ1364" s="4"/>
      <c r="CR1364" s="4"/>
      <c r="CS1364" s="4"/>
      <c r="CT1364" s="4"/>
      <c r="CU1364" s="4"/>
      <c r="CV1364" s="4"/>
      <c r="CW1364" s="4"/>
      <c r="CX1364" s="4"/>
      <c r="CY1364" s="4"/>
      <c r="CZ1364" s="4"/>
      <c r="DA1364" s="4"/>
      <c r="DB1364" s="4"/>
      <c r="DC1364" s="4"/>
      <c r="DD1364" s="4"/>
      <c r="DE1364" s="4"/>
      <c r="DF1364" s="4"/>
      <c r="DG1364" s="4"/>
      <c r="DH1364" s="4"/>
      <c r="DI1364" s="4"/>
      <c r="DJ1364" s="4"/>
      <c r="DK1364" s="4"/>
      <c r="DL1364" s="4"/>
    </row>
    <row r="1365" spans="1:116" s="15" customFormat="1" x14ac:dyDescent="0.25">
      <c r="A1365" s="16"/>
      <c r="B1365" s="16"/>
      <c r="C1365" s="16"/>
      <c r="D1365" s="98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4"/>
      <c r="AJ1365" s="14"/>
      <c r="AK1365" s="14"/>
      <c r="AL1365" s="14"/>
      <c r="AM1365" s="14"/>
      <c r="AN1365" s="14"/>
      <c r="AO1365" s="14"/>
      <c r="AP1365" s="14"/>
      <c r="AQ1365" s="14"/>
      <c r="AR1365" s="14"/>
      <c r="AS1365" s="14"/>
      <c r="AT1365" s="14"/>
      <c r="AU1365" s="14"/>
      <c r="AV1365" s="14"/>
      <c r="AW1365" s="14"/>
      <c r="AX1365" s="14"/>
      <c r="AY1365" s="14"/>
      <c r="AZ1365" s="14"/>
      <c r="BA1365" s="14"/>
      <c r="BB1365" s="14"/>
      <c r="BC1365" s="14"/>
      <c r="BD1365" s="14"/>
      <c r="BE1365" s="14"/>
      <c r="BF1365" s="14"/>
      <c r="BG1365" s="14"/>
      <c r="BH1365" s="14"/>
      <c r="BI1365" s="14"/>
      <c r="BJ1365" s="14"/>
      <c r="BK1365" s="14"/>
      <c r="BL1365" s="14"/>
      <c r="BM1365" s="14"/>
      <c r="BN1365" s="14"/>
      <c r="BO1365" s="14"/>
      <c r="BP1365" s="14"/>
      <c r="BQ1365" s="14"/>
      <c r="BR1365" s="14"/>
      <c r="BS1365" s="14"/>
      <c r="BT1365" s="14"/>
      <c r="BU1365" s="14"/>
      <c r="BV1365" s="14"/>
      <c r="BW1365" s="14"/>
      <c r="BX1365" s="14"/>
      <c r="BY1365" s="14"/>
      <c r="BZ1365" s="14"/>
      <c r="CA1365" s="14"/>
      <c r="CB1365" s="14"/>
      <c r="CC1365" s="14"/>
      <c r="CD1365" s="14"/>
      <c r="CE1365" s="14"/>
      <c r="CF1365" s="14"/>
      <c r="CG1365" s="4"/>
      <c r="CH1365" s="4"/>
      <c r="CI1365" s="4"/>
      <c r="CJ1365" s="4"/>
      <c r="CK1365" s="4"/>
      <c r="CL1365" s="4"/>
      <c r="CM1365" s="4"/>
      <c r="CN1365" s="4"/>
      <c r="CO1365" s="4"/>
      <c r="CP1365" s="4"/>
      <c r="CQ1365" s="4"/>
      <c r="CR1365" s="4"/>
      <c r="CS1365" s="4"/>
      <c r="CT1365" s="4"/>
      <c r="CU1365" s="4"/>
      <c r="CV1365" s="4"/>
      <c r="CW1365" s="4"/>
      <c r="CX1365" s="4"/>
      <c r="CY1365" s="4"/>
      <c r="CZ1365" s="4"/>
      <c r="DA1365" s="4"/>
      <c r="DB1365" s="4"/>
      <c r="DC1365" s="4"/>
      <c r="DD1365" s="4"/>
      <c r="DE1365" s="4"/>
      <c r="DF1365" s="4"/>
      <c r="DG1365" s="4"/>
      <c r="DH1365" s="4"/>
      <c r="DI1365" s="4"/>
      <c r="DJ1365" s="4"/>
      <c r="DK1365" s="4"/>
      <c r="DL1365" s="4"/>
    </row>
    <row r="1366" spans="1:116" s="15" customFormat="1" x14ac:dyDescent="0.25">
      <c r="A1366" s="16"/>
      <c r="B1366" s="16"/>
      <c r="C1366" s="16"/>
      <c r="D1366" s="98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4"/>
      <c r="AJ1366" s="14"/>
      <c r="AK1366" s="14"/>
      <c r="AL1366" s="14"/>
      <c r="AM1366" s="14"/>
      <c r="AN1366" s="14"/>
      <c r="AO1366" s="14"/>
      <c r="AP1366" s="14"/>
      <c r="AQ1366" s="14"/>
      <c r="AR1366" s="14"/>
      <c r="AS1366" s="14"/>
      <c r="AT1366" s="14"/>
      <c r="AU1366" s="14"/>
      <c r="AV1366" s="14"/>
      <c r="AW1366" s="14"/>
      <c r="AX1366" s="14"/>
      <c r="AY1366" s="14"/>
      <c r="AZ1366" s="14"/>
      <c r="BA1366" s="14"/>
      <c r="BB1366" s="14"/>
      <c r="BC1366" s="14"/>
      <c r="BD1366" s="14"/>
      <c r="BE1366" s="14"/>
      <c r="BF1366" s="14"/>
      <c r="BG1366" s="14"/>
      <c r="BH1366" s="14"/>
      <c r="BI1366" s="14"/>
      <c r="BJ1366" s="14"/>
      <c r="BK1366" s="14"/>
      <c r="BL1366" s="14"/>
      <c r="BM1366" s="14"/>
      <c r="BN1366" s="14"/>
      <c r="BO1366" s="14"/>
      <c r="BP1366" s="14"/>
      <c r="BQ1366" s="14"/>
      <c r="BR1366" s="14"/>
      <c r="BS1366" s="14"/>
      <c r="BT1366" s="14"/>
      <c r="BU1366" s="14"/>
      <c r="BV1366" s="14"/>
      <c r="BW1366" s="14"/>
      <c r="BX1366" s="14"/>
      <c r="BY1366" s="14"/>
      <c r="BZ1366" s="14"/>
      <c r="CA1366" s="14"/>
      <c r="CB1366" s="14"/>
      <c r="CC1366" s="14"/>
      <c r="CD1366" s="14"/>
      <c r="CE1366" s="14"/>
      <c r="CF1366" s="14"/>
      <c r="CG1366" s="4"/>
      <c r="CH1366" s="4"/>
      <c r="CI1366" s="4"/>
      <c r="CJ1366" s="4"/>
      <c r="CK1366" s="4"/>
      <c r="CL1366" s="4"/>
      <c r="CM1366" s="4"/>
      <c r="CN1366" s="4"/>
      <c r="CO1366" s="4"/>
      <c r="CP1366" s="4"/>
      <c r="CQ1366" s="4"/>
      <c r="CR1366" s="4"/>
      <c r="CS1366" s="4"/>
      <c r="CT1366" s="4"/>
      <c r="CU1366" s="4"/>
      <c r="CV1366" s="4"/>
      <c r="CW1366" s="4"/>
      <c r="CX1366" s="4"/>
      <c r="CY1366" s="4"/>
      <c r="CZ1366" s="4"/>
      <c r="DA1366" s="4"/>
      <c r="DB1366" s="4"/>
      <c r="DC1366" s="4"/>
      <c r="DD1366" s="4"/>
      <c r="DE1366" s="4"/>
      <c r="DF1366" s="4"/>
      <c r="DG1366" s="4"/>
      <c r="DH1366" s="4"/>
      <c r="DI1366" s="4"/>
      <c r="DJ1366" s="4"/>
      <c r="DK1366" s="4"/>
      <c r="DL1366" s="4"/>
    </row>
    <row r="1367" spans="1:116" s="15" customFormat="1" x14ac:dyDescent="0.25">
      <c r="A1367" s="16"/>
      <c r="B1367" s="16"/>
      <c r="C1367" s="16"/>
      <c r="D1367" s="98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4"/>
      <c r="AJ1367" s="14"/>
      <c r="AK1367" s="14"/>
      <c r="AL1367" s="14"/>
      <c r="AM1367" s="14"/>
      <c r="AN1367" s="14"/>
      <c r="AO1367" s="14"/>
      <c r="AP1367" s="14"/>
      <c r="AQ1367" s="14"/>
      <c r="AR1367" s="14"/>
      <c r="AS1367" s="14"/>
      <c r="AT1367" s="14"/>
      <c r="AU1367" s="14"/>
      <c r="AV1367" s="14"/>
      <c r="AW1367" s="14"/>
      <c r="AX1367" s="14"/>
      <c r="AY1367" s="14"/>
      <c r="AZ1367" s="14"/>
      <c r="BA1367" s="14"/>
      <c r="BB1367" s="14"/>
      <c r="BC1367" s="14"/>
      <c r="BD1367" s="14"/>
      <c r="BE1367" s="14"/>
      <c r="BF1367" s="14"/>
      <c r="BG1367" s="14"/>
      <c r="BH1367" s="14"/>
      <c r="BI1367" s="14"/>
      <c r="BJ1367" s="14"/>
      <c r="BK1367" s="14"/>
      <c r="BL1367" s="14"/>
      <c r="BM1367" s="14"/>
      <c r="BN1367" s="14"/>
      <c r="BO1367" s="14"/>
      <c r="BP1367" s="14"/>
      <c r="BQ1367" s="14"/>
      <c r="BR1367" s="14"/>
      <c r="BS1367" s="14"/>
      <c r="BT1367" s="14"/>
      <c r="BU1367" s="14"/>
      <c r="BV1367" s="14"/>
      <c r="BW1367" s="14"/>
      <c r="BX1367" s="14"/>
      <c r="BY1367" s="14"/>
      <c r="BZ1367" s="14"/>
      <c r="CA1367" s="14"/>
      <c r="CB1367" s="14"/>
      <c r="CC1367" s="14"/>
      <c r="CD1367" s="14"/>
      <c r="CE1367" s="14"/>
      <c r="CF1367" s="14"/>
      <c r="CG1367" s="4"/>
      <c r="CH1367" s="4"/>
      <c r="CI1367" s="4"/>
      <c r="CJ1367" s="4"/>
      <c r="CK1367" s="4"/>
      <c r="CL1367" s="4"/>
      <c r="CM1367" s="4"/>
      <c r="CN1367" s="4"/>
      <c r="CO1367" s="4"/>
      <c r="CP1367" s="4"/>
      <c r="CQ1367" s="4"/>
      <c r="CR1367" s="4"/>
      <c r="CS1367" s="4"/>
      <c r="CT1367" s="4"/>
      <c r="CU1367" s="4"/>
      <c r="CV1367" s="4"/>
      <c r="CW1367" s="4"/>
      <c r="CX1367" s="4"/>
      <c r="CY1367" s="4"/>
      <c r="CZ1367" s="4"/>
      <c r="DA1367" s="4"/>
      <c r="DB1367" s="4"/>
      <c r="DC1367" s="4"/>
      <c r="DD1367" s="4"/>
      <c r="DE1367" s="4"/>
      <c r="DF1367" s="4"/>
      <c r="DG1367" s="4"/>
      <c r="DH1367" s="4"/>
      <c r="DI1367" s="4"/>
      <c r="DJ1367" s="4"/>
      <c r="DK1367" s="4"/>
      <c r="DL1367" s="4"/>
    </row>
    <row r="1368" spans="1:116" s="15" customFormat="1" x14ac:dyDescent="0.25">
      <c r="A1368" s="16"/>
      <c r="B1368" s="16"/>
      <c r="C1368" s="16"/>
      <c r="D1368" s="98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4"/>
      <c r="AJ1368" s="14"/>
      <c r="AK1368" s="14"/>
      <c r="AL1368" s="14"/>
      <c r="AM1368" s="14"/>
      <c r="AN1368" s="14"/>
      <c r="AO1368" s="14"/>
      <c r="AP1368" s="14"/>
      <c r="AQ1368" s="14"/>
      <c r="AR1368" s="14"/>
      <c r="AS1368" s="14"/>
      <c r="AT1368" s="14"/>
      <c r="AU1368" s="14"/>
      <c r="AV1368" s="14"/>
      <c r="AW1368" s="14"/>
      <c r="AX1368" s="14"/>
      <c r="AY1368" s="14"/>
      <c r="AZ1368" s="14"/>
      <c r="BA1368" s="14"/>
      <c r="BB1368" s="14"/>
      <c r="BC1368" s="14"/>
      <c r="BD1368" s="14"/>
      <c r="BE1368" s="14"/>
      <c r="BF1368" s="14"/>
      <c r="BG1368" s="14"/>
      <c r="BH1368" s="14"/>
      <c r="BI1368" s="14"/>
      <c r="BJ1368" s="14"/>
      <c r="BK1368" s="14"/>
      <c r="BL1368" s="14"/>
      <c r="BM1368" s="14"/>
      <c r="BN1368" s="14"/>
      <c r="BO1368" s="14"/>
      <c r="BP1368" s="14"/>
      <c r="BQ1368" s="14"/>
      <c r="BR1368" s="14"/>
      <c r="BS1368" s="14"/>
      <c r="BT1368" s="14"/>
      <c r="BU1368" s="14"/>
      <c r="BV1368" s="14"/>
      <c r="BW1368" s="14"/>
      <c r="BX1368" s="14"/>
      <c r="BY1368" s="14"/>
      <c r="BZ1368" s="14"/>
      <c r="CA1368" s="14"/>
      <c r="CB1368" s="14"/>
      <c r="CC1368" s="14"/>
      <c r="CD1368" s="14"/>
      <c r="CE1368" s="14"/>
      <c r="CF1368" s="14"/>
      <c r="CG1368" s="4"/>
      <c r="CH1368" s="4"/>
      <c r="CI1368" s="4"/>
      <c r="CJ1368" s="4"/>
      <c r="CK1368" s="4"/>
      <c r="CL1368" s="4"/>
      <c r="CM1368" s="4"/>
      <c r="CN1368" s="4"/>
      <c r="CO1368" s="4"/>
      <c r="CP1368" s="4"/>
      <c r="CQ1368" s="4"/>
      <c r="CR1368" s="4"/>
      <c r="CS1368" s="4"/>
      <c r="CT1368" s="4"/>
      <c r="CU1368" s="4"/>
      <c r="CV1368" s="4"/>
      <c r="CW1368" s="4"/>
      <c r="CX1368" s="4"/>
      <c r="CY1368" s="4"/>
      <c r="CZ1368" s="4"/>
      <c r="DA1368" s="4"/>
      <c r="DB1368" s="4"/>
      <c r="DC1368" s="4"/>
      <c r="DD1368" s="4"/>
      <c r="DE1368" s="4"/>
      <c r="DF1368" s="4"/>
      <c r="DG1368" s="4"/>
      <c r="DH1368" s="4"/>
      <c r="DI1368" s="4"/>
      <c r="DJ1368" s="4"/>
      <c r="DK1368" s="4"/>
      <c r="DL1368" s="4"/>
    </row>
    <row r="1369" spans="1:116" s="15" customFormat="1" x14ac:dyDescent="0.25">
      <c r="A1369" s="16"/>
      <c r="B1369" s="16"/>
      <c r="C1369" s="16"/>
      <c r="D1369" s="98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4"/>
      <c r="AJ1369" s="14"/>
      <c r="AK1369" s="14"/>
      <c r="AL1369" s="14"/>
      <c r="AM1369" s="14"/>
      <c r="AN1369" s="14"/>
      <c r="AO1369" s="14"/>
      <c r="AP1369" s="14"/>
      <c r="AQ1369" s="14"/>
      <c r="AR1369" s="14"/>
      <c r="AS1369" s="14"/>
      <c r="AT1369" s="14"/>
      <c r="AU1369" s="14"/>
      <c r="AV1369" s="14"/>
      <c r="AW1369" s="14"/>
      <c r="AX1369" s="14"/>
      <c r="AY1369" s="14"/>
      <c r="AZ1369" s="14"/>
      <c r="BA1369" s="14"/>
      <c r="BB1369" s="14"/>
      <c r="BC1369" s="14"/>
      <c r="BD1369" s="14"/>
      <c r="BE1369" s="14"/>
      <c r="BF1369" s="14"/>
      <c r="BG1369" s="14"/>
      <c r="BH1369" s="14"/>
      <c r="BI1369" s="14"/>
      <c r="BJ1369" s="14"/>
      <c r="BK1369" s="14"/>
      <c r="BL1369" s="14"/>
      <c r="BM1369" s="14"/>
      <c r="BN1369" s="14"/>
      <c r="BO1369" s="14"/>
      <c r="BP1369" s="14"/>
      <c r="BQ1369" s="14"/>
      <c r="BR1369" s="14"/>
      <c r="BS1369" s="14"/>
      <c r="BT1369" s="14"/>
      <c r="BU1369" s="14"/>
      <c r="BV1369" s="14"/>
      <c r="BW1369" s="14"/>
      <c r="BX1369" s="14"/>
      <c r="BY1369" s="14"/>
      <c r="BZ1369" s="14"/>
      <c r="CA1369" s="14"/>
      <c r="CB1369" s="14"/>
      <c r="CC1369" s="14"/>
      <c r="CD1369" s="14"/>
      <c r="CE1369" s="14"/>
      <c r="CF1369" s="14"/>
      <c r="CG1369" s="4"/>
      <c r="CH1369" s="4"/>
      <c r="CI1369" s="4"/>
      <c r="CJ1369" s="4"/>
      <c r="CK1369" s="4"/>
      <c r="CL1369" s="4"/>
      <c r="CM1369" s="4"/>
      <c r="CN1369" s="4"/>
      <c r="CO1369" s="4"/>
      <c r="CP1369" s="4"/>
      <c r="CQ1369" s="4"/>
      <c r="CR1369" s="4"/>
      <c r="CS1369" s="4"/>
      <c r="CT1369" s="4"/>
      <c r="CU1369" s="4"/>
      <c r="CV1369" s="4"/>
      <c r="CW1369" s="4"/>
      <c r="CX1369" s="4"/>
      <c r="CY1369" s="4"/>
      <c r="CZ1369" s="4"/>
      <c r="DA1369" s="4"/>
      <c r="DB1369" s="4"/>
      <c r="DC1369" s="4"/>
      <c r="DD1369" s="4"/>
      <c r="DE1369" s="4"/>
      <c r="DF1369" s="4"/>
      <c r="DG1369" s="4"/>
      <c r="DH1369" s="4"/>
      <c r="DI1369" s="4"/>
      <c r="DJ1369" s="4"/>
      <c r="DK1369" s="4"/>
      <c r="DL1369" s="4"/>
    </row>
    <row r="1370" spans="1:116" s="15" customFormat="1" x14ac:dyDescent="0.25">
      <c r="A1370" s="16"/>
      <c r="B1370" s="16"/>
      <c r="C1370" s="16"/>
      <c r="D1370" s="98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4"/>
      <c r="AJ1370" s="14"/>
      <c r="AK1370" s="14"/>
      <c r="AL1370" s="14"/>
      <c r="AM1370" s="14"/>
      <c r="AN1370" s="14"/>
      <c r="AO1370" s="14"/>
      <c r="AP1370" s="14"/>
      <c r="AQ1370" s="14"/>
      <c r="AR1370" s="14"/>
      <c r="AS1370" s="14"/>
      <c r="AT1370" s="14"/>
      <c r="AU1370" s="14"/>
      <c r="AV1370" s="14"/>
      <c r="AW1370" s="14"/>
      <c r="AX1370" s="14"/>
      <c r="AY1370" s="14"/>
      <c r="AZ1370" s="14"/>
      <c r="BA1370" s="14"/>
      <c r="BB1370" s="14"/>
      <c r="BC1370" s="14"/>
      <c r="BD1370" s="14"/>
      <c r="BE1370" s="14"/>
      <c r="BF1370" s="14"/>
      <c r="BG1370" s="14"/>
      <c r="BH1370" s="14"/>
      <c r="BI1370" s="14"/>
      <c r="BJ1370" s="14"/>
      <c r="BK1370" s="14"/>
      <c r="BL1370" s="14"/>
      <c r="BM1370" s="14"/>
      <c r="BN1370" s="14"/>
      <c r="BO1370" s="14"/>
      <c r="BP1370" s="14"/>
      <c r="BQ1370" s="14"/>
      <c r="BR1370" s="14"/>
      <c r="BS1370" s="14"/>
      <c r="BT1370" s="14"/>
      <c r="BU1370" s="14"/>
      <c r="BV1370" s="14"/>
      <c r="BW1370" s="14"/>
      <c r="BX1370" s="14"/>
      <c r="BY1370" s="14"/>
      <c r="BZ1370" s="14"/>
      <c r="CA1370" s="14"/>
      <c r="CB1370" s="14"/>
      <c r="CC1370" s="14"/>
      <c r="CD1370" s="14"/>
      <c r="CE1370" s="14"/>
      <c r="CF1370" s="14"/>
      <c r="CG1370" s="4"/>
      <c r="CH1370" s="4"/>
      <c r="CI1370" s="4"/>
      <c r="CJ1370" s="4"/>
      <c r="CK1370" s="4"/>
      <c r="CL1370" s="4"/>
      <c r="CM1370" s="4"/>
      <c r="CN1370" s="4"/>
      <c r="CO1370" s="4"/>
      <c r="CP1370" s="4"/>
      <c r="CQ1370" s="4"/>
      <c r="CR1370" s="4"/>
      <c r="CS1370" s="4"/>
      <c r="CT1370" s="4"/>
      <c r="CU1370" s="4"/>
      <c r="CV1370" s="4"/>
      <c r="CW1370" s="4"/>
      <c r="CX1370" s="4"/>
      <c r="CY1370" s="4"/>
      <c r="CZ1370" s="4"/>
      <c r="DA1370" s="4"/>
      <c r="DB1370" s="4"/>
      <c r="DC1370" s="4"/>
      <c r="DD1370" s="4"/>
      <c r="DE1370" s="4"/>
      <c r="DF1370" s="4"/>
      <c r="DG1370" s="4"/>
      <c r="DH1370" s="4"/>
      <c r="DI1370" s="4"/>
      <c r="DJ1370" s="4"/>
      <c r="DK1370" s="4"/>
      <c r="DL1370" s="4"/>
    </row>
    <row r="1371" spans="1:116" s="15" customFormat="1" x14ac:dyDescent="0.25">
      <c r="A1371" s="16"/>
      <c r="B1371" s="16"/>
      <c r="C1371" s="16"/>
      <c r="D1371" s="98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4"/>
      <c r="AJ1371" s="14"/>
      <c r="AK1371" s="14"/>
      <c r="AL1371" s="14"/>
      <c r="AM1371" s="14"/>
      <c r="AN1371" s="14"/>
      <c r="AO1371" s="14"/>
      <c r="AP1371" s="14"/>
      <c r="AQ1371" s="14"/>
      <c r="AR1371" s="14"/>
      <c r="AS1371" s="14"/>
      <c r="AT1371" s="14"/>
      <c r="AU1371" s="14"/>
      <c r="AV1371" s="14"/>
      <c r="AW1371" s="14"/>
      <c r="AX1371" s="14"/>
      <c r="AY1371" s="14"/>
      <c r="AZ1371" s="14"/>
      <c r="BA1371" s="14"/>
      <c r="BB1371" s="14"/>
      <c r="BC1371" s="14"/>
      <c r="BD1371" s="14"/>
      <c r="BE1371" s="14"/>
      <c r="BF1371" s="14"/>
      <c r="BG1371" s="14"/>
      <c r="BH1371" s="14"/>
      <c r="BI1371" s="14"/>
      <c r="BJ1371" s="14"/>
      <c r="BK1371" s="14"/>
      <c r="BL1371" s="14"/>
      <c r="BM1371" s="14"/>
      <c r="BN1371" s="14"/>
      <c r="BO1371" s="14"/>
      <c r="BP1371" s="14"/>
      <c r="BQ1371" s="14"/>
      <c r="BR1371" s="14"/>
      <c r="BS1371" s="14"/>
      <c r="BT1371" s="14"/>
      <c r="BU1371" s="14"/>
      <c r="BV1371" s="14"/>
      <c r="BW1371" s="14"/>
      <c r="BX1371" s="14"/>
      <c r="BY1371" s="14"/>
      <c r="BZ1371" s="14"/>
      <c r="CA1371" s="14"/>
      <c r="CB1371" s="14"/>
      <c r="CC1371" s="14"/>
      <c r="CD1371" s="14"/>
      <c r="CE1371" s="14"/>
      <c r="CF1371" s="14"/>
      <c r="CG1371" s="4"/>
      <c r="CH1371" s="4"/>
      <c r="CI1371" s="4"/>
      <c r="CJ1371" s="4"/>
      <c r="CK1371" s="4"/>
      <c r="CL1371" s="4"/>
      <c r="CM1371" s="4"/>
      <c r="CN1371" s="4"/>
      <c r="CO1371" s="4"/>
      <c r="CP1371" s="4"/>
      <c r="CQ1371" s="4"/>
      <c r="CR1371" s="4"/>
      <c r="CS1371" s="4"/>
      <c r="CT1371" s="4"/>
      <c r="CU1371" s="4"/>
      <c r="CV1371" s="4"/>
      <c r="CW1371" s="4"/>
      <c r="CX1371" s="4"/>
      <c r="CY1371" s="4"/>
      <c r="CZ1371" s="4"/>
      <c r="DA1371" s="4"/>
      <c r="DB1371" s="4"/>
      <c r="DC1371" s="4"/>
      <c r="DD1371" s="4"/>
      <c r="DE1371" s="4"/>
      <c r="DF1371" s="4"/>
      <c r="DG1371" s="4"/>
      <c r="DH1371" s="4"/>
      <c r="DI1371" s="4"/>
      <c r="DJ1371" s="4"/>
      <c r="DK1371" s="4"/>
      <c r="DL1371" s="4"/>
    </row>
    <row r="1372" spans="1:116" s="15" customFormat="1" x14ac:dyDescent="0.25">
      <c r="A1372" s="16"/>
      <c r="B1372" s="16"/>
      <c r="C1372" s="16"/>
      <c r="D1372" s="98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4"/>
      <c r="AJ1372" s="14"/>
      <c r="AK1372" s="14"/>
      <c r="AL1372" s="14"/>
      <c r="AM1372" s="14"/>
      <c r="AN1372" s="14"/>
      <c r="AO1372" s="14"/>
      <c r="AP1372" s="14"/>
      <c r="AQ1372" s="14"/>
      <c r="AR1372" s="14"/>
      <c r="AS1372" s="14"/>
      <c r="AT1372" s="14"/>
      <c r="AU1372" s="14"/>
      <c r="AV1372" s="14"/>
      <c r="AW1372" s="14"/>
      <c r="AX1372" s="14"/>
      <c r="AY1372" s="14"/>
      <c r="AZ1372" s="14"/>
      <c r="BA1372" s="14"/>
      <c r="BB1372" s="14"/>
      <c r="BC1372" s="14"/>
      <c r="BD1372" s="14"/>
      <c r="BE1372" s="14"/>
      <c r="BF1372" s="14"/>
      <c r="BG1372" s="14"/>
      <c r="BH1372" s="14"/>
      <c r="BI1372" s="14"/>
      <c r="BJ1372" s="14"/>
      <c r="BK1372" s="14"/>
      <c r="BL1372" s="14"/>
      <c r="BM1372" s="14"/>
      <c r="BN1372" s="14"/>
      <c r="BO1372" s="14"/>
      <c r="BP1372" s="14"/>
      <c r="BQ1372" s="14"/>
      <c r="BR1372" s="14"/>
      <c r="BS1372" s="14"/>
      <c r="BT1372" s="14"/>
      <c r="BU1372" s="14"/>
      <c r="BV1372" s="14"/>
      <c r="BW1372" s="14"/>
      <c r="BX1372" s="14"/>
      <c r="BY1372" s="14"/>
      <c r="BZ1372" s="14"/>
      <c r="CA1372" s="14"/>
      <c r="CB1372" s="14"/>
      <c r="CC1372" s="14"/>
      <c r="CD1372" s="14"/>
      <c r="CE1372" s="14"/>
      <c r="CF1372" s="14"/>
      <c r="CG1372" s="4"/>
      <c r="CH1372" s="4"/>
      <c r="CI1372" s="4"/>
      <c r="CJ1372" s="4"/>
      <c r="CK1372" s="4"/>
      <c r="CL1372" s="4"/>
      <c r="CM1372" s="4"/>
      <c r="CN1372" s="4"/>
      <c r="CO1372" s="4"/>
      <c r="CP1372" s="4"/>
      <c r="CQ1372" s="4"/>
      <c r="CR1372" s="4"/>
      <c r="CS1372" s="4"/>
      <c r="CT1372" s="4"/>
      <c r="CU1372" s="4"/>
      <c r="CV1372" s="4"/>
      <c r="CW1372" s="4"/>
      <c r="CX1372" s="4"/>
      <c r="CY1372" s="4"/>
      <c r="CZ1372" s="4"/>
      <c r="DA1372" s="4"/>
      <c r="DB1372" s="4"/>
      <c r="DC1372" s="4"/>
      <c r="DD1372" s="4"/>
      <c r="DE1372" s="4"/>
      <c r="DF1372" s="4"/>
      <c r="DG1372" s="4"/>
      <c r="DH1372" s="4"/>
      <c r="DI1372" s="4"/>
      <c r="DJ1372" s="4"/>
      <c r="DK1372" s="4"/>
      <c r="DL1372" s="4"/>
    </row>
    <row r="1373" spans="1:116" s="15" customFormat="1" x14ac:dyDescent="0.25">
      <c r="A1373" s="16"/>
      <c r="B1373" s="16"/>
      <c r="C1373" s="16"/>
      <c r="D1373" s="98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  <c r="AB1373" s="14"/>
      <c r="AC1373" s="14"/>
      <c r="AD1373" s="14"/>
      <c r="AE1373" s="14"/>
      <c r="AF1373" s="14"/>
      <c r="AG1373" s="14"/>
      <c r="AH1373" s="14"/>
      <c r="AI1373" s="14"/>
      <c r="AJ1373" s="14"/>
      <c r="AK1373" s="14"/>
      <c r="AL1373" s="14"/>
      <c r="AM1373" s="14"/>
      <c r="AN1373" s="14"/>
      <c r="AO1373" s="14"/>
      <c r="AP1373" s="14"/>
      <c r="AQ1373" s="14"/>
      <c r="AR1373" s="14"/>
      <c r="AS1373" s="14"/>
      <c r="AT1373" s="14"/>
      <c r="AU1373" s="14"/>
      <c r="AV1373" s="14"/>
      <c r="AW1373" s="14"/>
      <c r="AX1373" s="14"/>
      <c r="AY1373" s="14"/>
      <c r="AZ1373" s="14"/>
      <c r="BA1373" s="14"/>
      <c r="BB1373" s="14"/>
      <c r="BC1373" s="14"/>
      <c r="BD1373" s="14"/>
      <c r="BE1373" s="14"/>
      <c r="BF1373" s="14"/>
      <c r="BG1373" s="14"/>
      <c r="BH1373" s="14"/>
      <c r="BI1373" s="14"/>
      <c r="BJ1373" s="14"/>
      <c r="BK1373" s="14"/>
      <c r="BL1373" s="14"/>
      <c r="BM1373" s="14"/>
      <c r="BN1373" s="14"/>
      <c r="BO1373" s="14"/>
      <c r="BP1373" s="14"/>
      <c r="BQ1373" s="14"/>
      <c r="BR1373" s="14"/>
      <c r="BS1373" s="14"/>
      <c r="BT1373" s="14"/>
      <c r="BU1373" s="14"/>
      <c r="BV1373" s="14"/>
      <c r="BW1373" s="14"/>
      <c r="BX1373" s="14"/>
      <c r="BY1373" s="14"/>
      <c r="BZ1373" s="14"/>
      <c r="CA1373" s="14"/>
      <c r="CB1373" s="14"/>
      <c r="CC1373" s="14"/>
      <c r="CD1373" s="14"/>
      <c r="CE1373" s="14"/>
      <c r="CF1373" s="14"/>
      <c r="CG1373" s="4"/>
      <c r="CH1373" s="4"/>
      <c r="CI1373" s="4"/>
      <c r="CJ1373" s="4"/>
      <c r="CK1373" s="4"/>
      <c r="CL1373" s="4"/>
      <c r="CM1373" s="4"/>
      <c r="CN1373" s="4"/>
      <c r="CO1373" s="4"/>
      <c r="CP1373" s="4"/>
      <c r="CQ1373" s="4"/>
      <c r="CR1373" s="4"/>
      <c r="CS1373" s="4"/>
      <c r="CT1373" s="4"/>
      <c r="CU1373" s="4"/>
      <c r="CV1373" s="4"/>
      <c r="CW1373" s="4"/>
      <c r="CX1373" s="4"/>
      <c r="CY1373" s="4"/>
      <c r="CZ1373" s="4"/>
      <c r="DA1373" s="4"/>
      <c r="DB1373" s="4"/>
      <c r="DC1373" s="4"/>
      <c r="DD1373" s="4"/>
      <c r="DE1373" s="4"/>
      <c r="DF1373" s="4"/>
      <c r="DG1373" s="4"/>
      <c r="DH1373" s="4"/>
      <c r="DI1373" s="4"/>
      <c r="DJ1373" s="4"/>
      <c r="DK1373" s="4"/>
      <c r="DL1373" s="4"/>
    </row>
    <row r="1374" spans="1:116" s="15" customFormat="1" x14ac:dyDescent="0.25">
      <c r="A1374" s="16"/>
      <c r="B1374" s="16"/>
      <c r="C1374" s="16"/>
      <c r="D1374" s="98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  <c r="AB1374" s="14"/>
      <c r="AC1374" s="14"/>
      <c r="AD1374" s="14"/>
      <c r="AE1374" s="14"/>
      <c r="AF1374" s="14"/>
      <c r="AG1374" s="14"/>
      <c r="AH1374" s="14"/>
      <c r="AI1374" s="14"/>
      <c r="AJ1374" s="14"/>
      <c r="AK1374" s="14"/>
      <c r="AL1374" s="14"/>
      <c r="AM1374" s="14"/>
      <c r="AN1374" s="14"/>
      <c r="AO1374" s="14"/>
      <c r="AP1374" s="14"/>
      <c r="AQ1374" s="14"/>
      <c r="AR1374" s="14"/>
      <c r="AS1374" s="14"/>
      <c r="AT1374" s="14"/>
      <c r="AU1374" s="14"/>
      <c r="AV1374" s="14"/>
      <c r="AW1374" s="14"/>
      <c r="AX1374" s="14"/>
      <c r="AY1374" s="14"/>
      <c r="AZ1374" s="14"/>
      <c r="BA1374" s="14"/>
      <c r="BB1374" s="14"/>
      <c r="BC1374" s="14"/>
      <c r="BD1374" s="14"/>
      <c r="BE1374" s="14"/>
      <c r="BF1374" s="14"/>
      <c r="BG1374" s="14"/>
      <c r="BH1374" s="14"/>
      <c r="BI1374" s="14"/>
      <c r="BJ1374" s="14"/>
      <c r="BK1374" s="14"/>
      <c r="BL1374" s="14"/>
      <c r="BM1374" s="14"/>
      <c r="BN1374" s="14"/>
      <c r="BO1374" s="14"/>
      <c r="BP1374" s="14"/>
      <c r="BQ1374" s="14"/>
      <c r="BR1374" s="14"/>
      <c r="BS1374" s="14"/>
      <c r="BT1374" s="14"/>
      <c r="BU1374" s="14"/>
      <c r="BV1374" s="14"/>
      <c r="BW1374" s="14"/>
      <c r="BX1374" s="14"/>
      <c r="BY1374" s="14"/>
      <c r="BZ1374" s="14"/>
      <c r="CA1374" s="14"/>
      <c r="CB1374" s="14"/>
      <c r="CC1374" s="14"/>
      <c r="CD1374" s="14"/>
      <c r="CE1374" s="14"/>
      <c r="CF1374" s="14"/>
      <c r="CG1374" s="4"/>
      <c r="CH1374" s="4"/>
      <c r="CI1374" s="4"/>
      <c r="CJ1374" s="4"/>
      <c r="CK1374" s="4"/>
      <c r="CL1374" s="4"/>
      <c r="CM1374" s="4"/>
      <c r="CN1374" s="4"/>
      <c r="CO1374" s="4"/>
      <c r="CP1374" s="4"/>
      <c r="CQ1374" s="4"/>
      <c r="CR1374" s="4"/>
      <c r="CS1374" s="4"/>
      <c r="CT1374" s="4"/>
      <c r="CU1374" s="4"/>
      <c r="CV1374" s="4"/>
      <c r="CW1374" s="4"/>
      <c r="CX1374" s="4"/>
      <c r="CY1374" s="4"/>
      <c r="CZ1374" s="4"/>
      <c r="DA1374" s="4"/>
      <c r="DB1374" s="4"/>
      <c r="DC1374" s="4"/>
      <c r="DD1374" s="4"/>
      <c r="DE1374" s="4"/>
      <c r="DF1374" s="4"/>
      <c r="DG1374" s="4"/>
      <c r="DH1374" s="4"/>
      <c r="DI1374" s="4"/>
      <c r="DJ1374" s="4"/>
      <c r="DK1374" s="4"/>
      <c r="DL1374" s="4"/>
    </row>
    <row r="1375" spans="1:116" s="15" customFormat="1" x14ac:dyDescent="0.25">
      <c r="A1375" s="16"/>
      <c r="B1375" s="16"/>
      <c r="C1375" s="16"/>
      <c r="D1375" s="98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4"/>
      <c r="AJ1375" s="14"/>
      <c r="AK1375" s="14"/>
      <c r="AL1375" s="14"/>
      <c r="AM1375" s="14"/>
      <c r="AN1375" s="14"/>
      <c r="AO1375" s="14"/>
      <c r="AP1375" s="14"/>
      <c r="AQ1375" s="14"/>
      <c r="AR1375" s="14"/>
      <c r="AS1375" s="14"/>
      <c r="AT1375" s="14"/>
      <c r="AU1375" s="14"/>
      <c r="AV1375" s="14"/>
      <c r="AW1375" s="14"/>
      <c r="AX1375" s="14"/>
      <c r="AY1375" s="14"/>
      <c r="AZ1375" s="14"/>
      <c r="BA1375" s="14"/>
      <c r="BB1375" s="14"/>
      <c r="BC1375" s="14"/>
      <c r="BD1375" s="14"/>
      <c r="BE1375" s="14"/>
      <c r="BF1375" s="14"/>
      <c r="BG1375" s="14"/>
      <c r="BH1375" s="14"/>
      <c r="BI1375" s="14"/>
      <c r="BJ1375" s="14"/>
      <c r="BK1375" s="14"/>
      <c r="BL1375" s="14"/>
      <c r="BM1375" s="14"/>
      <c r="BN1375" s="14"/>
      <c r="BO1375" s="14"/>
      <c r="BP1375" s="14"/>
      <c r="BQ1375" s="14"/>
      <c r="BR1375" s="14"/>
      <c r="BS1375" s="14"/>
      <c r="BT1375" s="14"/>
      <c r="BU1375" s="14"/>
      <c r="BV1375" s="14"/>
      <c r="BW1375" s="14"/>
      <c r="BX1375" s="14"/>
      <c r="BY1375" s="14"/>
      <c r="BZ1375" s="14"/>
      <c r="CA1375" s="14"/>
      <c r="CB1375" s="14"/>
      <c r="CC1375" s="14"/>
      <c r="CD1375" s="14"/>
      <c r="CE1375" s="14"/>
      <c r="CF1375" s="14"/>
      <c r="CG1375" s="4"/>
      <c r="CH1375" s="4"/>
      <c r="CI1375" s="4"/>
      <c r="CJ1375" s="4"/>
      <c r="CK1375" s="4"/>
      <c r="CL1375" s="4"/>
      <c r="CM1375" s="4"/>
      <c r="CN1375" s="4"/>
      <c r="CO1375" s="4"/>
      <c r="CP1375" s="4"/>
      <c r="CQ1375" s="4"/>
      <c r="CR1375" s="4"/>
      <c r="CS1375" s="4"/>
      <c r="CT1375" s="4"/>
      <c r="CU1375" s="4"/>
      <c r="CV1375" s="4"/>
      <c r="CW1375" s="4"/>
      <c r="CX1375" s="4"/>
      <c r="CY1375" s="4"/>
      <c r="CZ1375" s="4"/>
      <c r="DA1375" s="4"/>
      <c r="DB1375" s="4"/>
      <c r="DC1375" s="4"/>
      <c r="DD1375" s="4"/>
      <c r="DE1375" s="4"/>
      <c r="DF1375" s="4"/>
      <c r="DG1375" s="4"/>
      <c r="DH1375" s="4"/>
      <c r="DI1375" s="4"/>
      <c r="DJ1375" s="4"/>
      <c r="DK1375" s="4"/>
      <c r="DL1375" s="4"/>
    </row>
    <row r="1376" spans="1:116" s="15" customFormat="1" x14ac:dyDescent="0.25">
      <c r="A1376" s="16"/>
      <c r="B1376" s="16"/>
      <c r="C1376" s="16"/>
      <c r="D1376" s="98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4"/>
      <c r="AJ1376" s="14"/>
      <c r="AK1376" s="14"/>
      <c r="AL1376" s="14"/>
      <c r="AM1376" s="14"/>
      <c r="AN1376" s="14"/>
      <c r="AO1376" s="14"/>
      <c r="AP1376" s="14"/>
      <c r="AQ1376" s="14"/>
      <c r="AR1376" s="14"/>
      <c r="AS1376" s="14"/>
      <c r="AT1376" s="14"/>
      <c r="AU1376" s="14"/>
      <c r="AV1376" s="14"/>
      <c r="AW1376" s="14"/>
      <c r="AX1376" s="14"/>
      <c r="AY1376" s="14"/>
      <c r="AZ1376" s="14"/>
      <c r="BA1376" s="14"/>
      <c r="BB1376" s="14"/>
      <c r="BC1376" s="14"/>
      <c r="BD1376" s="14"/>
      <c r="BE1376" s="14"/>
      <c r="BF1376" s="14"/>
      <c r="BG1376" s="14"/>
      <c r="BH1376" s="14"/>
      <c r="BI1376" s="14"/>
      <c r="BJ1376" s="14"/>
      <c r="BK1376" s="14"/>
      <c r="BL1376" s="14"/>
      <c r="BM1376" s="14"/>
      <c r="BN1376" s="14"/>
      <c r="BO1376" s="14"/>
      <c r="BP1376" s="14"/>
      <c r="BQ1376" s="14"/>
      <c r="BR1376" s="14"/>
      <c r="BS1376" s="14"/>
      <c r="BT1376" s="14"/>
      <c r="BU1376" s="14"/>
      <c r="BV1376" s="14"/>
      <c r="BW1376" s="14"/>
      <c r="BX1376" s="14"/>
      <c r="BY1376" s="14"/>
      <c r="BZ1376" s="14"/>
      <c r="CA1376" s="14"/>
      <c r="CB1376" s="14"/>
      <c r="CC1376" s="14"/>
      <c r="CD1376" s="14"/>
      <c r="CE1376" s="14"/>
      <c r="CF1376" s="14"/>
      <c r="CG1376" s="4"/>
      <c r="CH1376" s="4"/>
      <c r="CI1376" s="4"/>
      <c r="CJ1376" s="4"/>
      <c r="CK1376" s="4"/>
      <c r="CL1376" s="4"/>
      <c r="CM1376" s="4"/>
      <c r="CN1376" s="4"/>
      <c r="CO1376" s="4"/>
      <c r="CP1376" s="4"/>
      <c r="CQ1376" s="4"/>
      <c r="CR1376" s="4"/>
      <c r="CS1376" s="4"/>
      <c r="CT1376" s="4"/>
      <c r="CU1376" s="4"/>
      <c r="CV1376" s="4"/>
      <c r="CW1376" s="4"/>
      <c r="CX1376" s="4"/>
      <c r="CY1376" s="4"/>
      <c r="CZ1376" s="4"/>
      <c r="DA1376" s="4"/>
      <c r="DB1376" s="4"/>
      <c r="DC1376" s="4"/>
      <c r="DD1376" s="4"/>
      <c r="DE1376" s="4"/>
      <c r="DF1376" s="4"/>
      <c r="DG1376" s="4"/>
      <c r="DH1376" s="4"/>
      <c r="DI1376" s="4"/>
      <c r="DJ1376" s="4"/>
      <c r="DK1376" s="4"/>
      <c r="DL1376" s="4"/>
    </row>
    <row r="1377" spans="1:116" s="15" customFormat="1" x14ac:dyDescent="0.25">
      <c r="A1377" s="16"/>
      <c r="B1377" s="16"/>
      <c r="C1377" s="16"/>
      <c r="D1377" s="98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4"/>
      <c r="AJ1377" s="14"/>
      <c r="AK1377" s="14"/>
      <c r="AL1377" s="14"/>
      <c r="AM1377" s="14"/>
      <c r="AN1377" s="14"/>
      <c r="AO1377" s="14"/>
      <c r="AP1377" s="14"/>
      <c r="AQ1377" s="14"/>
      <c r="AR1377" s="14"/>
      <c r="AS1377" s="14"/>
      <c r="AT1377" s="14"/>
      <c r="AU1377" s="14"/>
      <c r="AV1377" s="14"/>
      <c r="AW1377" s="14"/>
      <c r="AX1377" s="14"/>
      <c r="AY1377" s="14"/>
      <c r="AZ1377" s="14"/>
      <c r="BA1377" s="14"/>
      <c r="BB1377" s="14"/>
      <c r="BC1377" s="14"/>
      <c r="BD1377" s="14"/>
      <c r="BE1377" s="14"/>
      <c r="BF1377" s="14"/>
      <c r="BG1377" s="14"/>
      <c r="BH1377" s="14"/>
      <c r="BI1377" s="14"/>
      <c r="BJ1377" s="14"/>
      <c r="BK1377" s="14"/>
      <c r="BL1377" s="14"/>
      <c r="BM1377" s="14"/>
      <c r="BN1377" s="14"/>
      <c r="BO1377" s="14"/>
      <c r="BP1377" s="14"/>
      <c r="BQ1377" s="14"/>
      <c r="BR1377" s="14"/>
      <c r="BS1377" s="14"/>
      <c r="BT1377" s="14"/>
      <c r="BU1377" s="14"/>
      <c r="BV1377" s="14"/>
      <c r="BW1377" s="14"/>
      <c r="BX1377" s="14"/>
      <c r="BY1377" s="14"/>
      <c r="BZ1377" s="14"/>
      <c r="CA1377" s="14"/>
      <c r="CB1377" s="14"/>
      <c r="CC1377" s="14"/>
      <c r="CD1377" s="14"/>
      <c r="CE1377" s="14"/>
      <c r="CF1377" s="14"/>
      <c r="CG1377" s="4"/>
      <c r="CH1377" s="4"/>
      <c r="CI1377" s="4"/>
      <c r="CJ1377" s="4"/>
      <c r="CK1377" s="4"/>
      <c r="CL1377" s="4"/>
      <c r="CM1377" s="4"/>
      <c r="CN1377" s="4"/>
      <c r="CO1377" s="4"/>
      <c r="CP1377" s="4"/>
      <c r="CQ1377" s="4"/>
      <c r="CR1377" s="4"/>
      <c r="CS1377" s="4"/>
      <c r="CT1377" s="4"/>
      <c r="CU1377" s="4"/>
      <c r="CV1377" s="4"/>
      <c r="CW1377" s="4"/>
      <c r="CX1377" s="4"/>
      <c r="CY1377" s="4"/>
      <c r="CZ1377" s="4"/>
      <c r="DA1377" s="4"/>
      <c r="DB1377" s="4"/>
      <c r="DC1377" s="4"/>
      <c r="DD1377" s="4"/>
      <c r="DE1377" s="4"/>
      <c r="DF1377" s="4"/>
      <c r="DG1377" s="4"/>
      <c r="DH1377" s="4"/>
      <c r="DI1377" s="4"/>
      <c r="DJ1377" s="4"/>
      <c r="DK1377" s="4"/>
      <c r="DL1377" s="4"/>
    </row>
    <row r="1378" spans="1:116" s="15" customFormat="1" x14ac:dyDescent="0.25">
      <c r="A1378" s="16"/>
      <c r="B1378" s="16"/>
      <c r="C1378" s="16"/>
      <c r="D1378" s="98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4"/>
      <c r="AJ1378" s="14"/>
      <c r="AK1378" s="14"/>
      <c r="AL1378" s="14"/>
      <c r="AM1378" s="14"/>
      <c r="AN1378" s="14"/>
      <c r="AO1378" s="14"/>
      <c r="AP1378" s="14"/>
      <c r="AQ1378" s="14"/>
      <c r="AR1378" s="14"/>
      <c r="AS1378" s="14"/>
      <c r="AT1378" s="14"/>
      <c r="AU1378" s="14"/>
      <c r="AV1378" s="14"/>
      <c r="AW1378" s="14"/>
      <c r="AX1378" s="14"/>
      <c r="AY1378" s="14"/>
      <c r="AZ1378" s="14"/>
      <c r="BA1378" s="14"/>
      <c r="BB1378" s="14"/>
      <c r="BC1378" s="14"/>
      <c r="BD1378" s="14"/>
      <c r="BE1378" s="14"/>
      <c r="BF1378" s="14"/>
      <c r="BG1378" s="14"/>
      <c r="BH1378" s="14"/>
      <c r="BI1378" s="14"/>
      <c r="BJ1378" s="14"/>
      <c r="BK1378" s="14"/>
      <c r="BL1378" s="14"/>
      <c r="BM1378" s="14"/>
      <c r="BN1378" s="14"/>
      <c r="BO1378" s="14"/>
      <c r="BP1378" s="14"/>
      <c r="BQ1378" s="14"/>
      <c r="BR1378" s="14"/>
      <c r="BS1378" s="14"/>
      <c r="BT1378" s="14"/>
      <c r="BU1378" s="14"/>
      <c r="BV1378" s="14"/>
      <c r="BW1378" s="14"/>
      <c r="BX1378" s="14"/>
      <c r="BY1378" s="14"/>
      <c r="BZ1378" s="14"/>
      <c r="CA1378" s="14"/>
      <c r="CB1378" s="14"/>
      <c r="CC1378" s="14"/>
      <c r="CD1378" s="14"/>
      <c r="CE1378" s="14"/>
      <c r="CF1378" s="14"/>
      <c r="CG1378" s="4"/>
      <c r="CH1378" s="4"/>
      <c r="CI1378" s="4"/>
      <c r="CJ1378" s="4"/>
      <c r="CK1378" s="4"/>
      <c r="CL1378" s="4"/>
      <c r="CM1378" s="4"/>
      <c r="CN1378" s="4"/>
      <c r="CO1378" s="4"/>
      <c r="CP1378" s="4"/>
      <c r="CQ1378" s="4"/>
      <c r="CR1378" s="4"/>
      <c r="CS1378" s="4"/>
      <c r="CT1378" s="4"/>
      <c r="CU1378" s="4"/>
      <c r="CV1378" s="4"/>
      <c r="CW1378" s="4"/>
      <c r="CX1378" s="4"/>
      <c r="CY1378" s="4"/>
      <c r="CZ1378" s="4"/>
      <c r="DA1378" s="4"/>
      <c r="DB1378" s="4"/>
      <c r="DC1378" s="4"/>
      <c r="DD1378" s="4"/>
      <c r="DE1378" s="4"/>
      <c r="DF1378" s="4"/>
      <c r="DG1378" s="4"/>
      <c r="DH1378" s="4"/>
      <c r="DI1378" s="4"/>
      <c r="DJ1378" s="4"/>
      <c r="DK1378" s="4"/>
      <c r="DL1378" s="4"/>
    </row>
    <row r="1379" spans="1:116" s="15" customFormat="1" x14ac:dyDescent="0.25">
      <c r="A1379" s="16"/>
      <c r="B1379" s="16"/>
      <c r="C1379" s="16"/>
      <c r="D1379" s="98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4"/>
      <c r="AJ1379" s="14"/>
      <c r="AK1379" s="14"/>
      <c r="AL1379" s="14"/>
      <c r="AM1379" s="14"/>
      <c r="AN1379" s="14"/>
      <c r="AO1379" s="14"/>
      <c r="AP1379" s="14"/>
      <c r="AQ1379" s="14"/>
      <c r="AR1379" s="14"/>
      <c r="AS1379" s="14"/>
      <c r="AT1379" s="14"/>
      <c r="AU1379" s="14"/>
      <c r="AV1379" s="14"/>
      <c r="AW1379" s="14"/>
      <c r="AX1379" s="14"/>
      <c r="AY1379" s="14"/>
      <c r="AZ1379" s="14"/>
      <c r="BA1379" s="14"/>
      <c r="BB1379" s="14"/>
      <c r="BC1379" s="14"/>
      <c r="BD1379" s="14"/>
      <c r="BE1379" s="14"/>
      <c r="BF1379" s="14"/>
      <c r="BG1379" s="14"/>
      <c r="BH1379" s="14"/>
      <c r="BI1379" s="14"/>
      <c r="BJ1379" s="14"/>
      <c r="BK1379" s="14"/>
      <c r="BL1379" s="14"/>
      <c r="BM1379" s="14"/>
      <c r="BN1379" s="14"/>
      <c r="BO1379" s="14"/>
      <c r="BP1379" s="14"/>
      <c r="BQ1379" s="14"/>
      <c r="BR1379" s="14"/>
      <c r="BS1379" s="14"/>
      <c r="BT1379" s="14"/>
      <c r="BU1379" s="14"/>
      <c r="BV1379" s="14"/>
      <c r="BW1379" s="14"/>
      <c r="BX1379" s="14"/>
      <c r="BY1379" s="14"/>
      <c r="BZ1379" s="14"/>
      <c r="CA1379" s="14"/>
      <c r="CB1379" s="14"/>
      <c r="CC1379" s="14"/>
      <c r="CD1379" s="14"/>
      <c r="CE1379" s="14"/>
      <c r="CF1379" s="14"/>
      <c r="CG1379" s="4"/>
      <c r="CH1379" s="4"/>
      <c r="CI1379" s="4"/>
      <c r="CJ1379" s="4"/>
      <c r="CK1379" s="4"/>
      <c r="CL1379" s="4"/>
      <c r="CM1379" s="4"/>
      <c r="CN1379" s="4"/>
      <c r="CO1379" s="4"/>
      <c r="CP1379" s="4"/>
      <c r="CQ1379" s="4"/>
      <c r="CR1379" s="4"/>
      <c r="CS1379" s="4"/>
      <c r="CT1379" s="4"/>
      <c r="CU1379" s="4"/>
      <c r="CV1379" s="4"/>
      <c r="CW1379" s="4"/>
      <c r="CX1379" s="4"/>
      <c r="CY1379" s="4"/>
      <c r="CZ1379" s="4"/>
      <c r="DA1379" s="4"/>
      <c r="DB1379" s="4"/>
      <c r="DC1379" s="4"/>
      <c r="DD1379" s="4"/>
      <c r="DE1379" s="4"/>
      <c r="DF1379" s="4"/>
      <c r="DG1379" s="4"/>
      <c r="DH1379" s="4"/>
      <c r="DI1379" s="4"/>
      <c r="DJ1379" s="4"/>
      <c r="DK1379" s="4"/>
      <c r="DL1379" s="4"/>
    </row>
    <row r="1380" spans="1:116" s="15" customFormat="1" x14ac:dyDescent="0.25">
      <c r="A1380" s="16"/>
      <c r="B1380" s="16"/>
      <c r="C1380" s="16"/>
      <c r="D1380" s="98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4"/>
      <c r="AJ1380" s="14"/>
      <c r="AK1380" s="14"/>
      <c r="AL1380" s="14"/>
      <c r="AM1380" s="14"/>
      <c r="AN1380" s="14"/>
      <c r="AO1380" s="14"/>
      <c r="AP1380" s="14"/>
      <c r="AQ1380" s="14"/>
      <c r="AR1380" s="14"/>
      <c r="AS1380" s="14"/>
      <c r="AT1380" s="14"/>
      <c r="AU1380" s="14"/>
      <c r="AV1380" s="14"/>
      <c r="AW1380" s="14"/>
      <c r="AX1380" s="14"/>
      <c r="AY1380" s="14"/>
      <c r="AZ1380" s="14"/>
      <c r="BA1380" s="14"/>
      <c r="BB1380" s="14"/>
      <c r="BC1380" s="14"/>
      <c r="BD1380" s="14"/>
      <c r="BE1380" s="14"/>
      <c r="BF1380" s="14"/>
      <c r="BG1380" s="14"/>
      <c r="BH1380" s="14"/>
      <c r="BI1380" s="14"/>
      <c r="BJ1380" s="14"/>
      <c r="BK1380" s="14"/>
      <c r="BL1380" s="14"/>
      <c r="BM1380" s="14"/>
      <c r="BN1380" s="14"/>
      <c r="BO1380" s="14"/>
      <c r="BP1380" s="14"/>
      <c r="BQ1380" s="14"/>
      <c r="BR1380" s="14"/>
      <c r="BS1380" s="14"/>
      <c r="BT1380" s="14"/>
      <c r="BU1380" s="14"/>
      <c r="BV1380" s="14"/>
      <c r="BW1380" s="14"/>
      <c r="BX1380" s="14"/>
      <c r="BY1380" s="14"/>
      <c r="BZ1380" s="14"/>
      <c r="CA1380" s="14"/>
      <c r="CB1380" s="14"/>
      <c r="CC1380" s="14"/>
      <c r="CD1380" s="14"/>
      <c r="CE1380" s="14"/>
      <c r="CF1380" s="14"/>
      <c r="CG1380" s="4"/>
      <c r="CH1380" s="4"/>
      <c r="CI1380" s="4"/>
      <c r="CJ1380" s="4"/>
      <c r="CK1380" s="4"/>
      <c r="CL1380" s="4"/>
      <c r="CM1380" s="4"/>
      <c r="CN1380" s="4"/>
      <c r="CO1380" s="4"/>
      <c r="CP1380" s="4"/>
      <c r="CQ1380" s="4"/>
      <c r="CR1380" s="4"/>
      <c r="CS1380" s="4"/>
      <c r="CT1380" s="4"/>
      <c r="CU1380" s="4"/>
      <c r="CV1380" s="4"/>
      <c r="CW1380" s="4"/>
      <c r="CX1380" s="4"/>
      <c r="CY1380" s="4"/>
      <c r="CZ1380" s="4"/>
      <c r="DA1380" s="4"/>
      <c r="DB1380" s="4"/>
      <c r="DC1380" s="4"/>
      <c r="DD1380" s="4"/>
      <c r="DE1380" s="4"/>
      <c r="DF1380" s="4"/>
      <c r="DG1380" s="4"/>
      <c r="DH1380" s="4"/>
      <c r="DI1380" s="4"/>
      <c r="DJ1380" s="4"/>
      <c r="DK1380" s="4"/>
      <c r="DL1380" s="4"/>
    </row>
    <row r="1381" spans="1:116" s="15" customFormat="1" x14ac:dyDescent="0.25">
      <c r="A1381" s="16"/>
      <c r="B1381" s="16"/>
      <c r="C1381" s="16"/>
      <c r="D1381" s="98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4"/>
      <c r="AJ1381" s="14"/>
      <c r="AK1381" s="14"/>
      <c r="AL1381" s="14"/>
      <c r="AM1381" s="14"/>
      <c r="AN1381" s="14"/>
      <c r="AO1381" s="14"/>
      <c r="AP1381" s="14"/>
      <c r="AQ1381" s="14"/>
      <c r="AR1381" s="14"/>
      <c r="AS1381" s="14"/>
      <c r="AT1381" s="14"/>
      <c r="AU1381" s="14"/>
      <c r="AV1381" s="14"/>
      <c r="AW1381" s="14"/>
      <c r="AX1381" s="14"/>
      <c r="AY1381" s="14"/>
      <c r="AZ1381" s="14"/>
      <c r="BA1381" s="14"/>
      <c r="BB1381" s="14"/>
      <c r="BC1381" s="14"/>
      <c r="BD1381" s="14"/>
      <c r="BE1381" s="14"/>
      <c r="BF1381" s="14"/>
      <c r="BG1381" s="14"/>
      <c r="BH1381" s="14"/>
      <c r="BI1381" s="14"/>
      <c r="BJ1381" s="14"/>
      <c r="BK1381" s="14"/>
      <c r="BL1381" s="14"/>
      <c r="BM1381" s="14"/>
      <c r="BN1381" s="14"/>
      <c r="BO1381" s="14"/>
      <c r="BP1381" s="14"/>
      <c r="BQ1381" s="14"/>
      <c r="BR1381" s="14"/>
      <c r="BS1381" s="14"/>
      <c r="BT1381" s="14"/>
      <c r="BU1381" s="14"/>
      <c r="BV1381" s="14"/>
      <c r="BW1381" s="14"/>
      <c r="BX1381" s="14"/>
      <c r="BY1381" s="14"/>
      <c r="BZ1381" s="14"/>
      <c r="CA1381" s="14"/>
      <c r="CB1381" s="14"/>
      <c r="CC1381" s="14"/>
      <c r="CD1381" s="14"/>
      <c r="CE1381" s="14"/>
      <c r="CF1381" s="14"/>
      <c r="CG1381" s="4"/>
      <c r="CH1381" s="4"/>
      <c r="CI1381" s="4"/>
      <c r="CJ1381" s="4"/>
      <c r="CK1381" s="4"/>
      <c r="CL1381" s="4"/>
      <c r="CM1381" s="4"/>
      <c r="CN1381" s="4"/>
      <c r="CO1381" s="4"/>
      <c r="CP1381" s="4"/>
      <c r="CQ1381" s="4"/>
      <c r="CR1381" s="4"/>
      <c r="CS1381" s="4"/>
      <c r="CT1381" s="4"/>
      <c r="CU1381" s="4"/>
      <c r="CV1381" s="4"/>
      <c r="CW1381" s="4"/>
      <c r="CX1381" s="4"/>
      <c r="CY1381" s="4"/>
      <c r="CZ1381" s="4"/>
      <c r="DA1381" s="4"/>
      <c r="DB1381" s="4"/>
      <c r="DC1381" s="4"/>
      <c r="DD1381" s="4"/>
      <c r="DE1381" s="4"/>
      <c r="DF1381" s="4"/>
      <c r="DG1381" s="4"/>
      <c r="DH1381" s="4"/>
      <c r="DI1381" s="4"/>
      <c r="DJ1381" s="4"/>
      <c r="DK1381" s="4"/>
      <c r="DL1381" s="4"/>
    </row>
    <row r="1382" spans="1:116" s="15" customFormat="1" x14ac:dyDescent="0.25">
      <c r="A1382" s="16"/>
      <c r="B1382" s="16"/>
      <c r="C1382" s="16"/>
      <c r="D1382" s="98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4"/>
      <c r="AJ1382" s="14"/>
      <c r="AK1382" s="14"/>
      <c r="AL1382" s="14"/>
      <c r="AM1382" s="14"/>
      <c r="AN1382" s="14"/>
      <c r="AO1382" s="14"/>
      <c r="AP1382" s="14"/>
      <c r="AQ1382" s="14"/>
      <c r="AR1382" s="14"/>
      <c r="AS1382" s="14"/>
      <c r="AT1382" s="14"/>
      <c r="AU1382" s="14"/>
      <c r="AV1382" s="14"/>
      <c r="AW1382" s="14"/>
      <c r="AX1382" s="14"/>
      <c r="AY1382" s="14"/>
      <c r="AZ1382" s="14"/>
      <c r="BA1382" s="14"/>
      <c r="BB1382" s="14"/>
      <c r="BC1382" s="14"/>
      <c r="BD1382" s="14"/>
      <c r="BE1382" s="14"/>
      <c r="BF1382" s="14"/>
      <c r="BG1382" s="14"/>
      <c r="BH1382" s="14"/>
      <c r="BI1382" s="14"/>
      <c r="BJ1382" s="14"/>
      <c r="BK1382" s="14"/>
      <c r="BL1382" s="14"/>
      <c r="BM1382" s="14"/>
      <c r="BN1382" s="14"/>
      <c r="BO1382" s="14"/>
      <c r="BP1382" s="14"/>
      <c r="BQ1382" s="14"/>
      <c r="BR1382" s="14"/>
      <c r="BS1382" s="14"/>
      <c r="BT1382" s="14"/>
      <c r="BU1382" s="14"/>
      <c r="BV1382" s="14"/>
      <c r="BW1382" s="14"/>
      <c r="BX1382" s="14"/>
      <c r="BY1382" s="14"/>
      <c r="BZ1382" s="14"/>
      <c r="CA1382" s="14"/>
      <c r="CB1382" s="14"/>
      <c r="CC1382" s="14"/>
      <c r="CD1382" s="14"/>
      <c r="CE1382" s="14"/>
      <c r="CF1382" s="14"/>
      <c r="CG1382" s="4"/>
      <c r="CH1382" s="4"/>
      <c r="CI1382" s="4"/>
      <c r="CJ1382" s="4"/>
      <c r="CK1382" s="4"/>
      <c r="CL1382" s="4"/>
      <c r="CM1382" s="4"/>
      <c r="CN1382" s="4"/>
      <c r="CO1382" s="4"/>
      <c r="CP1382" s="4"/>
      <c r="CQ1382" s="4"/>
      <c r="CR1382" s="4"/>
      <c r="CS1382" s="4"/>
      <c r="CT1382" s="4"/>
      <c r="CU1382" s="4"/>
      <c r="CV1382" s="4"/>
      <c r="CW1382" s="4"/>
      <c r="CX1382" s="4"/>
      <c r="CY1382" s="4"/>
      <c r="CZ1382" s="4"/>
      <c r="DA1382" s="4"/>
      <c r="DB1382" s="4"/>
      <c r="DC1382" s="4"/>
      <c r="DD1382" s="4"/>
      <c r="DE1382" s="4"/>
      <c r="DF1382" s="4"/>
      <c r="DG1382" s="4"/>
      <c r="DH1382" s="4"/>
      <c r="DI1382" s="4"/>
      <c r="DJ1382" s="4"/>
      <c r="DK1382" s="4"/>
      <c r="DL1382" s="4"/>
    </row>
    <row r="1383" spans="1:116" s="15" customFormat="1" x14ac:dyDescent="0.25">
      <c r="A1383" s="16"/>
      <c r="B1383" s="16"/>
      <c r="C1383" s="16"/>
      <c r="D1383" s="98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4"/>
      <c r="AJ1383" s="14"/>
      <c r="AK1383" s="14"/>
      <c r="AL1383" s="14"/>
      <c r="AM1383" s="14"/>
      <c r="AN1383" s="14"/>
      <c r="AO1383" s="14"/>
      <c r="AP1383" s="14"/>
      <c r="AQ1383" s="14"/>
      <c r="AR1383" s="14"/>
      <c r="AS1383" s="14"/>
      <c r="AT1383" s="14"/>
      <c r="AU1383" s="14"/>
      <c r="AV1383" s="14"/>
      <c r="AW1383" s="14"/>
      <c r="AX1383" s="14"/>
      <c r="AY1383" s="14"/>
      <c r="AZ1383" s="14"/>
      <c r="BA1383" s="14"/>
      <c r="BB1383" s="14"/>
      <c r="BC1383" s="14"/>
      <c r="BD1383" s="14"/>
      <c r="BE1383" s="14"/>
      <c r="BF1383" s="14"/>
      <c r="BG1383" s="14"/>
      <c r="BH1383" s="14"/>
      <c r="BI1383" s="14"/>
      <c r="BJ1383" s="14"/>
      <c r="BK1383" s="14"/>
      <c r="BL1383" s="14"/>
      <c r="BM1383" s="14"/>
      <c r="BN1383" s="14"/>
      <c r="BO1383" s="14"/>
      <c r="BP1383" s="14"/>
      <c r="BQ1383" s="14"/>
      <c r="BR1383" s="14"/>
      <c r="BS1383" s="14"/>
      <c r="BT1383" s="14"/>
      <c r="BU1383" s="14"/>
      <c r="BV1383" s="14"/>
      <c r="BW1383" s="14"/>
      <c r="BX1383" s="14"/>
      <c r="BY1383" s="14"/>
      <c r="BZ1383" s="14"/>
      <c r="CA1383" s="14"/>
      <c r="CB1383" s="14"/>
      <c r="CC1383" s="14"/>
      <c r="CD1383" s="14"/>
      <c r="CE1383" s="14"/>
      <c r="CF1383" s="14"/>
      <c r="CG1383" s="4"/>
      <c r="CH1383" s="4"/>
      <c r="CI1383" s="4"/>
      <c r="CJ1383" s="4"/>
      <c r="CK1383" s="4"/>
      <c r="CL1383" s="4"/>
      <c r="CM1383" s="4"/>
      <c r="CN1383" s="4"/>
      <c r="CO1383" s="4"/>
      <c r="CP1383" s="4"/>
      <c r="CQ1383" s="4"/>
      <c r="CR1383" s="4"/>
      <c r="CS1383" s="4"/>
      <c r="CT1383" s="4"/>
      <c r="CU1383" s="4"/>
      <c r="CV1383" s="4"/>
      <c r="CW1383" s="4"/>
      <c r="CX1383" s="4"/>
      <c r="CY1383" s="4"/>
      <c r="CZ1383" s="4"/>
      <c r="DA1383" s="4"/>
      <c r="DB1383" s="4"/>
      <c r="DC1383" s="4"/>
      <c r="DD1383" s="4"/>
      <c r="DE1383" s="4"/>
      <c r="DF1383" s="4"/>
      <c r="DG1383" s="4"/>
      <c r="DH1383" s="4"/>
      <c r="DI1383" s="4"/>
      <c r="DJ1383" s="4"/>
      <c r="DK1383" s="4"/>
      <c r="DL1383" s="4"/>
    </row>
    <row r="1384" spans="1:116" s="15" customFormat="1" x14ac:dyDescent="0.25">
      <c r="A1384" s="16"/>
      <c r="B1384" s="16"/>
      <c r="C1384" s="16"/>
      <c r="D1384" s="98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4"/>
      <c r="AJ1384" s="14"/>
      <c r="AK1384" s="14"/>
      <c r="AL1384" s="14"/>
      <c r="AM1384" s="14"/>
      <c r="AN1384" s="14"/>
      <c r="AO1384" s="14"/>
      <c r="AP1384" s="14"/>
      <c r="AQ1384" s="14"/>
      <c r="AR1384" s="14"/>
      <c r="AS1384" s="14"/>
      <c r="AT1384" s="14"/>
      <c r="AU1384" s="14"/>
      <c r="AV1384" s="14"/>
      <c r="AW1384" s="14"/>
      <c r="AX1384" s="14"/>
      <c r="AY1384" s="14"/>
      <c r="AZ1384" s="14"/>
      <c r="BA1384" s="14"/>
      <c r="BB1384" s="14"/>
      <c r="BC1384" s="14"/>
      <c r="BD1384" s="14"/>
      <c r="BE1384" s="14"/>
      <c r="BF1384" s="14"/>
      <c r="BG1384" s="14"/>
      <c r="BH1384" s="14"/>
      <c r="BI1384" s="14"/>
      <c r="BJ1384" s="14"/>
      <c r="BK1384" s="14"/>
      <c r="BL1384" s="14"/>
      <c r="BM1384" s="14"/>
      <c r="BN1384" s="14"/>
      <c r="BO1384" s="14"/>
      <c r="BP1384" s="14"/>
      <c r="BQ1384" s="14"/>
      <c r="BR1384" s="14"/>
      <c r="BS1384" s="14"/>
      <c r="BT1384" s="14"/>
      <c r="BU1384" s="14"/>
      <c r="BV1384" s="14"/>
      <c r="BW1384" s="14"/>
      <c r="BX1384" s="14"/>
      <c r="BY1384" s="14"/>
      <c r="BZ1384" s="14"/>
      <c r="CA1384" s="14"/>
      <c r="CB1384" s="14"/>
      <c r="CC1384" s="14"/>
      <c r="CD1384" s="14"/>
      <c r="CE1384" s="14"/>
      <c r="CF1384" s="14"/>
      <c r="CG1384" s="4"/>
      <c r="CH1384" s="4"/>
      <c r="CI1384" s="4"/>
      <c r="CJ1384" s="4"/>
      <c r="CK1384" s="4"/>
      <c r="CL1384" s="4"/>
      <c r="CM1384" s="4"/>
      <c r="CN1384" s="4"/>
      <c r="CO1384" s="4"/>
      <c r="CP1384" s="4"/>
      <c r="CQ1384" s="4"/>
      <c r="CR1384" s="4"/>
      <c r="CS1384" s="4"/>
      <c r="CT1384" s="4"/>
      <c r="CU1384" s="4"/>
      <c r="CV1384" s="4"/>
      <c r="CW1384" s="4"/>
      <c r="CX1384" s="4"/>
      <c r="CY1384" s="4"/>
      <c r="CZ1384" s="4"/>
      <c r="DA1384" s="4"/>
      <c r="DB1384" s="4"/>
      <c r="DC1384" s="4"/>
      <c r="DD1384" s="4"/>
      <c r="DE1384" s="4"/>
      <c r="DF1384" s="4"/>
      <c r="DG1384" s="4"/>
      <c r="DH1384" s="4"/>
      <c r="DI1384" s="4"/>
      <c r="DJ1384" s="4"/>
      <c r="DK1384" s="4"/>
      <c r="DL1384" s="4"/>
    </row>
    <row r="1385" spans="1:116" s="15" customFormat="1" x14ac:dyDescent="0.25">
      <c r="A1385" s="16"/>
      <c r="B1385" s="16"/>
      <c r="C1385" s="16"/>
      <c r="D1385" s="98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  <c r="AB1385" s="14"/>
      <c r="AC1385" s="14"/>
      <c r="AD1385" s="14"/>
      <c r="AE1385" s="14"/>
      <c r="AF1385" s="14"/>
      <c r="AG1385" s="14"/>
      <c r="AH1385" s="14"/>
      <c r="AI1385" s="14"/>
      <c r="AJ1385" s="14"/>
      <c r="AK1385" s="14"/>
      <c r="AL1385" s="14"/>
      <c r="AM1385" s="14"/>
      <c r="AN1385" s="14"/>
      <c r="AO1385" s="14"/>
      <c r="AP1385" s="14"/>
      <c r="AQ1385" s="14"/>
      <c r="AR1385" s="14"/>
      <c r="AS1385" s="14"/>
      <c r="AT1385" s="14"/>
      <c r="AU1385" s="14"/>
      <c r="AV1385" s="14"/>
      <c r="AW1385" s="14"/>
      <c r="AX1385" s="14"/>
      <c r="AY1385" s="14"/>
      <c r="AZ1385" s="14"/>
      <c r="BA1385" s="14"/>
      <c r="BB1385" s="14"/>
      <c r="BC1385" s="14"/>
      <c r="BD1385" s="14"/>
      <c r="BE1385" s="14"/>
      <c r="BF1385" s="14"/>
      <c r="BG1385" s="14"/>
      <c r="BH1385" s="14"/>
      <c r="BI1385" s="14"/>
      <c r="BJ1385" s="14"/>
      <c r="BK1385" s="14"/>
      <c r="BL1385" s="14"/>
      <c r="BM1385" s="14"/>
      <c r="BN1385" s="14"/>
      <c r="BO1385" s="14"/>
      <c r="BP1385" s="14"/>
      <c r="BQ1385" s="14"/>
      <c r="BR1385" s="14"/>
      <c r="BS1385" s="14"/>
      <c r="BT1385" s="14"/>
      <c r="BU1385" s="14"/>
      <c r="BV1385" s="14"/>
      <c r="BW1385" s="14"/>
      <c r="BX1385" s="14"/>
      <c r="BY1385" s="14"/>
      <c r="BZ1385" s="14"/>
      <c r="CA1385" s="14"/>
      <c r="CB1385" s="14"/>
      <c r="CC1385" s="14"/>
      <c r="CD1385" s="14"/>
      <c r="CE1385" s="14"/>
      <c r="CF1385" s="14"/>
      <c r="CG1385" s="4"/>
      <c r="CH1385" s="4"/>
      <c r="CI1385" s="4"/>
      <c r="CJ1385" s="4"/>
      <c r="CK1385" s="4"/>
      <c r="CL1385" s="4"/>
      <c r="CM1385" s="4"/>
      <c r="CN1385" s="4"/>
      <c r="CO1385" s="4"/>
      <c r="CP1385" s="4"/>
      <c r="CQ1385" s="4"/>
      <c r="CR1385" s="4"/>
      <c r="CS1385" s="4"/>
      <c r="CT1385" s="4"/>
      <c r="CU1385" s="4"/>
      <c r="CV1385" s="4"/>
      <c r="CW1385" s="4"/>
      <c r="CX1385" s="4"/>
      <c r="CY1385" s="4"/>
      <c r="CZ1385" s="4"/>
      <c r="DA1385" s="4"/>
      <c r="DB1385" s="4"/>
      <c r="DC1385" s="4"/>
      <c r="DD1385" s="4"/>
      <c r="DE1385" s="4"/>
      <c r="DF1385" s="4"/>
      <c r="DG1385" s="4"/>
      <c r="DH1385" s="4"/>
      <c r="DI1385" s="4"/>
      <c r="DJ1385" s="4"/>
      <c r="DK1385" s="4"/>
      <c r="DL1385" s="4"/>
    </row>
    <row r="1386" spans="1:116" s="15" customFormat="1" x14ac:dyDescent="0.25">
      <c r="A1386" s="16"/>
      <c r="B1386" s="16"/>
      <c r="C1386" s="16"/>
      <c r="D1386" s="98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  <c r="AB1386" s="14"/>
      <c r="AC1386" s="14"/>
      <c r="AD1386" s="14"/>
      <c r="AE1386" s="14"/>
      <c r="AF1386" s="14"/>
      <c r="AG1386" s="14"/>
      <c r="AH1386" s="14"/>
      <c r="AI1386" s="14"/>
      <c r="AJ1386" s="14"/>
      <c r="AK1386" s="14"/>
      <c r="AL1386" s="14"/>
      <c r="AM1386" s="14"/>
      <c r="AN1386" s="14"/>
      <c r="AO1386" s="14"/>
      <c r="AP1386" s="14"/>
      <c r="AQ1386" s="14"/>
      <c r="AR1386" s="14"/>
      <c r="AS1386" s="14"/>
      <c r="AT1386" s="14"/>
      <c r="AU1386" s="14"/>
      <c r="AV1386" s="14"/>
      <c r="AW1386" s="14"/>
      <c r="AX1386" s="14"/>
      <c r="AY1386" s="14"/>
      <c r="AZ1386" s="14"/>
      <c r="BA1386" s="14"/>
      <c r="BB1386" s="14"/>
      <c r="BC1386" s="14"/>
      <c r="BD1386" s="14"/>
      <c r="BE1386" s="14"/>
      <c r="BF1386" s="14"/>
      <c r="BG1386" s="14"/>
      <c r="BH1386" s="14"/>
      <c r="BI1386" s="14"/>
      <c r="BJ1386" s="14"/>
      <c r="BK1386" s="14"/>
      <c r="BL1386" s="14"/>
      <c r="BM1386" s="14"/>
      <c r="BN1386" s="14"/>
      <c r="BO1386" s="14"/>
      <c r="BP1386" s="14"/>
      <c r="BQ1386" s="14"/>
      <c r="BR1386" s="14"/>
      <c r="BS1386" s="14"/>
      <c r="BT1386" s="14"/>
      <c r="BU1386" s="14"/>
      <c r="BV1386" s="14"/>
      <c r="BW1386" s="14"/>
      <c r="BX1386" s="14"/>
      <c r="BY1386" s="14"/>
      <c r="BZ1386" s="14"/>
      <c r="CA1386" s="14"/>
      <c r="CB1386" s="14"/>
      <c r="CC1386" s="14"/>
      <c r="CD1386" s="14"/>
      <c r="CE1386" s="14"/>
      <c r="CF1386" s="14"/>
      <c r="CG1386" s="4"/>
      <c r="CH1386" s="4"/>
      <c r="CI1386" s="4"/>
      <c r="CJ1386" s="4"/>
      <c r="CK1386" s="4"/>
      <c r="CL1386" s="4"/>
      <c r="CM1386" s="4"/>
      <c r="CN1386" s="4"/>
      <c r="CO1386" s="4"/>
      <c r="CP1386" s="4"/>
      <c r="CQ1386" s="4"/>
      <c r="CR1386" s="4"/>
      <c r="CS1386" s="4"/>
      <c r="CT1386" s="4"/>
      <c r="CU1386" s="4"/>
      <c r="CV1386" s="4"/>
      <c r="CW1386" s="4"/>
      <c r="CX1386" s="4"/>
      <c r="CY1386" s="4"/>
      <c r="CZ1386" s="4"/>
      <c r="DA1386" s="4"/>
      <c r="DB1386" s="4"/>
      <c r="DC1386" s="4"/>
      <c r="DD1386" s="4"/>
      <c r="DE1386" s="4"/>
      <c r="DF1386" s="4"/>
      <c r="DG1386" s="4"/>
      <c r="DH1386" s="4"/>
      <c r="DI1386" s="4"/>
      <c r="DJ1386" s="4"/>
      <c r="DK1386" s="4"/>
      <c r="DL1386" s="4"/>
    </row>
    <row r="1387" spans="1:116" s="15" customFormat="1" x14ac:dyDescent="0.25">
      <c r="A1387" s="16"/>
      <c r="B1387" s="16"/>
      <c r="C1387" s="16"/>
      <c r="D1387" s="98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4"/>
      <c r="AJ1387" s="14"/>
      <c r="AK1387" s="14"/>
      <c r="AL1387" s="14"/>
      <c r="AM1387" s="14"/>
      <c r="AN1387" s="14"/>
      <c r="AO1387" s="14"/>
      <c r="AP1387" s="14"/>
      <c r="AQ1387" s="14"/>
      <c r="AR1387" s="14"/>
      <c r="AS1387" s="14"/>
      <c r="AT1387" s="14"/>
      <c r="AU1387" s="14"/>
      <c r="AV1387" s="14"/>
      <c r="AW1387" s="14"/>
      <c r="AX1387" s="14"/>
      <c r="AY1387" s="14"/>
      <c r="AZ1387" s="14"/>
      <c r="BA1387" s="14"/>
      <c r="BB1387" s="14"/>
      <c r="BC1387" s="14"/>
      <c r="BD1387" s="14"/>
      <c r="BE1387" s="14"/>
      <c r="BF1387" s="14"/>
      <c r="BG1387" s="14"/>
      <c r="BH1387" s="14"/>
      <c r="BI1387" s="14"/>
      <c r="BJ1387" s="14"/>
      <c r="BK1387" s="14"/>
      <c r="BL1387" s="14"/>
      <c r="BM1387" s="14"/>
      <c r="BN1387" s="14"/>
      <c r="BO1387" s="14"/>
      <c r="BP1387" s="14"/>
      <c r="BQ1387" s="14"/>
      <c r="BR1387" s="14"/>
      <c r="BS1387" s="14"/>
      <c r="BT1387" s="14"/>
      <c r="BU1387" s="14"/>
      <c r="BV1387" s="14"/>
      <c r="BW1387" s="14"/>
      <c r="BX1387" s="14"/>
      <c r="BY1387" s="14"/>
      <c r="BZ1387" s="14"/>
      <c r="CA1387" s="14"/>
      <c r="CB1387" s="14"/>
      <c r="CC1387" s="14"/>
      <c r="CD1387" s="14"/>
      <c r="CE1387" s="14"/>
      <c r="CF1387" s="14"/>
      <c r="CG1387" s="4"/>
      <c r="CH1387" s="4"/>
      <c r="CI1387" s="4"/>
      <c r="CJ1387" s="4"/>
      <c r="CK1387" s="4"/>
      <c r="CL1387" s="4"/>
      <c r="CM1387" s="4"/>
      <c r="CN1387" s="4"/>
      <c r="CO1387" s="4"/>
      <c r="CP1387" s="4"/>
      <c r="CQ1387" s="4"/>
      <c r="CR1387" s="4"/>
      <c r="CS1387" s="4"/>
      <c r="CT1387" s="4"/>
      <c r="CU1387" s="4"/>
      <c r="CV1387" s="4"/>
      <c r="CW1387" s="4"/>
      <c r="CX1387" s="4"/>
      <c r="CY1387" s="4"/>
      <c r="CZ1387" s="4"/>
      <c r="DA1387" s="4"/>
      <c r="DB1387" s="4"/>
      <c r="DC1387" s="4"/>
      <c r="DD1387" s="4"/>
      <c r="DE1387" s="4"/>
      <c r="DF1387" s="4"/>
      <c r="DG1387" s="4"/>
      <c r="DH1387" s="4"/>
      <c r="DI1387" s="4"/>
      <c r="DJ1387" s="4"/>
      <c r="DK1387" s="4"/>
      <c r="DL1387" s="4"/>
    </row>
    <row r="1388" spans="1:116" s="15" customFormat="1" x14ac:dyDescent="0.25">
      <c r="A1388" s="16"/>
      <c r="B1388" s="16"/>
      <c r="C1388" s="16"/>
      <c r="D1388" s="98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4"/>
      <c r="AJ1388" s="14"/>
      <c r="AK1388" s="14"/>
      <c r="AL1388" s="14"/>
      <c r="AM1388" s="14"/>
      <c r="AN1388" s="14"/>
      <c r="AO1388" s="14"/>
      <c r="AP1388" s="14"/>
      <c r="AQ1388" s="14"/>
      <c r="AR1388" s="14"/>
      <c r="AS1388" s="14"/>
      <c r="AT1388" s="14"/>
      <c r="AU1388" s="14"/>
      <c r="AV1388" s="14"/>
      <c r="AW1388" s="14"/>
      <c r="AX1388" s="14"/>
      <c r="AY1388" s="14"/>
      <c r="AZ1388" s="14"/>
      <c r="BA1388" s="14"/>
      <c r="BB1388" s="14"/>
      <c r="BC1388" s="14"/>
      <c r="BD1388" s="14"/>
      <c r="BE1388" s="14"/>
      <c r="BF1388" s="14"/>
      <c r="BG1388" s="14"/>
      <c r="BH1388" s="14"/>
      <c r="BI1388" s="14"/>
      <c r="BJ1388" s="14"/>
      <c r="BK1388" s="14"/>
      <c r="BL1388" s="14"/>
      <c r="BM1388" s="14"/>
      <c r="BN1388" s="14"/>
      <c r="BO1388" s="14"/>
      <c r="BP1388" s="14"/>
      <c r="BQ1388" s="14"/>
      <c r="BR1388" s="14"/>
      <c r="BS1388" s="14"/>
      <c r="BT1388" s="14"/>
      <c r="BU1388" s="14"/>
      <c r="BV1388" s="14"/>
      <c r="BW1388" s="14"/>
      <c r="BX1388" s="14"/>
      <c r="BY1388" s="14"/>
      <c r="BZ1388" s="14"/>
      <c r="CA1388" s="14"/>
      <c r="CB1388" s="14"/>
      <c r="CC1388" s="14"/>
      <c r="CD1388" s="14"/>
      <c r="CE1388" s="14"/>
      <c r="CF1388" s="14"/>
      <c r="CG1388" s="4"/>
      <c r="CH1388" s="4"/>
      <c r="CI1388" s="4"/>
      <c r="CJ1388" s="4"/>
      <c r="CK1388" s="4"/>
      <c r="CL1388" s="4"/>
      <c r="CM1388" s="4"/>
      <c r="CN1388" s="4"/>
      <c r="CO1388" s="4"/>
      <c r="CP1388" s="4"/>
      <c r="CQ1388" s="4"/>
      <c r="CR1388" s="4"/>
      <c r="CS1388" s="4"/>
      <c r="CT1388" s="4"/>
      <c r="CU1388" s="4"/>
      <c r="CV1388" s="4"/>
      <c r="CW1388" s="4"/>
      <c r="CX1388" s="4"/>
      <c r="CY1388" s="4"/>
      <c r="CZ1388" s="4"/>
      <c r="DA1388" s="4"/>
      <c r="DB1388" s="4"/>
      <c r="DC1388" s="4"/>
      <c r="DD1388" s="4"/>
      <c r="DE1388" s="4"/>
      <c r="DF1388" s="4"/>
      <c r="DG1388" s="4"/>
      <c r="DH1388" s="4"/>
      <c r="DI1388" s="4"/>
      <c r="DJ1388" s="4"/>
      <c r="DK1388" s="4"/>
      <c r="DL1388" s="4"/>
    </row>
    <row r="1389" spans="1:116" s="15" customFormat="1" x14ac:dyDescent="0.25">
      <c r="A1389" s="16"/>
      <c r="B1389" s="16"/>
      <c r="C1389" s="16"/>
      <c r="D1389" s="98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4"/>
      <c r="AJ1389" s="14"/>
      <c r="AK1389" s="14"/>
      <c r="AL1389" s="14"/>
      <c r="AM1389" s="14"/>
      <c r="AN1389" s="14"/>
      <c r="AO1389" s="14"/>
      <c r="AP1389" s="14"/>
      <c r="AQ1389" s="14"/>
      <c r="AR1389" s="14"/>
      <c r="AS1389" s="14"/>
      <c r="AT1389" s="14"/>
      <c r="AU1389" s="14"/>
      <c r="AV1389" s="14"/>
      <c r="AW1389" s="14"/>
      <c r="AX1389" s="14"/>
      <c r="AY1389" s="14"/>
      <c r="AZ1389" s="14"/>
      <c r="BA1389" s="14"/>
      <c r="BB1389" s="14"/>
      <c r="BC1389" s="14"/>
      <c r="BD1389" s="14"/>
      <c r="BE1389" s="14"/>
      <c r="BF1389" s="14"/>
      <c r="BG1389" s="14"/>
      <c r="BH1389" s="14"/>
      <c r="BI1389" s="14"/>
      <c r="BJ1389" s="14"/>
      <c r="BK1389" s="14"/>
      <c r="BL1389" s="14"/>
      <c r="BM1389" s="14"/>
      <c r="BN1389" s="14"/>
      <c r="BO1389" s="14"/>
      <c r="BP1389" s="14"/>
      <c r="BQ1389" s="14"/>
      <c r="BR1389" s="14"/>
      <c r="BS1389" s="14"/>
      <c r="BT1389" s="14"/>
      <c r="BU1389" s="14"/>
      <c r="BV1389" s="14"/>
      <c r="BW1389" s="14"/>
      <c r="BX1389" s="14"/>
      <c r="BY1389" s="14"/>
      <c r="BZ1389" s="14"/>
      <c r="CA1389" s="14"/>
      <c r="CB1389" s="14"/>
      <c r="CC1389" s="14"/>
      <c r="CD1389" s="14"/>
      <c r="CE1389" s="14"/>
      <c r="CF1389" s="14"/>
      <c r="CG1389" s="4"/>
      <c r="CH1389" s="4"/>
      <c r="CI1389" s="4"/>
      <c r="CJ1389" s="4"/>
      <c r="CK1389" s="4"/>
      <c r="CL1389" s="4"/>
      <c r="CM1389" s="4"/>
      <c r="CN1389" s="4"/>
      <c r="CO1389" s="4"/>
      <c r="CP1389" s="4"/>
      <c r="CQ1389" s="4"/>
      <c r="CR1389" s="4"/>
      <c r="CS1389" s="4"/>
      <c r="CT1389" s="4"/>
      <c r="CU1389" s="4"/>
      <c r="CV1389" s="4"/>
      <c r="CW1389" s="4"/>
      <c r="CX1389" s="4"/>
      <c r="CY1389" s="4"/>
      <c r="CZ1389" s="4"/>
      <c r="DA1389" s="4"/>
      <c r="DB1389" s="4"/>
      <c r="DC1389" s="4"/>
      <c r="DD1389" s="4"/>
      <c r="DE1389" s="4"/>
      <c r="DF1389" s="4"/>
      <c r="DG1389" s="4"/>
      <c r="DH1389" s="4"/>
      <c r="DI1389" s="4"/>
      <c r="DJ1389" s="4"/>
      <c r="DK1389" s="4"/>
      <c r="DL1389" s="4"/>
    </row>
    <row r="1390" spans="1:116" s="15" customFormat="1" x14ac:dyDescent="0.25">
      <c r="A1390" s="16"/>
      <c r="B1390" s="16"/>
      <c r="C1390" s="16"/>
      <c r="D1390" s="98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4"/>
      <c r="AJ1390" s="14"/>
      <c r="AK1390" s="14"/>
      <c r="AL1390" s="14"/>
      <c r="AM1390" s="14"/>
      <c r="AN1390" s="14"/>
      <c r="AO1390" s="14"/>
      <c r="AP1390" s="14"/>
      <c r="AQ1390" s="14"/>
      <c r="AR1390" s="14"/>
      <c r="AS1390" s="14"/>
      <c r="AT1390" s="14"/>
      <c r="AU1390" s="14"/>
      <c r="AV1390" s="14"/>
      <c r="AW1390" s="14"/>
      <c r="AX1390" s="14"/>
      <c r="AY1390" s="14"/>
      <c r="AZ1390" s="14"/>
      <c r="BA1390" s="14"/>
      <c r="BB1390" s="14"/>
      <c r="BC1390" s="14"/>
      <c r="BD1390" s="14"/>
      <c r="BE1390" s="14"/>
      <c r="BF1390" s="14"/>
      <c r="BG1390" s="14"/>
      <c r="BH1390" s="14"/>
      <c r="BI1390" s="14"/>
      <c r="BJ1390" s="14"/>
      <c r="BK1390" s="14"/>
      <c r="BL1390" s="14"/>
      <c r="BM1390" s="14"/>
      <c r="BN1390" s="14"/>
      <c r="BO1390" s="14"/>
      <c r="BP1390" s="14"/>
      <c r="BQ1390" s="14"/>
      <c r="BR1390" s="14"/>
      <c r="BS1390" s="14"/>
      <c r="BT1390" s="14"/>
      <c r="BU1390" s="14"/>
      <c r="BV1390" s="14"/>
      <c r="BW1390" s="14"/>
      <c r="BX1390" s="14"/>
      <c r="BY1390" s="14"/>
      <c r="BZ1390" s="14"/>
      <c r="CA1390" s="14"/>
      <c r="CB1390" s="14"/>
      <c r="CC1390" s="14"/>
      <c r="CD1390" s="14"/>
      <c r="CE1390" s="14"/>
      <c r="CF1390" s="14"/>
      <c r="CG1390" s="4"/>
      <c r="CH1390" s="4"/>
      <c r="CI1390" s="4"/>
      <c r="CJ1390" s="4"/>
      <c r="CK1390" s="4"/>
      <c r="CL1390" s="4"/>
      <c r="CM1390" s="4"/>
      <c r="CN1390" s="4"/>
      <c r="CO1390" s="4"/>
      <c r="CP1390" s="4"/>
      <c r="CQ1390" s="4"/>
      <c r="CR1390" s="4"/>
      <c r="CS1390" s="4"/>
      <c r="CT1390" s="4"/>
      <c r="CU1390" s="4"/>
      <c r="CV1390" s="4"/>
      <c r="CW1390" s="4"/>
      <c r="CX1390" s="4"/>
      <c r="CY1390" s="4"/>
      <c r="CZ1390" s="4"/>
      <c r="DA1390" s="4"/>
      <c r="DB1390" s="4"/>
      <c r="DC1390" s="4"/>
      <c r="DD1390" s="4"/>
      <c r="DE1390" s="4"/>
      <c r="DF1390" s="4"/>
      <c r="DG1390" s="4"/>
      <c r="DH1390" s="4"/>
      <c r="DI1390" s="4"/>
      <c r="DJ1390" s="4"/>
      <c r="DK1390" s="4"/>
      <c r="DL1390" s="4"/>
    </row>
    <row r="1391" spans="1:116" s="15" customFormat="1" x14ac:dyDescent="0.25">
      <c r="A1391" s="16"/>
      <c r="B1391" s="16"/>
      <c r="C1391" s="16"/>
      <c r="D1391" s="98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4"/>
      <c r="AJ1391" s="14"/>
      <c r="AK1391" s="14"/>
      <c r="AL1391" s="14"/>
      <c r="AM1391" s="14"/>
      <c r="AN1391" s="14"/>
      <c r="AO1391" s="14"/>
      <c r="AP1391" s="14"/>
      <c r="AQ1391" s="14"/>
      <c r="AR1391" s="14"/>
      <c r="AS1391" s="14"/>
      <c r="AT1391" s="14"/>
      <c r="AU1391" s="14"/>
      <c r="AV1391" s="14"/>
      <c r="AW1391" s="14"/>
      <c r="AX1391" s="14"/>
      <c r="AY1391" s="14"/>
      <c r="AZ1391" s="14"/>
      <c r="BA1391" s="14"/>
      <c r="BB1391" s="14"/>
      <c r="BC1391" s="14"/>
      <c r="BD1391" s="14"/>
      <c r="BE1391" s="14"/>
      <c r="BF1391" s="14"/>
      <c r="BG1391" s="14"/>
      <c r="BH1391" s="14"/>
      <c r="BI1391" s="14"/>
      <c r="BJ1391" s="14"/>
      <c r="BK1391" s="14"/>
      <c r="BL1391" s="14"/>
      <c r="BM1391" s="14"/>
      <c r="BN1391" s="14"/>
      <c r="BO1391" s="14"/>
      <c r="BP1391" s="14"/>
      <c r="BQ1391" s="14"/>
      <c r="BR1391" s="14"/>
      <c r="BS1391" s="14"/>
      <c r="BT1391" s="14"/>
      <c r="BU1391" s="14"/>
      <c r="BV1391" s="14"/>
      <c r="BW1391" s="14"/>
      <c r="BX1391" s="14"/>
      <c r="BY1391" s="14"/>
      <c r="BZ1391" s="14"/>
      <c r="CA1391" s="14"/>
      <c r="CB1391" s="14"/>
      <c r="CC1391" s="14"/>
      <c r="CD1391" s="14"/>
      <c r="CE1391" s="14"/>
      <c r="CF1391" s="14"/>
      <c r="CG1391" s="4"/>
      <c r="CH1391" s="4"/>
      <c r="CI1391" s="4"/>
      <c r="CJ1391" s="4"/>
      <c r="CK1391" s="4"/>
      <c r="CL1391" s="4"/>
      <c r="CM1391" s="4"/>
      <c r="CN1391" s="4"/>
      <c r="CO1391" s="4"/>
      <c r="CP1391" s="4"/>
      <c r="CQ1391" s="4"/>
      <c r="CR1391" s="4"/>
      <c r="CS1391" s="4"/>
      <c r="CT1391" s="4"/>
      <c r="CU1391" s="4"/>
      <c r="CV1391" s="4"/>
      <c r="CW1391" s="4"/>
      <c r="CX1391" s="4"/>
      <c r="CY1391" s="4"/>
      <c r="CZ1391" s="4"/>
      <c r="DA1391" s="4"/>
      <c r="DB1391" s="4"/>
      <c r="DC1391" s="4"/>
      <c r="DD1391" s="4"/>
      <c r="DE1391" s="4"/>
      <c r="DF1391" s="4"/>
      <c r="DG1391" s="4"/>
      <c r="DH1391" s="4"/>
      <c r="DI1391" s="4"/>
      <c r="DJ1391" s="4"/>
      <c r="DK1391" s="4"/>
      <c r="DL1391" s="4"/>
    </row>
    <row r="1392" spans="1:116" s="15" customFormat="1" x14ac:dyDescent="0.25">
      <c r="A1392" s="16"/>
      <c r="B1392" s="16"/>
      <c r="C1392" s="16"/>
      <c r="D1392" s="98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4"/>
      <c r="AJ1392" s="14"/>
      <c r="AK1392" s="14"/>
      <c r="AL1392" s="14"/>
      <c r="AM1392" s="14"/>
      <c r="AN1392" s="14"/>
      <c r="AO1392" s="14"/>
      <c r="AP1392" s="14"/>
      <c r="AQ1392" s="14"/>
      <c r="AR1392" s="14"/>
      <c r="AS1392" s="14"/>
      <c r="AT1392" s="14"/>
      <c r="AU1392" s="14"/>
      <c r="AV1392" s="14"/>
      <c r="AW1392" s="14"/>
      <c r="AX1392" s="14"/>
      <c r="AY1392" s="14"/>
      <c r="AZ1392" s="14"/>
      <c r="BA1392" s="14"/>
      <c r="BB1392" s="14"/>
      <c r="BC1392" s="14"/>
      <c r="BD1392" s="14"/>
      <c r="BE1392" s="14"/>
      <c r="BF1392" s="14"/>
      <c r="BG1392" s="14"/>
      <c r="BH1392" s="14"/>
      <c r="BI1392" s="14"/>
      <c r="BJ1392" s="14"/>
      <c r="BK1392" s="14"/>
      <c r="BL1392" s="14"/>
      <c r="BM1392" s="14"/>
      <c r="BN1392" s="14"/>
      <c r="BO1392" s="14"/>
      <c r="BP1392" s="14"/>
      <c r="BQ1392" s="14"/>
      <c r="BR1392" s="14"/>
      <c r="BS1392" s="14"/>
      <c r="BT1392" s="14"/>
      <c r="BU1392" s="14"/>
      <c r="BV1392" s="14"/>
      <c r="BW1392" s="14"/>
      <c r="BX1392" s="14"/>
      <c r="BY1392" s="14"/>
      <c r="BZ1392" s="14"/>
      <c r="CA1392" s="14"/>
      <c r="CB1392" s="14"/>
      <c r="CC1392" s="14"/>
      <c r="CD1392" s="14"/>
      <c r="CE1392" s="14"/>
      <c r="CF1392" s="14"/>
      <c r="CG1392" s="4"/>
      <c r="CH1392" s="4"/>
      <c r="CI1392" s="4"/>
      <c r="CJ1392" s="4"/>
      <c r="CK1392" s="4"/>
      <c r="CL1392" s="4"/>
      <c r="CM1392" s="4"/>
      <c r="CN1392" s="4"/>
      <c r="CO1392" s="4"/>
      <c r="CP1392" s="4"/>
      <c r="CQ1392" s="4"/>
      <c r="CR1392" s="4"/>
      <c r="CS1392" s="4"/>
      <c r="CT1392" s="4"/>
      <c r="CU1392" s="4"/>
      <c r="CV1392" s="4"/>
      <c r="CW1392" s="4"/>
      <c r="CX1392" s="4"/>
      <c r="CY1392" s="4"/>
      <c r="CZ1392" s="4"/>
      <c r="DA1392" s="4"/>
      <c r="DB1392" s="4"/>
      <c r="DC1392" s="4"/>
      <c r="DD1392" s="4"/>
      <c r="DE1392" s="4"/>
      <c r="DF1392" s="4"/>
      <c r="DG1392" s="4"/>
      <c r="DH1392" s="4"/>
      <c r="DI1392" s="4"/>
      <c r="DJ1392" s="4"/>
      <c r="DK1392" s="4"/>
      <c r="DL1392" s="4"/>
    </row>
    <row r="1393" spans="1:116" s="15" customFormat="1" x14ac:dyDescent="0.25">
      <c r="A1393" s="16"/>
      <c r="B1393" s="16"/>
      <c r="C1393" s="16"/>
      <c r="D1393" s="98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4"/>
      <c r="AJ1393" s="14"/>
      <c r="AK1393" s="14"/>
      <c r="AL1393" s="14"/>
      <c r="AM1393" s="14"/>
      <c r="AN1393" s="14"/>
      <c r="AO1393" s="14"/>
      <c r="AP1393" s="14"/>
      <c r="AQ1393" s="14"/>
      <c r="AR1393" s="14"/>
      <c r="AS1393" s="14"/>
      <c r="AT1393" s="14"/>
      <c r="AU1393" s="14"/>
      <c r="AV1393" s="14"/>
      <c r="AW1393" s="14"/>
      <c r="AX1393" s="14"/>
      <c r="AY1393" s="14"/>
      <c r="AZ1393" s="14"/>
      <c r="BA1393" s="14"/>
      <c r="BB1393" s="14"/>
      <c r="BC1393" s="14"/>
      <c r="BD1393" s="14"/>
      <c r="BE1393" s="14"/>
      <c r="BF1393" s="14"/>
      <c r="BG1393" s="14"/>
      <c r="BH1393" s="14"/>
      <c r="BI1393" s="14"/>
      <c r="BJ1393" s="14"/>
      <c r="BK1393" s="14"/>
      <c r="BL1393" s="14"/>
      <c r="BM1393" s="14"/>
      <c r="BN1393" s="14"/>
      <c r="BO1393" s="14"/>
      <c r="BP1393" s="14"/>
      <c r="BQ1393" s="14"/>
      <c r="BR1393" s="14"/>
      <c r="BS1393" s="14"/>
      <c r="BT1393" s="14"/>
      <c r="BU1393" s="14"/>
      <c r="BV1393" s="14"/>
      <c r="BW1393" s="14"/>
      <c r="BX1393" s="14"/>
      <c r="BY1393" s="14"/>
      <c r="BZ1393" s="14"/>
      <c r="CA1393" s="14"/>
      <c r="CB1393" s="14"/>
      <c r="CC1393" s="14"/>
      <c r="CD1393" s="14"/>
      <c r="CE1393" s="14"/>
      <c r="CF1393" s="14"/>
      <c r="CG1393" s="4"/>
      <c r="CH1393" s="4"/>
      <c r="CI1393" s="4"/>
      <c r="CJ1393" s="4"/>
      <c r="CK1393" s="4"/>
      <c r="CL1393" s="4"/>
      <c r="CM1393" s="4"/>
      <c r="CN1393" s="4"/>
      <c r="CO1393" s="4"/>
      <c r="CP1393" s="4"/>
      <c r="CQ1393" s="4"/>
      <c r="CR1393" s="4"/>
      <c r="CS1393" s="4"/>
      <c r="CT1393" s="4"/>
      <c r="CU1393" s="4"/>
      <c r="CV1393" s="4"/>
      <c r="CW1393" s="4"/>
      <c r="CX1393" s="4"/>
      <c r="CY1393" s="4"/>
      <c r="CZ1393" s="4"/>
      <c r="DA1393" s="4"/>
      <c r="DB1393" s="4"/>
      <c r="DC1393" s="4"/>
      <c r="DD1393" s="4"/>
      <c r="DE1393" s="4"/>
      <c r="DF1393" s="4"/>
      <c r="DG1393" s="4"/>
      <c r="DH1393" s="4"/>
      <c r="DI1393" s="4"/>
      <c r="DJ1393" s="4"/>
      <c r="DK1393" s="4"/>
      <c r="DL1393" s="4"/>
    </row>
    <row r="1394" spans="1:116" s="15" customFormat="1" x14ac:dyDescent="0.25">
      <c r="A1394" s="16"/>
      <c r="B1394" s="16"/>
      <c r="C1394" s="16"/>
      <c r="D1394" s="98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4"/>
      <c r="AJ1394" s="14"/>
      <c r="AK1394" s="14"/>
      <c r="AL1394" s="14"/>
      <c r="AM1394" s="14"/>
      <c r="AN1394" s="14"/>
      <c r="AO1394" s="14"/>
      <c r="AP1394" s="14"/>
      <c r="AQ1394" s="14"/>
      <c r="AR1394" s="14"/>
      <c r="AS1394" s="14"/>
      <c r="AT1394" s="14"/>
      <c r="AU1394" s="14"/>
      <c r="AV1394" s="14"/>
      <c r="AW1394" s="14"/>
      <c r="AX1394" s="14"/>
      <c r="AY1394" s="14"/>
      <c r="AZ1394" s="14"/>
      <c r="BA1394" s="14"/>
      <c r="BB1394" s="14"/>
      <c r="BC1394" s="14"/>
      <c r="BD1394" s="14"/>
      <c r="BE1394" s="14"/>
      <c r="BF1394" s="14"/>
      <c r="BG1394" s="14"/>
      <c r="BH1394" s="14"/>
      <c r="BI1394" s="14"/>
      <c r="BJ1394" s="14"/>
      <c r="BK1394" s="14"/>
      <c r="BL1394" s="14"/>
      <c r="BM1394" s="14"/>
      <c r="BN1394" s="14"/>
      <c r="BO1394" s="14"/>
      <c r="BP1394" s="14"/>
      <c r="BQ1394" s="14"/>
      <c r="BR1394" s="14"/>
      <c r="BS1394" s="14"/>
      <c r="BT1394" s="14"/>
      <c r="BU1394" s="14"/>
      <c r="BV1394" s="14"/>
      <c r="BW1394" s="14"/>
      <c r="BX1394" s="14"/>
      <c r="BY1394" s="14"/>
      <c r="BZ1394" s="14"/>
      <c r="CA1394" s="14"/>
      <c r="CB1394" s="14"/>
      <c r="CC1394" s="14"/>
      <c r="CD1394" s="14"/>
      <c r="CE1394" s="14"/>
      <c r="CF1394" s="14"/>
      <c r="CG1394" s="4"/>
      <c r="CH1394" s="4"/>
      <c r="CI1394" s="4"/>
      <c r="CJ1394" s="4"/>
      <c r="CK1394" s="4"/>
      <c r="CL1394" s="4"/>
      <c r="CM1394" s="4"/>
      <c r="CN1394" s="4"/>
      <c r="CO1394" s="4"/>
      <c r="CP1394" s="4"/>
      <c r="CQ1394" s="4"/>
      <c r="CR1394" s="4"/>
      <c r="CS1394" s="4"/>
      <c r="CT1394" s="4"/>
      <c r="CU1394" s="4"/>
      <c r="CV1394" s="4"/>
      <c r="CW1394" s="4"/>
      <c r="CX1394" s="4"/>
      <c r="CY1394" s="4"/>
      <c r="CZ1394" s="4"/>
      <c r="DA1394" s="4"/>
      <c r="DB1394" s="4"/>
      <c r="DC1394" s="4"/>
      <c r="DD1394" s="4"/>
      <c r="DE1394" s="4"/>
      <c r="DF1394" s="4"/>
      <c r="DG1394" s="4"/>
      <c r="DH1394" s="4"/>
      <c r="DI1394" s="4"/>
      <c r="DJ1394" s="4"/>
      <c r="DK1394" s="4"/>
      <c r="DL1394" s="4"/>
    </row>
    <row r="1395" spans="1:116" s="15" customFormat="1" x14ac:dyDescent="0.25">
      <c r="A1395" s="16"/>
      <c r="B1395" s="16"/>
      <c r="C1395" s="16"/>
      <c r="D1395" s="98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4"/>
      <c r="AJ1395" s="14"/>
      <c r="AK1395" s="14"/>
      <c r="AL1395" s="14"/>
      <c r="AM1395" s="14"/>
      <c r="AN1395" s="14"/>
      <c r="AO1395" s="14"/>
      <c r="AP1395" s="14"/>
      <c r="AQ1395" s="14"/>
      <c r="AR1395" s="14"/>
      <c r="AS1395" s="14"/>
      <c r="AT1395" s="14"/>
      <c r="AU1395" s="14"/>
      <c r="AV1395" s="14"/>
      <c r="AW1395" s="14"/>
      <c r="AX1395" s="14"/>
      <c r="AY1395" s="14"/>
      <c r="AZ1395" s="14"/>
      <c r="BA1395" s="14"/>
      <c r="BB1395" s="14"/>
      <c r="BC1395" s="14"/>
      <c r="BD1395" s="14"/>
      <c r="BE1395" s="14"/>
      <c r="BF1395" s="14"/>
      <c r="BG1395" s="14"/>
      <c r="BH1395" s="14"/>
      <c r="BI1395" s="14"/>
      <c r="BJ1395" s="14"/>
      <c r="BK1395" s="14"/>
      <c r="BL1395" s="14"/>
      <c r="BM1395" s="14"/>
      <c r="BN1395" s="14"/>
      <c r="BO1395" s="14"/>
      <c r="BP1395" s="14"/>
      <c r="BQ1395" s="14"/>
      <c r="BR1395" s="14"/>
      <c r="BS1395" s="14"/>
      <c r="BT1395" s="14"/>
      <c r="BU1395" s="14"/>
      <c r="BV1395" s="14"/>
      <c r="BW1395" s="14"/>
      <c r="BX1395" s="14"/>
      <c r="BY1395" s="14"/>
      <c r="BZ1395" s="14"/>
      <c r="CA1395" s="14"/>
      <c r="CB1395" s="14"/>
      <c r="CC1395" s="14"/>
      <c r="CD1395" s="14"/>
      <c r="CE1395" s="14"/>
      <c r="CF1395" s="14"/>
      <c r="CG1395" s="4"/>
      <c r="CH1395" s="4"/>
      <c r="CI1395" s="4"/>
      <c r="CJ1395" s="4"/>
      <c r="CK1395" s="4"/>
      <c r="CL1395" s="4"/>
      <c r="CM1395" s="4"/>
      <c r="CN1395" s="4"/>
      <c r="CO1395" s="4"/>
      <c r="CP1395" s="4"/>
      <c r="CQ1395" s="4"/>
      <c r="CR1395" s="4"/>
      <c r="CS1395" s="4"/>
      <c r="CT1395" s="4"/>
      <c r="CU1395" s="4"/>
      <c r="CV1395" s="4"/>
      <c r="CW1395" s="4"/>
      <c r="CX1395" s="4"/>
      <c r="CY1395" s="4"/>
      <c r="CZ1395" s="4"/>
      <c r="DA1395" s="4"/>
      <c r="DB1395" s="4"/>
      <c r="DC1395" s="4"/>
      <c r="DD1395" s="4"/>
      <c r="DE1395" s="4"/>
      <c r="DF1395" s="4"/>
      <c r="DG1395" s="4"/>
      <c r="DH1395" s="4"/>
      <c r="DI1395" s="4"/>
      <c r="DJ1395" s="4"/>
      <c r="DK1395" s="4"/>
      <c r="DL1395" s="4"/>
    </row>
    <row r="1396" spans="1:116" s="15" customFormat="1" x14ac:dyDescent="0.25">
      <c r="A1396" s="16"/>
      <c r="B1396" s="16"/>
      <c r="C1396" s="16"/>
      <c r="D1396" s="98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4"/>
      <c r="AJ1396" s="14"/>
      <c r="AK1396" s="14"/>
      <c r="AL1396" s="14"/>
      <c r="AM1396" s="14"/>
      <c r="AN1396" s="14"/>
      <c r="AO1396" s="14"/>
      <c r="AP1396" s="14"/>
      <c r="AQ1396" s="14"/>
      <c r="AR1396" s="14"/>
      <c r="AS1396" s="14"/>
      <c r="AT1396" s="14"/>
      <c r="AU1396" s="14"/>
      <c r="AV1396" s="14"/>
      <c r="AW1396" s="14"/>
      <c r="AX1396" s="14"/>
      <c r="AY1396" s="14"/>
      <c r="AZ1396" s="14"/>
      <c r="BA1396" s="14"/>
      <c r="BB1396" s="14"/>
      <c r="BC1396" s="14"/>
      <c r="BD1396" s="14"/>
      <c r="BE1396" s="14"/>
      <c r="BF1396" s="14"/>
      <c r="BG1396" s="14"/>
      <c r="BH1396" s="14"/>
      <c r="BI1396" s="14"/>
      <c r="BJ1396" s="14"/>
      <c r="BK1396" s="14"/>
      <c r="BL1396" s="14"/>
      <c r="BM1396" s="14"/>
      <c r="BN1396" s="14"/>
      <c r="BO1396" s="14"/>
      <c r="BP1396" s="14"/>
      <c r="BQ1396" s="14"/>
      <c r="BR1396" s="14"/>
      <c r="BS1396" s="14"/>
      <c r="BT1396" s="14"/>
      <c r="BU1396" s="14"/>
      <c r="BV1396" s="14"/>
      <c r="BW1396" s="14"/>
      <c r="BX1396" s="14"/>
      <c r="BY1396" s="14"/>
      <c r="BZ1396" s="14"/>
      <c r="CA1396" s="14"/>
      <c r="CB1396" s="14"/>
      <c r="CC1396" s="14"/>
      <c r="CD1396" s="14"/>
      <c r="CE1396" s="14"/>
      <c r="CF1396" s="14"/>
      <c r="CG1396" s="4"/>
      <c r="CH1396" s="4"/>
      <c r="CI1396" s="4"/>
      <c r="CJ1396" s="4"/>
      <c r="CK1396" s="4"/>
      <c r="CL1396" s="4"/>
      <c r="CM1396" s="4"/>
      <c r="CN1396" s="4"/>
      <c r="CO1396" s="4"/>
      <c r="CP1396" s="4"/>
      <c r="CQ1396" s="4"/>
      <c r="CR1396" s="4"/>
      <c r="CS1396" s="4"/>
      <c r="CT1396" s="4"/>
      <c r="CU1396" s="4"/>
      <c r="CV1396" s="4"/>
      <c r="CW1396" s="4"/>
      <c r="CX1396" s="4"/>
      <c r="CY1396" s="4"/>
      <c r="CZ1396" s="4"/>
      <c r="DA1396" s="4"/>
      <c r="DB1396" s="4"/>
      <c r="DC1396" s="4"/>
      <c r="DD1396" s="4"/>
      <c r="DE1396" s="4"/>
      <c r="DF1396" s="4"/>
      <c r="DG1396" s="4"/>
      <c r="DH1396" s="4"/>
      <c r="DI1396" s="4"/>
      <c r="DJ1396" s="4"/>
      <c r="DK1396" s="4"/>
      <c r="DL1396" s="4"/>
    </row>
    <row r="1397" spans="1:116" s="15" customFormat="1" x14ac:dyDescent="0.25">
      <c r="A1397" s="16"/>
      <c r="B1397" s="16"/>
      <c r="C1397" s="16"/>
      <c r="D1397" s="98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  <c r="AB1397" s="14"/>
      <c r="AC1397" s="14"/>
      <c r="AD1397" s="14"/>
      <c r="AE1397" s="14"/>
      <c r="AF1397" s="14"/>
      <c r="AG1397" s="14"/>
      <c r="AH1397" s="14"/>
      <c r="AI1397" s="14"/>
      <c r="AJ1397" s="14"/>
      <c r="AK1397" s="14"/>
      <c r="AL1397" s="14"/>
      <c r="AM1397" s="14"/>
      <c r="AN1397" s="14"/>
      <c r="AO1397" s="14"/>
      <c r="AP1397" s="14"/>
      <c r="AQ1397" s="14"/>
      <c r="AR1397" s="14"/>
      <c r="AS1397" s="14"/>
      <c r="AT1397" s="14"/>
      <c r="AU1397" s="14"/>
      <c r="AV1397" s="14"/>
      <c r="AW1397" s="14"/>
      <c r="AX1397" s="14"/>
      <c r="AY1397" s="14"/>
      <c r="AZ1397" s="14"/>
      <c r="BA1397" s="14"/>
      <c r="BB1397" s="14"/>
      <c r="BC1397" s="14"/>
      <c r="BD1397" s="14"/>
      <c r="BE1397" s="14"/>
      <c r="BF1397" s="14"/>
      <c r="BG1397" s="14"/>
      <c r="BH1397" s="14"/>
      <c r="BI1397" s="14"/>
      <c r="BJ1397" s="14"/>
      <c r="BK1397" s="14"/>
      <c r="BL1397" s="14"/>
      <c r="BM1397" s="14"/>
      <c r="BN1397" s="14"/>
      <c r="BO1397" s="14"/>
      <c r="BP1397" s="14"/>
      <c r="BQ1397" s="14"/>
      <c r="BR1397" s="14"/>
      <c r="BS1397" s="14"/>
      <c r="BT1397" s="14"/>
      <c r="BU1397" s="14"/>
      <c r="BV1397" s="14"/>
      <c r="BW1397" s="14"/>
      <c r="BX1397" s="14"/>
      <c r="BY1397" s="14"/>
      <c r="BZ1397" s="14"/>
      <c r="CA1397" s="14"/>
      <c r="CB1397" s="14"/>
      <c r="CC1397" s="14"/>
      <c r="CD1397" s="14"/>
      <c r="CE1397" s="14"/>
      <c r="CF1397" s="14"/>
      <c r="CG1397" s="4"/>
      <c r="CH1397" s="4"/>
      <c r="CI1397" s="4"/>
      <c r="CJ1397" s="4"/>
      <c r="CK1397" s="4"/>
      <c r="CL1397" s="4"/>
      <c r="CM1397" s="4"/>
      <c r="CN1397" s="4"/>
      <c r="CO1397" s="4"/>
      <c r="CP1397" s="4"/>
      <c r="CQ1397" s="4"/>
      <c r="CR1397" s="4"/>
      <c r="CS1397" s="4"/>
      <c r="CT1397" s="4"/>
      <c r="CU1397" s="4"/>
      <c r="CV1397" s="4"/>
      <c r="CW1397" s="4"/>
      <c r="CX1397" s="4"/>
      <c r="CY1397" s="4"/>
      <c r="CZ1397" s="4"/>
      <c r="DA1397" s="4"/>
      <c r="DB1397" s="4"/>
      <c r="DC1397" s="4"/>
      <c r="DD1397" s="4"/>
      <c r="DE1397" s="4"/>
      <c r="DF1397" s="4"/>
      <c r="DG1397" s="4"/>
      <c r="DH1397" s="4"/>
      <c r="DI1397" s="4"/>
      <c r="DJ1397" s="4"/>
      <c r="DK1397" s="4"/>
      <c r="DL1397" s="4"/>
    </row>
    <row r="1398" spans="1:116" s="15" customFormat="1" x14ac:dyDescent="0.25">
      <c r="A1398" s="16"/>
      <c r="B1398" s="16"/>
      <c r="C1398" s="16"/>
      <c r="D1398" s="98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  <c r="AB1398" s="14"/>
      <c r="AC1398" s="14"/>
      <c r="AD1398" s="14"/>
      <c r="AE1398" s="14"/>
      <c r="AF1398" s="14"/>
      <c r="AG1398" s="14"/>
      <c r="AH1398" s="14"/>
      <c r="AI1398" s="14"/>
      <c r="AJ1398" s="14"/>
      <c r="AK1398" s="14"/>
      <c r="AL1398" s="14"/>
      <c r="AM1398" s="14"/>
      <c r="AN1398" s="14"/>
      <c r="AO1398" s="14"/>
      <c r="AP1398" s="14"/>
      <c r="AQ1398" s="14"/>
      <c r="AR1398" s="14"/>
      <c r="AS1398" s="14"/>
      <c r="AT1398" s="14"/>
      <c r="AU1398" s="14"/>
      <c r="AV1398" s="14"/>
      <c r="AW1398" s="14"/>
      <c r="AX1398" s="14"/>
      <c r="AY1398" s="14"/>
      <c r="AZ1398" s="14"/>
      <c r="BA1398" s="14"/>
      <c r="BB1398" s="14"/>
      <c r="BC1398" s="14"/>
      <c r="BD1398" s="14"/>
      <c r="BE1398" s="14"/>
      <c r="BF1398" s="14"/>
      <c r="BG1398" s="14"/>
      <c r="BH1398" s="14"/>
      <c r="BI1398" s="14"/>
      <c r="BJ1398" s="14"/>
      <c r="BK1398" s="14"/>
      <c r="BL1398" s="14"/>
      <c r="BM1398" s="14"/>
      <c r="BN1398" s="14"/>
      <c r="BO1398" s="14"/>
      <c r="BP1398" s="14"/>
      <c r="BQ1398" s="14"/>
      <c r="BR1398" s="14"/>
      <c r="BS1398" s="14"/>
      <c r="BT1398" s="14"/>
      <c r="BU1398" s="14"/>
      <c r="BV1398" s="14"/>
      <c r="BW1398" s="14"/>
      <c r="BX1398" s="14"/>
      <c r="BY1398" s="14"/>
      <c r="BZ1398" s="14"/>
      <c r="CA1398" s="14"/>
      <c r="CB1398" s="14"/>
      <c r="CC1398" s="14"/>
      <c r="CD1398" s="14"/>
      <c r="CE1398" s="14"/>
      <c r="CF1398" s="14"/>
      <c r="CG1398" s="4"/>
      <c r="CH1398" s="4"/>
      <c r="CI1398" s="4"/>
      <c r="CJ1398" s="4"/>
      <c r="CK1398" s="4"/>
      <c r="CL1398" s="4"/>
      <c r="CM1398" s="4"/>
      <c r="CN1398" s="4"/>
      <c r="CO1398" s="4"/>
      <c r="CP1398" s="4"/>
      <c r="CQ1398" s="4"/>
      <c r="CR1398" s="4"/>
      <c r="CS1398" s="4"/>
      <c r="CT1398" s="4"/>
      <c r="CU1398" s="4"/>
      <c r="CV1398" s="4"/>
      <c r="CW1398" s="4"/>
      <c r="CX1398" s="4"/>
      <c r="CY1398" s="4"/>
      <c r="CZ1398" s="4"/>
      <c r="DA1398" s="4"/>
      <c r="DB1398" s="4"/>
      <c r="DC1398" s="4"/>
      <c r="DD1398" s="4"/>
      <c r="DE1398" s="4"/>
      <c r="DF1398" s="4"/>
      <c r="DG1398" s="4"/>
      <c r="DH1398" s="4"/>
      <c r="DI1398" s="4"/>
      <c r="DJ1398" s="4"/>
      <c r="DK1398" s="4"/>
      <c r="DL1398" s="4"/>
    </row>
    <row r="1399" spans="1:116" s="15" customFormat="1" x14ac:dyDescent="0.25">
      <c r="A1399" s="16"/>
      <c r="B1399" s="16"/>
      <c r="C1399" s="16"/>
      <c r="D1399" s="98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4"/>
      <c r="AJ1399" s="14"/>
      <c r="AK1399" s="14"/>
      <c r="AL1399" s="14"/>
      <c r="AM1399" s="14"/>
      <c r="AN1399" s="14"/>
      <c r="AO1399" s="14"/>
      <c r="AP1399" s="14"/>
      <c r="AQ1399" s="14"/>
      <c r="AR1399" s="14"/>
      <c r="AS1399" s="14"/>
      <c r="AT1399" s="14"/>
      <c r="AU1399" s="14"/>
      <c r="AV1399" s="14"/>
      <c r="AW1399" s="14"/>
      <c r="AX1399" s="14"/>
      <c r="AY1399" s="14"/>
      <c r="AZ1399" s="14"/>
      <c r="BA1399" s="14"/>
      <c r="BB1399" s="14"/>
      <c r="BC1399" s="14"/>
      <c r="BD1399" s="14"/>
      <c r="BE1399" s="14"/>
      <c r="BF1399" s="14"/>
      <c r="BG1399" s="14"/>
      <c r="BH1399" s="14"/>
      <c r="BI1399" s="14"/>
      <c r="BJ1399" s="14"/>
      <c r="BK1399" s="14"/>
      <c r="BL1399" s="14"/>
      <c r="BM1399" s="14"/>
      <c r="BN1399" s="14"/>
      <c r="BO1399" s="14"/>
      <c r="BP1399" s="14"/>
      <c r="BQ1399" s="14"/>
      <c r="BR1399" s="14"/>
      <c r="BS1399" s="14"/>
      <c r="BT1399" s="14"/>
      <c r="BU1399" s="14"/>
      <c r="BV1399" s="14"/>
      <c r="BW1399" s="14"/>
      <c r="BX1399" s="14"/>
      <c r="BY1399" s="14"/>
      <c r="BZ1399" s="14"/>
      <c r="CA1399" s="14"/>
      <c r="CB1399" s="14"/>
      <c r="CC1399" s="14"/>
      <c r="CD1399" s="14"/>
      <c r="CE1399" s="14"/>
      <c r="CF1399" s="14"/>
      <c r="CG1399" s="4"/>
      <c r="CH1399" s="4"/>
      <c r="CI1399" s="4"/>
      <c r="CJ1399" s="4"/>
      <c r="CK1399" s="4"/>
      <c r="CL1399" s="4"/>
      <c r="CM1399" s="4"/>
      <c r="CN1399" s="4"/>
      <c r="CO1399" s="4"/>
      <c r="CP1399" s="4"/>
      <c r="CQ1399" s="4"/>
      <c r="CR1399" s="4"/>
      <c r="CS1399" s="4"/>
      <c r="CT1399" s="4"/>
      <c r="CU1399" s="4"/>
      <c r="CV1399" s="4"/>
      <c r="CW1399" s="4"/>
      <c r="CX1399" s="4"/>
      <c r="CY1399" s="4"/>
      <c r="CZ1399" s="4"/>
      <c r="DA1399" s="4"/>
      <c r="DB1399" s="4"/>
      <c r="DC1399" s="4"/>
      <c r="DD1399" s="4"/>
      <c r="DE1399" s="4"/>
      <c r="DF1399" s="4"/>
      <c r="DG1399" s="4"/>
      <c r="DH1399" s="4"/>
      <c r="DI1399" s="4"/>
      <c r="DJ1399" s="4"/>
      <c r="DK1399" s="4"/>
      <c r="DL1399" s="4"/>
    </row>
    <row r="1400" spans="1:116" s="15" customFormat="1" x14ac:dyDescent="0.25">
      <c r="A1400" s="16"/>
      <c r="B1400" s="16"/>
      <c r="C1400" s="16"/>
      <c r="D1400" s="98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4"/>
      <c r="AJ1400" s="14"/>
      <c r="AK1400" s="14"/>
      <c r="AL1400" s="14"/>
      <c r="AM1400" s="14"/>
      <c r="AN1400" s="14"/>
      <c r="AO1400" s="14"/>
      <c r="AP1400" s="14"/>
      <c r="AQ1400" s="14"/>
      <c r="AR1400" s="14"/>
      <c r="AS1400" s="14"/>
      <c r="AT1400" s="14"/>
      <c r="AU1400" s="14"/>
      <c r="AV1400" s="14"/>
      <c r="AW1400" s="14"/>
      <c r="AX1400" s="14"/>
      <c r="AY1400" s="14"/>
      <c r="AZ1400" s="14"/>
      <c r="BA1400" s="14"/>
      <c r="BB1400" s="14"/>
      <c r="BC1400" s="14"/>
      <c r="BD1400" s="14"/>
      <c r="BE1400" s="14"/>
      <c r="BF1400" s="14"/>
      <c r="BG1400" s="14"/>
      <c r="BH1400" s="14"/>
      <c r="BI1400" s="14"/>
      <c r="BJ1400" s="14"/>
      <c r="BK1400" s="14"/>
      <c r="BL1400" s="14"/>
      <c r="BM1400" s="14"/>
      <c r="BN1400" s="14"/>
      <c r="BO1400" s="14"/>
      <c r="BP1400" s="14"/>
      <c r="BQ1400" s="14"/>
      <c r="BR1400" s="14"/>
      <c r="BS1400" s="14"/>
      <c r="BT1400" s="14"/>
      <c r="BU1400" s="14"/>
      <c r="BV1400" s="14"/>
      <c r="BW1400" s="14"/>
      <c r="BX1400" s="14"/>
      <c r="BY1400" s="14"/>
      <c r="BZ1400" s="14"/>
      <c r="CA1400" s="14"/>
      <c r="CB1400" s="14"/>
      <c r="CC1400" s="14"/>
      <c r="CD1400" s="14"/>
      <c r="CE1400" s="14"/>
      <c r="CF1400" s="14"/>
      <c r="CG1400" s="4"/>
      <c r="CH1400" s="4"/>
      <c r="CI1400" s="4"/>
      <c r="CJ1400" s="4"/>
      <c r="CK1400" s="4"/>
      <c r="CL1400" s="4"/>
      <c r="CM1400" s="4"/>
      <c r="CN1400" s="4"/>
      <c r="CO1400" s="4"/>
      <c r="CP1400" s="4"/>
      <c r="CQ1400" s="4"/>
      <c r="CR1400" s="4"/>
      <c r="CS1400" s="4"/>
      <c r="CT1400" s="4"/>
      <c r="CU1400" s="4"/>
      <c r="CV1400" s="4"/>
      <c r="CW1400" s="4"/>
      <c r="CX1400" s="4"/>
      <c r="CY1400" s="4"/>
      <c r="CZ1400" s="4"/>
      <c r="DA1400" s="4"/>
      <c r="DB1400" s="4"/>
      <c r="DC1400" s="4"/>
      <c r="DD1400" s="4"/>
      <c r="DE1400" s="4"/>
      <c r="DF1400" s="4"/>
      <c r="DG1400" s="4"/>
      <c r="DH1400" s="4"/>
      <c r="DI1400" s="4"/>
      <c r="DJ1400" s="4"/>
      <c r="DK1400" s="4"/>
      <c r="DL1400" s="4"/>
    </row>
    <row r="1401" spans="1:116" s="15" customFormat="1" x14ac:dyDescent="0.25">
      <c r="A1401" s="16"/>
      <c r="B1401" s="16"/>
      <c r="C1401" s="16"/>
      <c r="D1401" s="98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4"/>
      <c r="AJ1401" s="14"/>
      <c r="AK1401" s="14"/>
      <c r="AL1401" s="14"/>
      <c r="AM1401" s="14"/>
      <c r="AN1401" s="14"/>
      <c r="AO1401" s="14"/>
      <c r="AP1401" s="14"/>
      <c r="AQ1401" s="14"/>
      <c r="AR1401" s="14"/>
      <c r="AS1401" s="14"/>
      <c r="AT1401" s="14"/>
      <c r="AU1401" s="14"/>
      <c r="AV1401" s="14"/>
      <c r="AW1401" s="14"/>
      <c r="AX1401" s="14"/>
      <c r="AY1401" s="14"/>
      <c r="AZ1401" s="14"/>
      <c r="BA1401" s="14"/>
      <c r="BB1401" s="14"/>
      <c r="BC1401" s="14"/>
      <c r="BD1401" s="14"/>
      <c r="BE1401" s="14"/>
      <c r="BF1401" s="14"/>
      <c r="BG1401" s="14"/>
      <c r="BH1401" s="14"/>
      <c r="BI1401" s="14"/>
      <c r="BJ1401" s="14"/>
      <c r="BK1401" s="14"/>
      <c r="BL1401" s="14"/>
      <c r="BM1401" s="14"/>
      <c r="BN1401" s="14"/>
      <c r="BO1401" s="14"/>
      <c r="BP1401" s="14"/>
      <c r="BQ1401" s="14"/>
      <c r="BR1401" s="14"/>
      <c r="BS1401" s="14"/>
      <c r="BT1401" s="14"/>
      <c r="BU1401" s="14"/>
      <c r="BV1401" s="14"/>
      <c r="BW1401" s="14"/>
      <c r="BX1401" s="14"/>
      <c r="BY1401" s="14"/>
      <c r="BZ1401" s="14"/>
      <c r="CA1401" s="14"/>
      <c r="CB1401" s="14"/>
      <c r="CC1401" s="14"/>
      <c r="CD1401" s="14"/>
      <c r="CE1401" s="14"/>
      <c r="CF1401" s="14"/>
      <c r="CG1401" s="4"/>
      <c r="CH1401" s="4"/>
      <c r="CI1401" s="4"/>
      <c r="CJ1401" s="4"/>
      <c r="CK1401" s="4"/>
      <c r="CL1401" s="4"/>
      <c r="CM1401" s="4"/>
      <c r="CN1401" s="4"/>
      <c r="CO1401" s="4"/>
      <c r="CP1401" s="4"/>
      <c r="CQ1401" s="4"/>
      <c r="CR1401" s="4"/>
      <c r="CS1401" s="4"/>
      <c r="CT1401" s="4"/>
      <c r="CU1401" s="4"/>
      <c r="CV1401" s="4"/>
      <c r="CW1401" s="4"/>
      <c r="CX1401" s="4"/>
      <c r="CY1401" s="4"/>
      <c r="CZ1401" s="4"/>
      <c r="DA1401" s="4"/>
      <c r="DB1401" s="4"/>
      <c r="DC1401" s="4"/>
      <c r="DD1401" s="4"/>
      <c r="DE1401" s="4"/>
      <c r="DF1401" s="4"/>
      <c r="DG1401" s="4"/>
      <c r="DH1401" s="4"/>
      <c r="DI1401" s="4"/>
      <c r="DJ1401" s="4"/>
      <c r="DK1401" s="4"/>
      <c r="DL1401" s="4"/>
    </row>
    <row r="1402" spans="1:116" s="15" customFormat="1" x14ac:dyDescent="0.25">
      <c r="A1402" s="16"/>
      <c r="B1402" s="16"/>
      <c r="C1402" s="16"/>
      <c r="D1402" s="98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4"/>
      <c r="AJ1402" s="14"/>
      <c r="AK1402" s="14"/>
      <c r="AL1402" s="14"/>
      <c r="AM1402" s="14"/>
      <c r="AN1402" s="14"/>
      <c r="AO1402" s="14"/>
      <c r="AP1402" s="14"/>
      <c r="AQ1402" s="14"/>
      <c r="AR1402" s="14"/>
      <c r="AS1402" s="14"/>
      <c r="AT1402" s="14"/>
      <c r="AU1402" s="14"/>
      <c r="AV1402" s="14"/>
      <c r="AW1402" s="14"/>
      <c r="AX1402" s="14"/>
      <c r="AY1402" s="14"/>
      <c r="AZ1402" s="14"/>
      <c r="BA1402" s="14"/>
      <c r="BB1402" s="14"/>
      <c r="BC1402" s="14"/>
      <c r="BD1402" s="14"/>
      <c r="BE1402" s="14"/>
      <c r="BF1402" s="14"/>
      <c r="BG1402" s="14"/>
      <c r="BH1402" s="14"/>
      <c r="BI1402" s="14"/>
      <c r="BJ1402" s="14"/>
      <c r="BK1402" s="14"/>
      <c r="BL1402" s="14"/>
      <c r="BM1402" s="14"/>
      <c r="BN1402" s="14"/>
      <c r="BO1402" s="14"/>
      <c r="BP1402" s="14"/>
      <c r="BQ1402" s="14"/>
      <c r="BR1402" s="14"/>
      <c r="BS1402" s="14"/>
      <c r="BT1402" s="14"/>
      <c r="BU1402" s="14"/>
      <c r="BV1402" s="14"/>
      <c r="BW1402" s="14"/>
      <c r="BX1402" s="14"/>
      <c r="BY1402" s="14"/>
      <c r="BZ1402" s="14"/>
      <c r="CA1402" s="14"/>
      <c r="CB1402" s="14"/>
      <c r="CC1402" s="14"/>
      <c r="CD1402" s="14"/>
      <c r="CE1402" s="14"/>
      <c r="CF1402" s="14"/>
      <c r="CG1402" s="4"/>
      <c r="CH1402" s="4"/>
      <c r="CI1402" s="4"/>
      <c r="CJ1402" s="4"/>
      <c r="CK1402" s="4"/>
      <c r="CL1402" s="4"/>
      <c r="CM1402" s="4"/>
      <c r="CN1402" s="4"/>
      <c r="CO1402" s="4"/>
      <c r="CP1402" s="4"/>
      <c r="CQ1402" s="4"/>
      <c r="CR1402" s="4"/>
      <c r="CS1402" s="4"/>
      <c r="CT1402" s="4"/>
      <c r="CU1402" s="4"/>
      <c r="CV1402" s="4"/>
      <c r="CW1402" s="4"/>
      <c r="CX1402" s="4"/>
      <c r="CY1402" s="4"/>
      <c r="CZ1402" s="4"/>
      <c r="DA1402" s="4"/>
      <c r="DB1402" s="4"/>
      <c r="DC1402" s="4"/>
      <c r="DD1402" s="4"/>
      <c r="DE1402" s="4"/>
      <c r="DF1402" s="4"/>
      <c r="DG1402" s="4"/>
      <c r="DH1402" s="4"/>
      <c r="DI1402" s="4"/>
      <c r="DJ1402" s="4"/>
      <c r="DK1402" s="4"/>
      <c r="DL1402" s="4"/>
    </row>
    <row r="1403" spans="1:116" s="15" customFormat="1" x14ac:dyDescent="0.25">
      <c r="A1403" s="16"/>
      <c r="B1403" s="16"/>
      <c r="C1403" s="16"/>
      <c r="D1403" s="98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4"/>
      <c r="AJ1403" s="14"/>
      <c r="AK1403" s="14"/>
      <c r="AL1403" s="14"/>
      <c r="AM1403" s="14"/>
      <c r="AN1403" s="14"/>
      <c r="AO1403" s="14"/>
      <c r="AP1403" s="14"/>
      <c r="AQ1403" s="14"/>
      <c r="AR1403" s="14"/>
      <c r="AS1403" s="14"/>
      <c r="AT1403" s="14"/>
      <c r="AU1403" s="14"/>
      <c r="AV1403" s="14"/>
      <c r="AW1403" s="14"/>
      <c r="AX1403" s="14"/>
      <c r="AY1403" s="14"/>
      <c r="AZ1403" s="14"/>
      <c r="BA1403" s="14"/>
      <c r="BB1403" s="14"/>
      <c r="BC1403" s="14"/>
      <c r="BD1403" s="14"/>
      <c r="BE1403" s="14"/>
      <c r="BF1403" s="14"/>
      <c r="BG1403" s="14"/>
      <c r="BH1403" s="14"/>
      <c r="BI1403" s="14"/>
      <c r="BJ1403" s="14"/>
      <c r="BK1403" s="14"/>
      <c r="BL1403" s="14"/>
      <c r="BM1403" s="14"/>
      <c r="BN1403" s="14"/>
      <c r="BO1403" s="14"/>
      <c r="BP1403" s="14"/>
      <c r="BQ1403" s="14"/>
      <c r="BR1403" s="14"/>
      <c r="BS1403" s="14"/>
      <c r="BT1403" s="14"/>
      <c r="BU1403" s="14"/>
      <c r="BV1403" s="14"/>
      <c r="BW1403" s="14"/>
      <c r="BX1403" s="14"/>
      <c r="BY1403" s="14"/>
      <c r="BZ1403" s="14"/>
      <c r="CA1403" s="14"/>
      <c r="CB1403" s="14"/>
      <c r="CC1403" s="14"/>
      <c r="CD1403" s="14"/>
      <c r="CE1403" s="14"/>
      <c r="CF1403" s="14"/>
      <c r="CG1403" s="4"/>
      <c r="CH1403" s="4"/>
      <c r="CI1403" s="4"/>
      <c r="CJ1403" s="4"/>
      <c r="CK1403" s="4"/>
      <c r="CL1403" s="4"/>
      <c r="CM1403" s="4"/>
      <c r="CN1403" s="4"/>
      <c r="CO1403" s="4"/>
      <c r="CP1403" s="4"/>
      <c r="CQ1403" s="4"/>
      <c r="CR1403" s="4"/>
      <c r="CS1403" s="4"/>
      <c r="CT1403" s="4"/>
      <c r="CU1403" s="4"/>
      <c r="CV1403" s="4"/>
      <c r="CW1403" s="4"/>
      <c r="CX1403" s="4"/>
      <c r="CY1403" s="4"/>
      <c r="CZ1403" s="4"/>
      <c r="DA1403" s="4"/>
      <c r="DB1403" s="4"/>
      <c r="DC1403" s="4"/>
      <c r="DD1403" s="4"/>
      <c r="DE1403" s="4"/>
      <c r="DF1403" s="4"/>
      <c r="DG1403" s="4"/>
      <c r="DH1403" s="4"/>
      <c r="DI1403" s="4"/>
      <c r="DJ1403" s="4"/>
      <c r="DK1403" s="4"/>
      <c r="DL1403" s="4"/>
    </row>
    <row r="1404" spans="1:116" s="15" customFormat="1" x14ac:dyDescent="0.25">
      <c r="A1404" s="16"/>
      <c r="B1404" s="16"/>
      <c r="C1404" s="16"/>
      <c r="D1404" s="98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4"/>
      <c r="AJ1404" s="14"/>
      <c r="AK1404" s="14"/>
      <c r="AL1404" s="14"/>
      <c r="AM1404" s="14"/>
      <c r="AN1404" s="14"/>
      <c r="AO1404" s="14"/>
      <c r="AP1404" s="14"/>
      <c r="AQ1404" s="14"/>
      <c r="AR1404" s="14"/>
      <c r="AS1404" s="14"/>
      <c r="AT1404" s="14"/>
      <c r="AU1404" s="14"/>
      <c r="AV1404" s="14"/>
      <c r="AW1404" s="14"/>
      <c r="AX1404" s="14"/>
      <c r="AY1404" s="14"/>
      <c r="AZ1404" s="14"/>
      <c r="BA1404" s="14"/>
      <c r="BB1404" s="14"/>
      <c r="BC1404" s="14"/>
      <c r="BD1404" s="14"/>
      <c r="BE1404" s="14"/>
      <c r="BF1404" s="14"/>
      <c r="BG1404" s="14"/>
      <c r="BH1404" s="14"/>
      <c r="BI1404" s="14"/>
      <c r="BJ1404" s="14"/>
      <c r="BK1404" s="14"/>
      <c r="BL1404" s="14"/>
      <c r="BM1404" s="14"/>
      <c r="BN1404" s="14"/>
      <c r="BO1404" s="14"/>
      <c r="BP1404" s="14"/>
      <c r="BQ1404" s="14"/>
      <c r="BR1404" s="14"/>
      <c r="BS1404" s="14"/>
      <c r="BT1404" s="14"/>
      <c r="BU1404" s="14"/>
      <c r="BV1404" s="14"/>
      <c r="BW1404" s="14"/>
      <c r="BX1404" s="14"/>
      <c r="BY1404" s="14"/>
      <c r="BZ1404" s="14"/>
      <c r="CA1404" s="14"/>
      <c r="CB1404" s="14"/>
      <c r="CC1404" s="14"/>
      <c r="CD1404" s="14"/>
      <c r="CE1404" s="14"/>
      <c r="CF1404" s="14"/>
      <c r="CG1404" s="4"/>
      <c r="CH1404" s="4"/>
      <c r="CI1404" s="4"/>
      <c r="CJ1404" s="4"/>
      <c r="CK1404" s="4"/>
      <c r="CL1404" s="4"/>
      <c r="CM1404" s="4"/>
      <c r="CN1404" s="4"/>
      <c r="CO1404" s="4"/>
      <c r="CP1404" s="4"/>
      <c r="CQ1404" s="4"/>
      <c r="CR1404" s="4"/>
      <c r="CS1404" s="4"/>
      <c r="CT1404" s="4"/>
      <c r="CU1404" s="4"/>
      <c r="CV1404" s="4"/>
      <c r="CW1404" s="4"/>
      <c r="CX1404" s="4"/>
      <c r="CY1404" s="4"/>
      <c r="CZ1404" s="4"/>
      <c r="DA1404" s="4"/>
      <c r="DB1404" s="4"/>
      <c r="DC1404" s="4"/>
      <c r="DD1404" s="4"/>
      <c r="DE1404" s="4"/>
      <c r="DF1404" s="4"/>
      <c r="DG1404" s="4"/>
      <c r="DH1404" s="4"/>
      <c r="DI1404" s="4"/>
      <c r="DJ1404" s="4"/>
      <c r="DK1404" s="4"/>
      <c r="DL1404" s="4"/>
    </row>
    <row r="1405" spans="1:116" s="15" customFormat="1" x14ac:dyDescent="0.25">
      <c r="A1405" s="16"/>
      <c r="B1405" s="16"/>
      <c r="C1405" s="16"/>
      <c r="D1405" s="98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4"/>
      <c r="AJ1405" s="14"/>
      <c r="AK1405" s="14"/>
      <c r="AL1405" s="14"/>
      <c r="AM1405" s="14"/>
      <c r="AN1405" s="14"/>
      <c r="AO1405" s="14"/>
      <c r="AP1405" s="14"/>
      <c r="AQ1405" s="14"/>
      <c r="AR1405" s="14"/>
      <c r="AS1405" s="14"/>
      <c r="AT1405" s="14"/>
      <c r="AU1405" s="14"/>
      <c r="AV1405" s="14"/>
      <c r="AW1405" s="14"/>
      <c r="AX1405" s="14"/>
      <c r="AY1405" s="14"/>
      <c r="AZ1405" s="14"/>
      <c r="BA1405" s="14"/>
      <c r="BB1405" s="14"/>
      <c r="BC1405" s="14"/>
      <c r="BD1405" s="14"/>
      <c r="BE1405" s="14"/>
      <c r="BF1405" s="14"/>
      <c r="BG1405" s="14"/>
      <c r="BH1405" s="14"/>
      <c r="BI1405" s="14"/>
      <c r="BJ1405" s="14"/>
      <c r="BK1405" s="14"/>
      <c r="BL1405" s="14"/>
      <c r="BM1405" s="14"/>
      <c r="BN1405" s="14"/>
      <c r="BO1405" s="14"/>
      <c r="BP1405" s="14"/>
      <c r="BQ1405" s="14"/>
      <c r="BR1405" s="14"/>
      <c r="BS1405" s="14"/>
      <c r="BT1405" s="14"/>
      <c r="BU1405" s="14"/>
      <c r="BV1405" s="14"/>
      <c r="BW1405" s="14"/>
      <c r="BX1405" s="14"/>
      <c r="BY1405" s="14"/>
      <c r="BZ1405" s="14"/>
      <c r="CA1405" s="14"/>
      <c r="CB1405" s="14"/>
      <c r="CC1405" s="14"/>
      <c r="CD1405" s="14"/>
      <c r="CE1405" s="14"/>
      <c r="CF1405" s="14"/>
      <c r="CG1405" s="4"/>
      <c r="CH1405" s="4"/>
      <c r="CI1405" s="4"/>
      <c r="CJ1405" s="4"/>
      <c r="CK1405" s="4"/>
      <c r="CL1405" s="4"/>
      <c r="CM1405" s="4"/>
      <c r="CN1405" s="4"/>
      <c r="CO1405" s="4"/>
      <c r="CP1405" s="4"/>
      <c r="CQ1405" s="4"/>
      <c r="CR1405" s="4"/>
      <c r="CS1405" s="4"/>
      <c r="CT1405" s="4"/>
      <c r="CU1405" s="4"/>
      <c r="CV1405" s="4"/>
      <c r="CW1405" s="4"/>
      <c r="CX1405" s="4"/>
      <c r="CY1405" s="4"/>
      <c r="CZ1405" s="4"/>
      <c r="DA1405" s="4"/>
      <c r="DB1405" s="4"/>
      <c r="DC1405" s="4"/>
      <c r="DD1405" s="4"/>
      <c r="DE1405" s="4"/>
      <c r="DF1405" s="4"/>
      <c r="DG1405" s="4"/>
      <c r="DH1405" s="4"/>
      <c r="DI1405" s="4"/>
      <c r="DJ1405" s="4"/>
      <c r="DK1405" s="4"/>
      <c r="DL1405" s="4"/>
    </row>
    <row r="1406" spans="1:116" s="15" customFormat="1" x14ac:dyDescent="0.25">
      <c r="A1406" s="16"/>
      <c r="B1406" s="16"/>
      <c r="C1406" s="16"/>
      <c r="D1406" s="98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4"/>
      <c r="AJ1406" s="14"/>
      <c r="AK1406" s="14"/>
      <c r="AL1406" s="14"/>
      <c r="AM1406" s="14"/>
      <c r="AN1406" s="14"/>
      <c r="AO1406" s="14"/>
      <c r="AP1406" s="14"/>
      <c r="AQ1406" s="14"/>
      <c r="AR1406" s="14"/>
      <c r="AS1406" s="14"/>
      <c r="AT1406" s="14"/>
      <c r="AU1406" s="14"/>
      <c r="AV1406" s="14"/>
      <c r="AW1406" s="14"/>
      <c r="AX1406" s="14"/>
      <c r="AY1406" s="14"/>
      <c r="AZ1406" s="14"/>
      <c r="BA1406" s="14"/>
      <c r="BB1406" s="14"/>
      <c r="BC1406" s="14"/>
      <c r="BD1406" s="14"/>
      <c r="BE1406" s="14"/>
      <c r="BF1406" s="14"/>
      <c r="BG1406" s="14"/>
      <c r="BH1406" s="14"/>
      <c r="BI1406" s="14"/>
      <c r="BJ1406" s="14"/>
      <c r="BK1406" s="14"/>
      <c r="BL1406" s="14"/>
      <c r="BM1406" s="14"/>
      <c r="BN1406" s="14"/>
      <c r="BO1406" s="14"/>
      <c r="BP1406" s="14"/>
      <c r="BQ1406" s="14"/>
      <c r="BR1406" s="14"/>
      <c r="BS1406" s="14"/>
      <c r="BT1406" s="14"/>
      <c r="BU1406" s="14"/>
      <c r="BV1406" s="14"/>
      <c r="BW1406" s="14"/>
      <c r="BX1406" s="14"/>
      <c r="BY1406" s="14"/>
      <c r="BZ1406" s="14"/>
      <c r="CA1406" s="14"/>
      <c r="CB1406" s="14"/>
      <c r="CC1406" s="14"/>
      <c r="CD1406" s="14"/>
      <c r="CE1406" s="14"/>
      <c r="CF1406" s="14"/>
      <c r="CG1406" s="4"/>
      <c r="CH1406" s="4"/>
      <c r="CI1406" s="4"/>
      <c r="CJ1406" s="4"/>
      <c r="CK1406" s="4"/>
      <c r="CL1406" s="4"/>
      <c r="CM1406" s="4"/>
      <c r="CN1406" s="4"/>
      <c r="CO1406" s="4"/>
      <c r="CP1406" s="4"/>
      <c r="CQ1406" s="4"/>
      <c r="CR1406" s="4"/>
      <c r="CS1406" s="4"/>
      <c r="CT1406" s="4"/>
      <c r="CU1406" s="4"/>
      <c r="CV1406" s="4"/>
      <c r="CW1406" s="4"/>
      <c r="CX1406" s="4"/>
      <c r="CY1406" s="4"/>
      <c r="CZ1406" s="4"/>
      <c r="DA1406" s="4"/>
      <c r="DB1406" s="4"/>
      <c r="DC1406" s="4"/>
      <c r="DD1406" s="4"/>
      <c r="DE1406" s="4"/>
      <c r="DF1406" s="4"/>
      <c r="DG1406" s="4"/>
      <c r="DH1406" s="4"/>
      <c r="DI1406" s="4"/>
      <c r="DJ1406" s="4"/>
      <c r="DK1406" s="4"/>
      <c r="DL1406" s="4"/>
    </row>
    <row r="1407" spans="1:116" s="15" customFormat="1" x14ac:dyDescent="0.25">
      <c r="A1407" s="16"/>
      <c r="B1407" s="16"/>
      <c r="C1407" s="16"/>
      <c r="D1407" s="98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4"/>
      <c r="AJ1407" s="14"/>
      <c r="AK1407" s="14"/>
      <c r="AL1407" s="14"/>
      <c r="AM1407" s="14"/>
      <c r="AN1407" s="14"/>
      <c r="AO1407" s="14"/>
      <c r="AP1407" s="14"/>
      <c r="AQ1407" s="14"/>
      <c r="AR1407" s="14"/>
      <c r="AS1407" s="14"/>
      <c r="AT1407" s="14"/>
      <c r="AU1407" s="14"/>
      <c r="AV1407" s="14"/>
      <c r="AW1407" s="14"/>
      <c r="AX1407" s="14"/>
      <c r="AY1407" s="14"/>
      <c r="AZ1407" s="14"/>
      <c r="BA1407" s="14"/>
      <c r="BB1407" s="14"/>
      <c r="BC1407" s="14"/>
      <c r="BD1407" s="14"/>
      <c r="BE1407" s="14"/>
      <c r="BF1407" s="14"/>
      <c r="BG1407" s="14"/>
      <c r="BH1407" s="14"/>
      <c r="BI1407" s="14"/>
      <c r="BJ1407" s="14"/>
      <c r="BK1407" s="14"/>
      <c r="BL1407" s="14"/>
      <c r="BM1407" s="14"/>
      <c r="BN1407" s="14"/>
      <c r="BO1407" s="14"/>
      <c r="BP1407" s="14"/>
      <c r="BQ1407" s="14"/>
      <c r="BR1407" s="14"/>
      <c r="BS1407" s="14"/>
      <c r="BT1407" s="14"/>
      <c r="BU1407" s="14"/>
      <c r="BV1407" s="14"/>
      <c r="BW1407" s="14"/>
      <c r="BX1407" s="14"/>
      <c r="BY1407" s="14"/>
      <c r="BZ1407" s="14"/>
      <c r="CA1407" s="14"/>
      <c r="CB1407" s="14"/>
      <c r="CC1407" s="14"/>
      <c r="CD1407" s="14"/>
      <c r="CE1407" s="14"/>
      <c r="CF1407" s="14"/>
      <c r="CG1407" s="4"/>
      <c r="CH1407" s="4"/>
      <c r="CI1407" s="4"/>
      <c r="CJ1407" s="4"/>
      <c r="CK1407" s="4"/>
      <c r="CL1407" s="4"/>
      <c r="CM1407" s="4"/>
      <c r="CN1407" s="4"/>
      <c r="CO1407" s="4"/>
      <c r="CP1407" s="4"/>
      <c r="CQ1407" s="4"/>
      <c r="CR1407" s="4"/>
      <c r="CS1407" s="4"/>
      <c r="CT1407" s="4"/>
      <c r="CU1407" s="4"/>
      <c r="CV1407" s="4"/>
      <c r="CW1407" s="4"/>
      <c r="CX1407" s="4"/>
      <c r="CY1407" s="4"/>
      <c r="CZ1407" s="4"/>
      <c r="DA1407" s="4"/>
      <c r="DB1407" s="4"/>
      <c r="DC1407" s="4"/>
      <c r="DD1407" s="4"/>
      <c r="DE1407" s="4"/>
      <c r="DF1407" s="4"/>
      <c r="DG1407" s="4"/>
      <c r="DH1407" s="4"/>
      <c r="DI1407" s="4"/>
      <c r="DJ1407" s="4"/>
      <c r="DK1407" s="4"/>
      <c r="DL1407" s="4"/>
    </row>
    <row r="1408" spans="1:116" s="15" customFormat="1" x14ac:dyDescent="0.25">
      <c r="A1408" s="16"/>
      <c r="B1408" s="16"/>
      <c r="C1408" s="16"/>
      <c r="D1408" s="98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4"/>
      <c r="AJ1408" s="14"/>
      <c r="AK1408" s="14"/>
      <c r="AL1408" s="14"/>
      <c r="AM1408" s="14"/>
      <c r="AN1408" s="14"/>
      <c r="AO1408" s="14"/>
      <c r="AP1408" s="14"/>
      <c r="AQ1408" s="14"/>
      <c r="AR1408" s="14"/>
      <c r="AS1408" s="14"/>
      <c r="AT1408" s="14"/>
      <c r="AU1408" s="14"/>
      <c r="AV1408" s="14"/>
      <c r="AW1408" s="14"/>
      <c r="AX1408" s="14"/>
      <c r="AY1408" s="14"/>
      <c r="AZ1408" s="14"/>
      <c r="BA1408" s="14"/>
      <c r="BB1408" s="14"/>
      <c r="BC1408" s="14"/>
      <c r="BD1408" s="14"/>
      <c r="BE1408" s="14"/>
      <c r="BF1408" s="14"/>
      <c r="BG1408" s="14"/>
      <c r="BH1408" s="14"/>
      <c r="BI1408" s="14"/>
      <c r="BJ1408" s="14"/>
      <c r="BK1408" s="14"/>
      <c r="BL1408" s="14"/>
      <c r="BM1408" s="14"/>
      <c r="BN1408" s="14"/>
      <c r="BO1408" s="14"/>
      <c r="BP1408" s="14"/>
      <c r="BQ1408" s="14"/>
      <c r="BR1408" s="14"/>
      <c r="BS1408" s="14"/>
      <c r="BT1408" s="14"/>
      <c r="BU1408" s="14"/>
      <c r="BV1408" s="14"/>
      <c r="BW1408" s="14"/>
      <c r="BX1408" s="14"/>
      <c r="BY1408" s="14"/>
      <c r="BZ1408" s="14"/>
      <c r="CA1408" s="14"/>
      <c r="CB1408" s="14"/>
      <c r="CC1408" s="14"/>
      <c r="CD1408" s="14"/>
      <c r="CE1408" s="14"/>
      <c r="CF1408" s="14"/>
      <c r="CG1408" s="4"/>
      <c r="CH1408" s="4"/>
      <c r="CI1408" s="4"/>
      <c r="CJ1408" s="4"/>
      <c r="CK1408" s="4"/>
      <c r="CL1408" s="4"/>
      <c r="CM1408" s="4"/>
      <c r="CN1408" s="4"/>
      <c r="CO1408" s="4"/>
      <c r="CP1408" s="4"/>
      <c r="CQ1408" s="4"/>
      <c r="CR1408" s="4"/>
      <c r="CS1408" s="4"/>
      <c r="CT1408" s="4"/>
      <c r="CU1408" s="4"/>
      <c r="CV1408" s="4"/>
      <c r="CW1408" s="4"/>
      <c r="CX1408" s="4"/>
      <c r="CY1408" s="4"/>
      <c r="CZ1408" s="4"/>
      <c r="DA1408" s="4"/>
      <c r="DB1408" s="4"/>
      <c r="DC1408" s="4"/>
      <c r="DD1408" s="4"/>
      <c r="DE1408" s="4"/>
      <c r="DF1408" s="4"/>
      <c r="DG1408" s="4"/>
      <c r="DH1408" s="4"/>
      <c r="DI1408" s="4"/>
      <c r="DJ1408" s="4"/>
      <c r="DK1408" s="4"/>
      <c r="DL1408" s="4"/>
    </row>
    <row r="1409" spans="1:116" s="15" customFormat="1" x14ac:dyDescent="0.25">
      <c r="A1409" s="16"/>
      <c r="B1409" s="16"/>
      <c r="C1409" s="16"/>
      <c r="D1409" s="98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4"/>
      <c r="AJ1409" s="14"/>
      <c r="AK1409" s="14"/>
      <c r="AL1409" s="14"/>
      <c r="AM1409" s="14"/>
      <c r="AN1409" s="14"/>
      <c r="AO1409" s="14"/>
      <c r="AP1409" s="14"/>
      <c r="AQ1409" s="14"/>
      <c r="AR1409" s="14"/>
      <c r="AS1409" s="14"/>
      <c r="AT1409" s="14"/>
      <c r="AU1409" s="14"/>
      <c r="AV1409" s="14"/>
      <c r="AW1409" s="14"/>
      <c r="AX1409" s="14"/>
      <c r="AY1409" s="14"/>
      <c r="AZ1409" s="14"/>
      <c r="BA1409" s="14"/>
      <c r="BB1409" s="14"/>
      <c r="BC1409" s="14"/>
      <c r="BD1409" s="14"/>
      <c r="BE1409" s="14"/>
      <c r="BF1409" s="14"/>
      <c r="BG1409" s="14"/>
      <c r="BH1409" s="14"/>
      <c r="BI1409" s="14"/>
      <c r="BJ1409" s="14"/>
      <c r="BK1409" s="14"/>
      <c r="BL1409" s="14"/>
      <c r="BM1409" s="14"/>
      <c r="BN1409" s="14"/>
      <c r="BO1409" s="14"/>
      <c r="BP1409" s="14"/>
      <c r="BQ1409" s="14"/>
      <c r="BR1409" s="14"/>
      <c r="BS1409" s="14"/>
      <c r="BT1409" s="14"/>
      <c r="BU1409" s="14"/>
      <c r="BV1409" s="14"/>
      <c r="BW1409" s="14"/>
      <c r="BX1409" s="14"/>
      <c r="BY1409" s="14"/>
      <c r="BZ1409" s="14"/>
      <c r="CA1409" s="14"/>
      <c r="CB1409" s="14"/>
      <c r="CC1409" s="14"/>
      <c r="CD1409" s="14"/>
      <c r="CE1409" s="14"/>
      <c r="CF1409" s="14"/>
      <c r="CG1409" s="4"/>
      <c r="CH1409" s="4"/>
      <c r="CI1409" s="4"/>
      <c r="CJ1409" s="4"/>
      <c r="CK1409" s="4"/>
      <c r="CL1409" s="4"/>
      <c r="CM1409" s="4"/>
      <c r="CN1409" s="4"/>
      <c r="CO1409" s="4"/>
      <c r="CP1409" s="4"/>
      <c r="CQ1409" s="4"/>
      <c r="CR1409" s="4"/>
      <c r="CS1409" s="4"/>
      <c r="CT1409" s="4"/>
      <c r="CU1409" s="4"/>
      <c r="CV1409" s="4"/>
      <c r="CW1409" s="4"/>
      <c r="CX1409" s="4"/>
      <c r="CY1409" s="4"/>
      <c r="CZ1409" s="4"/>
      <c r="DA1409" s="4"/>
      <c r="DB1409" s="4"/>
      <c r="DC1409" s="4"/>
      <c r="DD1409" s="4"/>
      <c r="DE1409" s="4"/>
      <c r="DF1409" s="4"/>
      <c r="DG1409" s="4"/>
      <c r="DH1409" s="4"/>
      <c r="DI1409" s="4"/>
      <c r="DJ1409" s="4"/>
      <c r="DK1409" s="4"/>
      <c r="DL1409" s="4"/>
    </row>
    <row r="1410" spans="1:116" s="15" customFormat="1" x14ac:dyDescent="0.25">
      <c r="A1410" s="16"/>
      <c r="B1410" s="16"/>
      <c r="C1410" s="16"/>
      <c r="D1410" s="98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4"/>
      <c r="AJ1410" s="14"/>
      <c r="AK1410" s="14"/>
      <c r="AL1410" s="14"/>
      <c r="AM1410" s="14"/>
      <c r="AN1410" s="14"/>
      <c r="AO1410" s="14"/>
      <c r="AP1410" s="14"/>
      <c r="AQ1410" s="14"/>
      <c r="AR1410" s="14"/>
      <c r="AS1410" s="14"/>
      <c r="AT1410" s="14"/>
      <c r="AU1410" s="14"/>
      <c r="AV1410" s="14"/>
      <c r="AW1410" s="14"/>
      <c r="AX1410" s="14"/>
      <c r="AY1410" s="14"/>
      <c r="AZ1410" s="14"/>
      <c r="BA1410" s="14"/>
      <c r="BB1410" s="14"/>
      <c r="BC1410" s="14"/>
      <c r="BD1410" s="14"/>
      <c r="BE1410" s="14"/>
      <c r="BF1410" s="14"/>
      <c r="BG1410" s="14"/>
      <c r="BH1410" s="14"/>
      <c r="BI1410" s="14"/>
      <c r="BJ1410" s="14"/>
      <c r="BK1410" s="14"/>
      <c r="BL1410" s="14"/>
      <c r="BM1410" s="14"/>
      <c r="BN1410" s="14"/>
      <c r="BO1410" s="14"/>
      <c r="BP1410" s="14"/>
      <c r="BQ1410" s="14"/>
      <c r="BR1410" s="14"/>
      <c r="BS1410" s="14"/>
      <c r="BT1410" s="14"/>
      <c r="BU1410" s="14"/>
      <c r="BV1410" s="14"/>
      <c r="BW1410" s="14"/>
      <c r="BX1410" s="14"/>
      <c r="BY1410" s="14"/>
      <c r="BZ1410" s="14"/>
      <c r="CA1410" s="14"/>
      <c r="CB1410" s="14"/>
      <c r="CC1410" s="14"/>
      <c r="CD1410" s="14"/>
      <c r="CE1410" s="14"/>
      <c r="CF1410" s="14"/>
      <c r="CG1410" s="4"/>
      <c r="CH1410" s="4"/>
      <c r="CI1410" s="4"/>
      <c r="CJ1410" s="4"/>
      <c r="CK1410" s="4"/>
      <c r="CL1410" s="4"/>
      <c r="CM1410" s="4"/>
      <c r="CN1410" s="4"/>
      <c r="CO1410" s="4"/>
      <c r="CP1410" s="4"/>
      <c r="CQ1410" s="4"/>
      <c r="CR1410" s="4"/>
      <c r="CS1410" s="4"/>
      <c r="CT1410" s="4"/>
      <c r="CU1410" s="4"/>
      <c r="CV1410" s="4"/>
      <c r="CW1410" s="4"/>
      <c r="CX1410" s="4"/>
      <c r="CY1410" s="4"/>
      <c r="CZ1410" s="4"/>
      <c r="DA1410" s="4"/>
      <c r="DB1410" s="4"/>
      <c r="DC1410" s="4"/>
      <c r="DD1410" s="4"/>
      <c r="DE1410" s="4"/>
      <c r="DF1410" s="4"/>
      <c r="DG1410" s="4"/>
      <c r="DH1410" s="4"/>
      <c r="DI1410" s="4"/>
      <c r="DJ1410" s="4"/>
      <c r="DK1410" s="4"/>
      <c r="DL1410" s="4"/>
    </row>
    <row r="1411" spans="1:116" s="15" customFormat="1" x14ac:dyDescent="0.25">
      <c r="A1411" s="16"/>
      <c r="B1411" s="16"/>
      <c r="C1411" s="16"/>
      <c r="D1411" s="98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  <c r="AB1411" s="14"/>
      <c r="AC1411" s="14"/>
      <c r="AD1411" s="14"/>
      <c r="AE1411" s="14"/>
      <c r="AF1411" s="14"/>
      <c r="AG1411" s="14"/>
      <c r="AH1411" s="14"/>
      <c r="AI1411" s="14"/>
      <c r="AJ1411" s="14"/>
      <c r="AK1411" s="14"/>
      <c r="AL1411" s="14"/>
      <c r="AM1411" s="14"/>
      <c r="AN1411" s="14"/>
      <c r="AO1411" s="14"/>
      <c r="AP1411" s="14"/>
      <c r="AQ1411" s="14"/>
      <c r="AR1411" s="14"/>
      <c r="AS1411" s="14"/>
      <c r="AT1411" s="14"/>
      <c r="AU1411" s="14"/>
      <c r="AV1411" s="14"/>
      <c r="AW1411" s="14"/>
      <c r="AX1411" s="14"/>
      <c r="AY1411" s="14"/>
      <c r="AZ1411" s="14"/>
      <c r="BA1411" s="14"/>
      <c r="BB1411" s="14"/>
      <c r="BC1411" s="14"/>
      <c r="BD1411" s="14"/>
      <c r="BE1411" s="14"/>
      <c r="BF1411" s="14"/>
      <c r="BG1411" s="14"/>
      <c r="BH1411" s="14"/>
      <c r="BI1411" s="14"/>
      <c r="BJ1411" s="14"/>
      <c r="BK1411" s="14"/>
      <c r="BL1411" s="14"/>
      <c r="BM1411" s="14"/>
      <c r="BN1411" s="14"/>
      <c r="BO1411" s="14"/>
      <c r="BP1411" s="14"/>
      <c r="BQ1411" s="14"/>
      <c r="BR1411" s="14"/>
      <c r="BS1411" s="14"/>
      <c r="BT1411" s="14"/>
      <c r="BU1411" s="14"/>
      <c r="BV1411" s="14"/>
      <c r="BW1411" s="14"/>
      <c r="BX1411" s="14"/>
      <c r="BY1411" s="14"/>
      <c r="BZ1411" s="14"/>
      <c r="CA1411" s="14"/>
      <c r="CB1411" s="14"/>
      <c r="CC1411" s="14"/>
      <c r="CD1411" s="14"/>
      <c r="CE1411" s="14"/>
      <c r="CF1411" s="14"/>
      <c r="CG1411" s="4"/>
      <c r="CH1411" s="4"/>
      <c r="CI1411" s="4"/>
      <c r="CJ1411" s="4"/>
      <c r="CK1411" s="4"/>
      <c r="CL1411" s="4"/>
      <c r="CM1411" s="4"/>
      <c r="CN1411" s="4"/>
      <c r="CO1411" s="4"/>
      <c r="CP1411" s="4"/>
      <c r="CQ1411" s="4"/>
      <c r="CR1411" s="4"/>
      <c r="CS1411" s="4"/>
      <c r="CT1411" s="4"/>
      <c r="CU1411" s="4"/>
      <c r="CV1411" s="4"/>
      <c r="CW1411" s="4"/>
      <c r="CX1411" s="4"/>
      <c r="CY1411" s="4"/>
      <c r="CZ1411" s="4"/>
      <c r="DA1411" s="4"/>
      <c r="DB1411" s="4"/>
      <c r="DC1411" s="4"/>
      <c r="DD1411" s="4"/>
      <c r="DE1411" s="4"/>
      <c r="DF1411" s="4"/>
      <c r="DG1411" s="4"/>
      <c r="DH1411" s="4"/>
      <c r="DI1411" s="4"/>
      <c r="DJ1411" s="4"/>
      <c r="DK1411" s="4"/>
      <c r="DL1411" s="4"/>
    </row>
    <row r="1412" spans="1:116" s="15" customFormat="1" x14ac:dyDescent="0.25">
      <c r="A1412" s="16"/>
      <c r="B1412" s="16"/>
      <c r="C1412" s="16"/>
      <c r="D1412" s="98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4"/>
      <c r="AJ1412" s="14"/>
      <c r="AK1412" s="14"/>
      <c r="AL1412" s="14"/>
      <c r="AM1412" s="14"/>
      <c r="AN1412" s="14"/>
      <c r="AO1412" s="14"/>
      <c r="AP1412" s="14"/>
      <c r="AQ1412" s="14"/>
      <c r="AR1412" s="14"/>
      <c r="AS1412" s="14"/>
      <c r="AT1412" s="14"/>
      <c r="AU1412" s="14"/>
      <c r="AV1412" s="14"/>
      <c r="AW1412" s="14"/>
      <c r="AX1412" s="14"/>
      <c r="AY1412" s="14"/>
      <c r="AZ1412" s="14"/>
      <c r="BA1412" s="14"/>
      <c r="BB1412" s="14"/>
      <c r="BC1412" s="14"/>
      <c r="BD1412" s="14"/>
      <c r="BE1412" s="14"/>
      <c r="BF1412" s="14"/>
      <c r="BG1412" s="14"/>
      <c r="BH1412" s="14"/>
      <c r="BI1412" s="14"/>
      <c r="BJ1412" s="14"/>
      <c r="BK1412" s="14"/>
      <c r="BL1412" s="14"/>
      <c r="BM1412" s="14"/>
      <c r="BN1412" s="14"/>
      <c r="BO1412" s="14"/>
      <c r="BP1412" s="14"/>
      <c r="BQ1412" s="14"/>
      <c r="BR1412" s="14"/>
      <c r="BS1412" s="14"/>
      <c r="BT1412" s="14"/>
      <c r="BU1412" s="14"/>
      <c r="BV1412" s="14"/>
      <c r="BW1412" s="14"/>
      <c r="BX1412" s="14"/>
      <c r="BY1412" s="14"/>
      <c r="BZ1412" s="14"/>
      <c r="CA1412" s="14"/>
      <c r="CB1412" s="14"/>
      <c r="CC1412" s="14"/>
      <c r="CD1412" s="14"/>
      <c r="CE1412" s="14"/>
      <c r="CF1412" s="14"/>
      <c r="CG1412" s="4"/>
      <c r="CH1412" s="4"/>
      <c r="CI1412" s="4"/>
      <c r="CJ1412" s="4"/>
      <c r="CK1412" s="4"/>
      <c r="CL1412" s="4"/>
      <c r="CM1412" s="4"/>
      <c r="CN1412" s="4"/>
      <c r="CO1412" s="4"/>
      <c r="CP1412" s="4"/>
      <c r="CQ1412" s="4"/>
      <c r="CR1412" s="4"/>
      <c r="CS1412" s="4"/>
      <c r="CT1412" s="4"/>
      <c r="CU1412" s="4"/>
      <c r="CV1412" s="4"/>
      <c r="CW1412" s="4"/>
      <c r="CX1412" s="4"/>
      <c r="CY1412" s="4"/>
      <c r="CZ1412" s="4"/>
      <c r="DA1412" s="4"/>
      <c r="DB1412" s="4"/>
      <c r="DC1412" s="4"/>
      <c r="DD1412" s="4"/>
      <c r="DE1412" s="4"/>
      <c r="DF1412" s="4"/>
      <c r="DG1412" s="4"/>
      <c r="DH1412" s="4"/>
      <c r="DI1412" s="4"/>
      <c r="DJ1412" s="4"/>
      <c r="DK1412" s="4"/>
      <c r="DL1412" s="4"/>
    </row>
    <row r="1413" spans="1:116" s="15" customFormat="1" x14ac:dyDescent="0.25">
      <c r="A1413" s="16"/>
      <c r="B1413" s="16"/>
      <c r="C1413" s="16"/>
      <c r="D1413" s="98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4"/>
      <c r="AJ1413" s="14"/>
      <c r="AK1413" s="14"/>
      <c r="AL1413" s="14"/>
      <c r="AM1413" s="14"/>
      <c r="AN1413" s="14"/>
      <c r="AO1413" s="14"/>
      <c r="AP1413" s="14"/>
      <c r="AQ1413" s="14"/>
      <c r="AR1413" s="14"/>
      <c r="AS1413" s="14"/>
      <c r="AT1413" s="14"/>
      <c r="AU1413" s="14"/>
      <c r="AV1413" s="14"/>
      <c r="AW1413" s="14"/>
      <c r="AX1413" s="14"/>
      <c r="AY1413" s="14"/>
      <c r="AZ1413" s="14"/>
      <c r="BA1413" s="14"/>
      <c r="BB1413" s="14"/>
      <c r="BC1413" s="14"/>
      <c r="BD1413" s="14"/>
      <c r="BE1413" s="14"/>
      <c r="BF1413" s="14"/>
      <c r="BG1413" s="14"/>
      <c r="BH1413" s="14"/>
      <c r="BI1413" s="14"/>
      <c r="BJ1413" s="14"/>
      <c r="BK1413" s="14"/>
      <c r="BL1413" s="14"/>
      <c r="BM1413" s="14"/>
      <c r="BN1413" s="14"/>
      <c r="BO1413" s="14"/>
      <c r="BP1413" s="14"/>
      <c r="BQ1413" s="14"/>
      <c r="BR1413" s="14"/>
      <c r="BS1413" s="14"/>
      <c r="BT1413" s="14"/>
      <c r="BU1413" s="14"/>
      <c r="BV1413" s="14"/>
      <c r="BW1413" s="14"/>
      <c r="BX1413" s="14"/>
      <c r="BY1413" s="14"/>
      <c r="BZ1413" s="14"/>
      <c r="CA1413" s="14"/>
      <c r="CB1413" s="14"/>
      <c r="CC1413" s="14"/>
      <c r="CD1413" s="14"/>
      <c r="CE1413" s="14"/>
      <c r="CF1413" s="14"/>
      <c r="CG1413" s="4"/>
      <c r="CH1413" s="4"/>
      <c r="CI1413" s="4"/>
      <c r="CJ1413" s="4"/>
      <c r="CK1413" s="4"/>
      <c r="CL1413" s="4"/>
      <c r="CM1413" s="4"/>
      <c r="CN1413" s="4"/>
      <c r="CO1413" s="4"/>
      <c r="CP1413" s="4"/>
      <c r="CQ1413" s="4"/>
      <c r="CR1413" s="4"/>
      <c r="CS1413" s="4"/>
      <c r="CT1413" s="4"/>
      <c r="CU1413" s="4"/>
      <c r="CV1413" s="4"/>
      <c r="CW1413" s="4"/>
      <c r="CX1413" s="4"/>
      <c r="CY1413" s="4"/>
      <c r="CZ1413" s="4"/>
      <c r="DA1413" s="4"/>
      <c r="DB1413" s="4"/>
      <c r="DC1413" s="4"/>
      <c r="DD1413" s="4"/>
      <c r="DE1413" s="4"/>
      <c r="DF1413" s="4"/>
      <c r="DG1413" s="4"/>
      <c r="DH1413" s="4"/>
      <c r="DI1413" s="4"/>
      <c r="DJ1413" s="4"/>
      <c r="DK1413" s="4"/>
      <c r="DL1413" s="4"/>
    </row>
    <row r="1414" spans="1:116" s="15" customFormat="1" x14ac:dyDescent="0.25">
      <c r="A1414" s="16"/>
      <c r="B1414" s="16"/>
      <c r="C1414" s="16"/>
      <c r="D1414" s="98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4"/>
      <c r="AJ1414" s="14"/>
      <c r="AK1414" s="14"/>
      <c r="AL1414" s="14"/>
      <c r="AM1414" s="14"/>
      <c r="AN1414" s="14"/>
      <c r="AO1414" s="14"/>
      <c r="AP1414" s="14"/>
      <c r="AQ1414" s="14"/>
      <c r="AR1414" s="14"/>
      <c r="AS1414" s="14"/>
      <c r="AT1414" s="14"/>
      <c r="AU1414" s="14"/>
      <c r="AV1414" s="14"/>
      <c r="AW1414" s="14"/>
      <c r="AX1414" s="14"/>
      <c r="AY1414" s="14"/>
      <c r="AZ1414" s="14"/>
      <c r="BA1414" s="14"/>
      <c r="BB1414" s="14"/>
      <c r="BC1414" s="14"/>
      <c r="BD1414" s="14"/>
      <c r="BE1414" s="14"/>
      <c r="BF1414" s="14"/>
      <c r="BG1414" s="14"/>
      <c r="BH1414" s="14"/>
      <c r="BI1414" s="14"/>
      <c r="BJ1414" s="14"/>
      <c r="BK1414" s="14"/>
      <c r="BL1414" s="14"/>
      <c r="BM1414" s="14"/>
      <c r="BN1414" s="14"/>
      <c r="BO1414" s="14"/>
      <c r="BP1414" s="14"/>
      <c r="BQ1414" s="14"/>
      <c r="BR1414" s="14"/>
      <c r="BS1414" s="14"/>
      <c r="BT1414" s="14"/>
      <c r="BU1414" s="14"/>
      <c r="BV1414" s="14"/>
      <c r="BW1414" s="14"/>
      <c r="BX1414" s="14"/>
      <c r="BY1414" s="14"/>
      <c r="BZ1414" s="14"/>
      <c r="CA1414" s="14"/>
      <c r="CB1414" s="14"/>
      <c r="CC1414" s="14"/>
      <c r="CD1414" s="14"/>
      <c r="CE1414" s="14"/>
      <c r="CF1414" s="14"/>
      <c r="CG1414" s="4"/>
      <c r="CH1414" s="4"/>
      <c r="CI1414" s="4"/>
      <c r="CJ1414" s="4"/>
      <c r="CK1414" s="4"/>
      <c r="CL1414" s="4"/>
      <c r="CM1414" s="4"/>
      <c r="CN1414" s="4"/>
      <c r="CO1414" s="4"/>
      <c r="CP1414" s="4"/>
      <c r="CQ1414" s="4"/>
      <c r="CR1414" s="4"/>
      <c r="CS1414" s="4"/>
      <c r="CT1414" s="4"/>
      <c r="CU1414" s="4"/>
      <c r="CV1414" s="4"/>
      <c r="CW1414" s="4"/>
      <c r="CX1414" s="4"/>
      <c r="CY1414" s="4"/>
      <c r="CZ1414" s="4"/>
      <c r="DA1414" s="4"/>
      <c r="DB1414" s="4"/>
      <c r="DC1414" s="4"/>
      <c r="DD1414" s="4"/>
      <c r="DE1414" s="4"/>
      <c r="DF1414" s="4"/>
      <c r="DG1414" s="4"/>
      <c r="DH1414" s="4"/>
      <c r="DI1414" s="4"/>
      <c r="DJ1414" s="4"/>
      <c r="DK1414" s="4"/>
      <c r="DL1414" s="4"/>
    </row>
    <row r="1415" spans="1:116" s="15" customFormat="1" x14ac:dyDescent="0.25">
      <c r="A1415" s="16"/>
      <c r="B1415" s="16"/>
      <c r="C1415" s="16"/>
      <c r="D1415" s="98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4"/>
      <c r="AJ1415" s="14"/>
      <c r="AK1415" s="14"/>
      <c r="AL1415" s="14"/>
      <c r="AM1415" s="14"/>
      <c r="AN1415" s="14"/>
      <c r="AO1415" s="14"/>
      <c r="AP1415" s="14"/>
      <c r="AQ1415" s="14"/>
      <c r="AR1415" s="14"/>
      <c r="AS1415" s="14"/>
      <c r="AT1415" s="14"/>
      <c r="AU1415" s="14"/>
      <c r="AV1415" s="14"/>
      <c r="AW1415" s="14"/>
      <c r="AX1415" s="14"/>
      <c r="AY1415" s="14"/>
      <c r="AZ1415" s="14"/>
      <c r="BA1415" s="14"/>
      <c r="BB1415" s="14"/>
      <c r="BC1415" s="14"/>
      <c r="BD1415" s="14"/>
      <c r="BE1415" s="14"/>
      <c r="BF1415" s="14"/>
      <c r="BG1415" s="14"/>
      <c r="BH1415" s="14"/>
      <c r="BI1415" s="14"/>
      <c r="BJ1415" s="14"/>
      <c r="BK1415" s="14"/>
      <c r="BL1415" s="14"/>
      <c r="BM1415" s="14"/>
      <c r="BN1415" s="14"/>
      <c r="BO1415" s="14"/>
      <c r="BP1415" s="14"/>
      <c r="BQ1415" s="14"/>
      <c r="BR1415" s="14"/>
      <c r="BS1415" s="14"/>
      <c r="BT1415" s="14"/>
      <c r="BU1415" s="14"/>
      <c r="BV1415" s="14"/>
      <c r="BW1415" s="14"/>
      <c r="BX1415" s="14"/>
      <c r="BY1415" s="14"/>
      <c r="BZ1415" s="14"/>
      <c r="CA1415" s="14"/>
      <c r="CB1415" s="14"/>
      <c r="CC1415" s="14"/>
      <c r="CD1415" s="14"/>
      <c r="CE1415" s="14"/>
      <c r="CF1415" s="14"/>
      <c r="CG1415" s="4"/>
      <c r="CH1415" s="4"/>
      <c r="CI1415" s="4"/>
      <c r="CJ1415" s="4"/>
      <c r="CK1415" s="4"/>
      <c r="CL1415" s="4"/>
      <c r="CM1415" s="4"/>
      <c r="CN1415" s="4"/>
      <c r="CO1415" s="4"/>
      <c r="CP1415" s="4"/>
      <c r="CQ1415" s="4"/>
      <c r="CR1415" s="4"/>
      <c r="CS1415" s="4"/>
      <c r="CT1415" s="4"/>
      <c r="CU1415" s="4"/>
      <c r="CV1415" s="4"/>
      <c r="CW1415" s="4"/>
      <c r="CX1415" s="4"/>
      <c r="CY1415" s="4"/>
      <c r="CZ1415" s="4"/>
      <c r="DA1415" s="4"/>
      <c r="DB1415" s="4"/>
      <c r="DC1415" s="4"/>
      <c r="DD1415" s="4"/>
      <c r="DE1415" s="4"/>
      <c r="DF1415" s="4"/>
      <c r="DG1415" s="4"/>
      <c r="DH1415" s="4"/>
      <c r="DI1415" s="4"/>
      <c r="DJ1415" s="4"/>
      <c r="DK1415" s="4"/>
      <c r="DL1415" s="4"/>
    </row>
    <row r="1416" spans="1:116" s="15" customFormat="1" x14ac:dyDescent="0.25">
      <c r="A1416" s="16"/>
      <c r="B1416" s="16"/>
      <c r="C1416" s="16"/>
      <c r="D1416" s="98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4"/>
      <c r="AJ1416" s="14"/>
      <c r="AK1416" s="14"/>
      <c r="AL1416" s="14"/>
      <c r="AM1416" s="14"/>
      <c r="AN1416" s="14"/>
      <c r="AO1416" s="14"/>
      <c r="AP1416" s="14"/>
      <c r="AQ1416" s="14"/>
      <c r="AR1416" s="14"/>
      <c r="AS1416" s="14"/>
      <c r="AT1416" s="14"/>
      <c r="AU1416" s="14"/>
      <c r="AV1416" s="14"/>
      <c r="AW1416" s="14"/>
      <c r="AX1416" s="14"/>
      <c r="AY1416" s="14"/>
      <c r="AZ1416" s="14"/>
      <c r="BA1416" s="14"/>
      <c r="BB1416" s="14"/>
      <c r="BC1416" s="14"/>
      <c r="BD1416" s="14"/>
      <c r="BE1416" s="14"/>
      <c r="BF1416" s="14"/>
      <c r="BG1416" s="14"/>
      <c r="BH1416" s="14"/>
      <c r="BI1416" s="14"/>
      <c r="BJ1416" s="14"/>
      <c r="BK1416" s="14"/>
      <c r="BL1416" s="14"/>
      <c r="BM1416" s="14"/>
      <c r="BN1416" s="14"/>
      <c r="BO1416" s="14"/>
      <c r="BP1416" s="14"/>
      <c r="BQ1416" s="14"/>
      <c r="BR1416" s="14"/>
      <c r="BS1416" s="14"/>
      <c r="BT1416" s="14"/>
      <c r="BU1416" s="14"/>
      <c r="BV1416" s="14"/>
      <c r="BW1416" s="14"/>
      <c r="BX1416" s="14"/>
      <c r="BY1416" s="14"/>
      <c r="BZ1416" s="14"/>
      <c r="CA1416" s="14"/>
      <c r="CB1416" s="14"/>
      <c r="CC1416" s="14"/>
      <c r="CD1416" s="14"/>
      <c r="CE1416" s="14"/>
      <c r="CF1416" s="14"/>
      <c r="CG1416" s="4"/>
      <c r="CH1416" s="4"/>
      <c r="CI1416" s="4"/>
      <c r="CJ1416" s="4"/>
      <c r="CK1416" s="4"/>
      <c r="CL1416" s="4"/>
      <c r="CM1416" s="4"/>
      <c r="CN1416" s="4"/>
      <c r="CO1416" s="4"/>
      <c r="CP1416" s="4"/>
      <c r="CQ1416" s="4"/>
      <c r="CR1416" s="4"/>
      <c r="CS1416" s="4"/>
      <c r="CT1416" s="4"/>
      <c r="CU1416" s="4"/>
      <c r="CV1416" s="4"/>
      <c r="CW1416" s="4"/>
      <c r="CX1416" s="4"/>
      <c r="CY1416" s="4"/>
      <c r="CZ1416" s="4"/>
      <c r="DA1416" s="4"/>
      <c r="DB1416" s="4"/>
      <c r="DC1416" s="4"/>
      <c r="DD1416" s="4"/>
      <c r="DE1416" s="4"/>
      <c r="DF1416" s="4"/>
      <c r="DG1416" s="4"/>
      <c r="DH1416" s="4"/>
      <c r="DI1416" s="4"/>
      <c r="DJ1416" s="4"/>
      <c r="DK1416" s="4"/>
      <c r="DL1416" s="4"/>
    </row>
    <row r="1417" spans="1:116" s="15" customFormat="1" x14ac:dyDescent="0.25">
      <c r="A1417" s="16"/>
      <c r="B1417" s="16"/>
      <c r="C1417" s="16"/>
      <c r="D1417" s="98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4"/>
      <c r="AJ1417" s="14"/>
      <c r="AK1417" s="14"/>
      <c r="AL1417" s="14"/>
      <c r="AM1417" s="14"/>
      <c r="AN1417" s="14"/>
      <c r="AO1417" s="14"/>
      <c r="AP1417" s="14"/>
      <c r="AQ1417" s="14"/>
      <c r="AR1417" s="14"/>
      <c r="AS1417" s="14"/>
      <c r="AT1417" s="14"/>
      <c r="AU1417" s="14"/>
      <c r="AV1417" s="14"/>
      <c r="AW1417" s="14"/>
      <c r="AX1417" s="14"/>
      <c r="AY1417" s="14"/>
      <c r="AZ1417" s="14"/>
      <c r="BA1417" s="14"/>
      <c r="BB1417" s="14"/>
      <c r="BC1417" s="14"/>
      <c r="BD1417" s="14"/>
      <c r="BE1417" s="14"/>
      <c r="BF1417" s="14"/>
      <c r="BG1417" s="14"/>
      <c r="BH1417" s="14"/>
      <c r="BI1417" s="14"/>
      <c r="BJ1417" s="14"/>
      <c r="BK1417" s="14"/>
      <c r="BL1417" s="14"/>
      <c r="BM1417" s="14"/>
      <c r="BN1417" s="14"/>
      <c r="BO1417" s="14"/>
      <c r="BP1417" s="14"/>
      <c r="BQ1417" s="14"/>
      <c r="BR1417" s="14"/>
      <c r="BS1417" s="14"/>
      <c r="BT1417" s="14"/>
      <c r="BU1417" s="14"/>
      <c r="BV1417" s="14"/>
      <c r="BW1417" s="14"/>
      <c r="BX1417" s="14"/>
      <c r="BY1417" s="14"/>
      <c r="BZ1417" s="14"/>
      <c r="CA1417" s="14"/>
      <c r="CB1417" s="14"/>
      <c r="CC1417" s="14"/>
      <c r="CD1417" s="14"/>
      <c r="CE1417" s="14"/>
      <c r="CF1417" s="14"/>
      <c r="CG1417" s="4"/>
      <c r="CH1417" s="4"/>
      <c r="CI1417" s="4"/>
      <c r="CJ1417" s="4"/>
      <c r="CK1417" s="4"/>
      <c r="CL1417" s="4"/>
      <c r="CM1417" s="4"/>
      <c r="CN1417" s="4"/>
      <c r="CO1417" s="4"/>
      <c r="CP1417" s="4"/>
      <c r="CQ1417" s="4"/>
      <c r="CR1417" s="4"/>
      <c r="CS1417" s="4"/>
      <c r="CT1417" s="4"/>
      <c r="CU1417" s="4"/>
      <c r="CV1417" s="4"/>
      <c r="CW1417" s="4"/>
      <c r="CX1417" s="4"/>
      <c r="CY1417" s="4"/>
      <c r="CZ1417" s="4"/>
      <c r="DA1417" s="4"/>
      <c r="DB1417" s="4"/>
      <c r="DC1417" s="4"/>
      <c r="DD1417" s="4"/>
      <c r="DE1417" s="4"/>
      <c r="DF1417" s="4"/>
      <c r="DG1417" s="4"/>
      <c r="DH1417" s="4"/>
      <c r="DI1417" s="4"/>
      <c r="DJ1417" s="4"/>
      <c r="DK1417" s="4"/>
      <c r="DL1417" s="4"/>
    </row>
    <row r="1418" spans="1:116" s="15" customFormat="1" x14ac:dyDescent="0.25">
      <c r="A1418" s="16"/>
      <c r="B1418" s="16"/>
      <c r="C1418" s="16"/>
      <c r="D1418" s="98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4"/>
      <c r="AJ1418" s="14"/>
      <c r="AK1418" s="14"/>
      <c r="AL1418" s="14"/>
      <c r="AM1418" s="14"/>
      <c r="AN1418" s="14"/>
      <c r="AO1418" s="14"/>
      <c r="AP1418" s="14"/>
      <c r="AQ1418" s="14"/>
      <c r="AR1418" s="14"/>
      <c r="AS1418" s="14"/>
      <c r="AT1418" s="14"/>
      <c r="AU1418" s="14"/>
      <c r="AV1418" s="14"/>
      <c r="AW1418" s="14"/>
      <c r="AX1418" s="14"/>
      <c r="AY1418" s="14"/>
      <c r="AZ1418" s="14"/>
      <c r="BA1418" s="14"/>
      <c r="BB1418" s="14"/>
      <c r="BC1418" s="14"/>
      <c r="BD1418" s="14"/>
      <c r="BE1418" s="14"/>
      <c r="BF1418" s="14"/>
      <c r="BG1418" s="14"/>
      <c r="BH1418" s="14"/>
      <c r="BI1418" s="14"/>
      <c r="BJ1418" s="14"/>
      <c r="BK1418" s="14"/>
      <c r="BL1418" s="14"/>
      <c r="BM1418" s="14"/>
      <c r="BN1418" s="14"/>
      <c r="BO1418" s="14"/>
      <c r="BP1418" s="14"/>
      <c r="BQ1418" s="14"/>
      <c r="BR1418" s="14"/>
      <c r="BS1418" s="14"/>
      <c r="BT1418" s="14"/>
      <c r="BU1418" s="14"/>
      <c r="BV1418" s="14"/>
      <c r="BW1418" s="14"/>
      <c r="BX1418" s="14"/>
      <c r="BY1418" s="14"/>
      <c r="BZ1418" s="14"/>
      <c r="CA1418" s="14"/>
      <c r="CB1418" s="14"/>
      <c r="CC1418" s="14"/>
      <c r="CD1418" s="14"/>
      <c r="CE1418" s="14"/>
      <c r="CF1418" s="14"/>
      <c r="CG1418" s="4"/>
      <c r="CH1418" s="4"/>
      <c r="CI1418" s="4"/>
      <c r="CJ1418" s="4"/>
      <c r="CK1418" s="4"/>
      <c r="CL1418" s="4"/>
      <c r="CM1418" s="4"/>
      <c r="CN1418" s="4"/>
      <c r="CO1418" s="4"/>
      <c r="CP1418" s="4"/>
      <c r="CQ1418" s="4"/>
      <c r="CR1418" s="4"/>
      <c r="CS1418" s="4"/>
      <c r="CT1418" s="4"/>
      <c r="CU1418" s="4"/>
      <c r="CV1418" s="4"/>
      <c r="CW1418" s="4"/>
      <c r="CX1418" s="4"/>
      <c r="CY1418" s="4"/>
      <c r="CZ1418" s="4"/>
      <c r="DA1418" s="4"/>
      <c r="DB1418" s="4"/>
      <c r="DC1418" s="4"/>
      <c r="DD1418" s="4"/>
      <c r="DE1418" s="4"/>
      <c r="DF1418" s="4"/>
      <c r="DG1418" s="4"/>
      <c r="DH1418" s="4"/>
      <c r="DI1418" s="4"/>
      <c r="DJ1418" s="4"/>
      <c r="DK1418" s="4"/>
      <c r="DL1418" s="4"/>
    </row>
    <row r="1419" spans="1:116" s="15" customFormat="1" x14ac:dyDescent="0.25">
      <c r="A1419" s="16"/>
      <c r="B1419" s="16"/>
      <c r="C1419" s="16"/>
      <c r="D1419" s="98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  <c r="AB1419" s="14"/>
      <c r="AC1419" s="14"/>
      <c r="AD1419" s="14"/>
      <c r="AE1419" s="14"/>
      <c r="AF1419" s="14"/>
      <c r="AG1419" s="14"/>
      <c r="AH1419" s="14"/>
      <c r="AI1419" s="14"/>
      <c r="AJ1419" s="14"/>
      <c r="AK1419" s="14"/>
      <c r="AL1419" s="14"/>
      <c r="AM1419" s="14"/>
      <c r="AN1419" s="14"/>
      <c r="AO1419" s="14"/>
      <c r="AP1419" s="14"/>
      <c r="AQ1419" s="14"/>
      <c r="AR1419" s="14"/>
      <c r="AS1419" s="14"/>
      <c r="AT1419" s="14"/>
      <c r="AU1419" s="14"/>
      <c r="AV1419" s="14"/>
      <c r="AW1419" s="14"/>
      <c r="AX1419" s="14"/>
      <c r="AY1419" s="14"/>
      <c r="AZ1419" s="14"/>
      <c r="BA1419" s="14"/>
      <c r="BB1419" s="14"/>
      <c r="BC1419" s="14"/>
      <c r="BD1419" s="14"/>
      <c r="BE1419" s="14"/>
      <c r="BF1419" s="14"/>
      <c r="BG1419" s="14"/>
      <c r="BH1419" s="14"/>
      <c r="BI1419" s="14"/>
      <c r="BJ1419" s="14"/>
      <c r="BK1419" s="14"/>
      <c r="BL1419" s="14"/>
      <c r="BM1419" s="14"/>
      <c r="BN1419" s="14"/>
      <c r="BO1419" s="14"/>
      <c r="BP1419" s="14"/>
      <c r="BQ1419" s="14"/>
      <c r="BR1419" s="14"/>
      <c r="BS1419" s="14"/>
      <c r="BT1419" s="14"/>
      <c r="BU1419" s="14"/>
      <c r="BV1419" s="14"/>
      <c r="BW1419" s="14"/>
      <c r="BX1419" s="14"/>
      <c r="BY1419" s="14"/>
      <c r="BZ1419" s="14"/>
      <c r="CA1419" s="14"/>
      <c r="CB1419" s="14"/>
      <c r="CC1419" s="14"/>
      <c r="CD1419" s="14"/>
      <c r="CE1419" s="14"/>
      <c r="CF1419" s="14"/>
      <c r="CG1419" s="4"/>
      <c r="CH1419" s="4"/>
      <c r="CI1419" s="4"/>
      <c r="CJ1419" s="4"/>
      <c r="CK1419" s="4"/>
      <c r="CL1419" s="4"/>
      <c r="CM1419" s="4"/>
      <c r="CN1419" s="4"/>
      <c r="CO1419" s="4"/>
      <c r="CP1419" s="4"/>
      <c r="CQ1419" s="4"/>
      <c r="CR1419" s="4"/>
      <c r="CS1419" s="4"/>
      <c r="CT1419" s="4"/>
      <c r="CU1419" s="4"/>
      <c r="CV1419" s="4"/>
      <c r="CW1419" s="4"/>
      <c r="CX1419" s="4"/>
      <c r="CY1419" s="4"/>
      <c r="CZ1419" s="4"/>
      <c r="DA1419" s="4"/>
      <c r="DB1419" s="4"/>
      <c r="DC1419" s="4"/>
      <c r="DD1419" s="4"/>
      <c r="DE1419" s="4"/>
      <c r="DF1419" s="4"/>
      <c r="DG1419" s="4"/>
      <c r="DH1419" s="4"/>
      <c r="DI1419" s="4"/>
      <c r="DJ1419" s="4"/>
      <c r="DK1419" s="4"/>
      <c r="DL1419" s="4"/>
    </row>
    <row r="1420" spans="1:116" s="15" customFormat="1" x14ac:dyDescent="0.25">
      <c r="A1420" s="16"/>
      <c r="B1420" s="16"/>
      <c r="C1420" s="16"/>
      <c r="D1420" s="98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4"/>
      <c r="AJ1420" s="14"/>
      <c r="AK1420" s="14"/>
      <c r="AL1420" s="14"/>
      <c r="AM1420" s="14"/>
      <c r="AN1420" s="14"/>
      <c r="AO1420" s="14"/>
      <c r="AP1420" s="14"/>
      <c r="AQ1420" s="14"/>
      <c r="AR1420" s="14"/>
      <c r="AS1420" s="14"/>
      <c r="AT1420" s="14"/>
      <c r="AU1420" s="14"/>
      <c r="AV1420" s="14"/>
      <c r="AW1420" s="14"/>
      <c r="AX1420" s="14"/>
      <c r="AY1420" s="14"/>
      <c r="AZ1420" s="14"/>
      <c r="BA1420" s="14"/>
      <c r="BB1420" s="14"/>
      <c r="BC1420" s="14"/>
      <c r="BD1420" s="14"/>
      <c r="BE1420" s="14"/>
      <c r="BF1420" s="14"/>
      <c r="BG1420" s="14"/>
      <c r="BH1420" s="14"/>
      <c r="BI1420" s="14"/>
      <c r="BJ1420" s="14"/>
      <c r="BK1420" s="14"/>
      <c r="BL1420" s="14"/>
      <c r="BM1420" s="14"/>
      <c r="BN1420" s="14"/>
      <c r="BO1420" s="14"/>
      <c r="BP1420" s="14"/>
      <c r="BQ1420" s="14"/>
      <c r="BR1420" s="14"/>
      <c r="BS1420" s="14"/>
      <c r="BT1420" s="14"/>
      <c r="BU1420" s="14"/>
      <c r="BV1420" s="14"/>
      <c r="BW1420" s="14"/>
      <c r="BX1420" s="14"/>
      <c r="BY1420" s="14"/>
      <c r="BZ1420" s="14"/>
      <c r="CA1420" s="14"/>
      <c r="CB1420" s="14"/>
      <c r="CC1420" s="14"/>
      <c r="CD1420" s="14"/>
      <c r="CE1420" s="14"/>
      <c r="CF1420" s="14"/>
      <c r="CG1420" s="4"/>
      <c r="CH1420" s="4"/>
      <c r="CI1420" s="4"/>
      <c r="CJ1420" s="4"/>
      <c r="CK1420" s="4"/>
      <c r="CL1420" s="4"/>
      <c r="CM1420" s="4"/>
      <c r="CN1420" s="4"/>
      <c r="CO1420" s="4"/>
      <c r="CP1420" s="4"/>
      <c r="CQ1420" s="4"/>
      <c r="CR1420" s="4"/>
      <c r="CS1420" s="4"/>
      <c r="CT1420" s="4"/>
      <c r="CU1420" s="4"/>
      <c r="CV1420" s="4"/>
      <c r="CW1420" s="4"/>
      <c r="CX1420" s="4"/>
      <c r="CY1420" s="4"/>
      <c r="CZ1420" s="4"/>
      <c r="DA1420" s="4"/>
      <c r="DB1420" s="4"/>
      <c r="DC1420" s="4"/>
      <c r="DD1420" s="4"/>
      <c r="DE1420" s="4"/>
      <c r="DF1420" s="4"/>
      <c r="DG1420" s="4"/>
      <c r="DH1420" s="4"/>
      <c r="DI1420" s="4"/>
      <c r="DJ1420" s="4"/>
      <c r="DK1420" s="4"/>
      <c r="DL1420" s="4"/>
    </row>
    <row r="1421" spans="1:116" s="15" customFormat="1" x14ac:dyDescent="0.25">
      <c r="A1421" s="16"/>
      <c r="B1421" s="16"/>
      <c r="C1421" s="16"/>
      <c r="D1421" s="98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4"/>
      <c r="AJ1421" s="14"/>
      <c r="AK1421" s="14"/>
      <c r="AL1421" s="14"/>
      <c r="AM1421" s="14"/>
      <c r="AN1421" s="14"/>
      <c r="AO1421" s="14"/>
      <c r="AP1421" s="14"/>
      <c r="AQ1421" s="14"/>
      <c r="AR1421" s="14"/>
      <c r="AS1421" s="14"/>
      <c r="AT1421" s="14"/>
      <c r="AU1421" s="14"/>
      <c r="AV1421" s="14"/>
      <c r="AW1421" s="14"/>
      <c r="AX1421" s="14"/>
      <c r="AY1421" s="14"/>
      <c r="AZ1421" s="14"/>
      <c r="BA1421" s="14"/>
      <c r="BB1421" s="14"/>
      <c r="BC1421" s="14"/>
      <c r="BD1421" s="14"/>
      <c r="BE1421" s="14"/>
      <c r="BF1421" s="14"/>
      <c r="BG1421" s="14"/>
      <c r="BH1421" s="14"/>
      <c r="BI1421" s="14"/>
      <c r="BJ1421" s="14"/>
      <c r="BK1421" s="14"/>
      <c r="BL1421" s="14"/>
      <c r="BM1421" s="14"/>
      <c r="BN1421" s="14"/>
      <c r="BO1421" s="14"/>
      <c r="BP1421" s="14"/>
      <c r="BQ1421" s="14"/>
      <c r="BR1421" s="14"/>
      <c r="BS1421" s="14"/>
      <c r="BT1421" s="14"/>
      <c r="BU1421" s="14"/>
      <c r="BV1421" s="14"/>
      <c r="BW1421" s="14"/>
      <c r="BX1421" s="14"/>
      <c r="BY1421" s="14"/>
      <c r="BZ1421" s="14"/>
      <c r="CA1421" s="14"/>
      <c r="CB1421" s="14"/>
      <c r="CC1421" s="14"/>
      <c r="CD1421" s="14"/>
      <c r="CE1421" s="14"/>
      <c r="CF1421" s="14"/>
      <c r="CG1421" s="4"/>
      <c r="CH1421" s="4"/>
      <c r="CI1421" s="4"/>
      <c r="CJ1421" s="4"/>
      <c r="CK1421" s="4"/>
      <c r="CL1421" s="4"/>
      <c r="CM1421" s="4"/>
      <c r="CN1421" s="4"/>
      <c r="CO1421" s="4"/>
      <c r="CP1421" s="4"/>
      <c r="CQ1421" s="4"/>
      <c r="CR1421" s="4"/>
      <c r="CS1421" s="4"/>
      <c r="CT1421" s="4"/>
      <c r="CU1421" s="4"/>
      <c r="CV1421" s="4"/>
      <c r="CW1421" s="4"/>
      <c r="CX1421" s="4"/>
      <c r="CY1421" s="4"/>
      <c r="CZ1421" s="4"/>
      <c r="DA1421" s="4"/>
      <c r="DB1421" s="4"/>
      <c r="DC1421" s="4"/>
      <c r="DD1421" s="4"/>
      <c r="DE1421" s="4"/>
      <c r="DF1421" s="4"/>
      <c r="DG1421" s="4"/>
      <c r="DH1421" s="4"/>
      <c r="DI1421" s="4"/>
      <c r="DJ1421" s="4"/>
      <c r="DK1421" s="4"/>
      <c r="DL1421" s="4"/>
    </row>
    <row r="1422" spans="1:116" s="15" customFormat="1" x14ac:dyDescent="0.25">
      <c r="A1422" s="16"/>
      <c r="B1422" s="16"/>
      <c r="C1422" s="16"/>
      <c r="D1422" s="98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4"/>
      <c r="AJ1422" s="14"/>
      <c r="AK1422" s="14"/>
      <c r="AL1422" s="14"/>
      <c r="AM1422" s="14"/>
      <c r="AN1422" s="14"/>
      <c r="AO1422" s="14"/>
      <c r="AP1422" s="14"/>
      <c r="AQ1422" s="14"/>
      <c r="AR1422" s="14"/>
      <c r="AS1422" s="14"/>
      <c r="AT1422" s="14"/>
      <c r="AU1422" s="14"/>
      <c r="AV1422" s="14"/>
      <c r="AW1422" s="14"/>
      <c r="AX1422" s="14"/>
      <c r="AY1422" s="14"/>
      <c r="AZ1422" s="14"/>
      <c r="BA1422" s="14"/>
      <c r="BB1422" s="14"/>
      <c r="BC1422" s="14"/>
      <c r="BD1422" s="14"/>
      <c r="BE1422" s="14"/>
      <c r="BF1422" s="14"/>
      <c r="BG1422" s="14"/>
      <c r="BH1422" s="14"/>
      <c r="BI1422" s="14"/>
      <c r="BJ1422" s="14"/>
      <c r="BK1422" s="14"/>
      <c r="BL1422" s="14"/>
      <c r="BM1422" s="14"/>
      <c r="BN1422" s="14"/>
      <c r="BO1422" s="14"/>
      <c r="BP1422" s="14"/>
      <c r="BQ1422" s="14"/>
      <c r="BR1422" s="14"/>
      <c r="BS1422" s="14"/>
      <c r="BT1422" s="14"/>
      <c r="BU1422" s="14"/>
      <c r="BV1422" s="14"/>
      <c r="BW1422" s="14"/>
      <c r="BX1422" s="14"/>
      <c r="BY1422" s="14"/>
      <c r="BZ1422" s="14"/>
      <c r="CA1422" s="14"/>
      <c r="CB1422" s="14"/>
      <c r="CC1422" s="14"/>
      <c r="CD1422" s="14"/>
      <c r="CE1422" s="14"/>
      <c r="CF1422" s="14"/>
      <c r="CG1422" s="4"/>
      <c r="CH1422" s="4"/>
      <c r="CI1422" s="4"/>
      <c r="CJ1422" s="4"/>
      <c r="CK1422" s="4"/>
      <c r="CL1422" s="4"/>
      <c r="CM1422" s="4"/>
      <c r="CN1422" s="4"/>
      <c r="CO1422" s="4"/>
      <c r="CP1422" s="4"/>
      <c r="CQ1422" s="4"/>
      <c r="CR1422" s="4"/>
      <c r="CS1422" s="4"/>
      <c r="CT1422" s="4"/>
      <c r="CU1422" s="4"/>
      <c r="CV1422" s="4"/>
      <c r="CW1422" s="4"/>
      <c r="CX1422" s="4"/>
      <c r="CY1422" s="4"/>
      <c r="CZ1422" s="4"/>
      <c r="DA1422" s="4"/>
      <c r="DB1422" s="4"/>
      <c r="DC1422" s="4"/>
      <c r="DD1422" s="4"/>
      <c r="DE1422" s="4"/>
      <c r="DF1422" s="4"/>
      <c r="DG1422" s="4"/>
      <c r="DH1422" s="4"/>
      <c r="DI1422" s="4"/>
      <c r="DJ1422" s="4"/>
      <c r="DK1422" s="4"/>
      <c r="DL1422" s="4"/>
    </row>
    <row r="1423" spans="1:116" s="15" customFormat="1" x14ac:dyDescent="0.25">
      <c r="A1423" s="16"/>
      <c r="B1423" s="16"/>
      <c r="C1423" s="16"/>
      <c r="D1423" s="98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4"/>
      <c r="AJ1423" s="14"/>
      <c r="AK1423" s="14"/>
      <c r="AL1423" s="14"/>
      <c r="AM1423" s="14"/>
      <c r="AN1423" s="14"/>
      <c r="AO1423" s="14"/>
      <c r="AP1423" s="14"/>
      <c r="AQ1423" s="14"/>
      <c r="AR1423" s="14"/>
      <c r="AS1423" s="14"/>
      <c r="AT1423" s="14"/>
      <c r="AU1423" s="14"/>
      <c r="AV1423" s="14"/>
      <c r="AW1423" s="14"/>
      <c r="AX1423" s="14"/>
      <c r="AY1423" s="14"/>
      <c r="AZ1423" s="14"/>
      <c r="BA1423" s="14"/>
      <c r="BB1423" s="14"/>
      <c r="BC1423" s="14"/>
      <c r="BD1423" s="14"/>
      <c r="BE1423" s="14"/>
      <c r="BF1423" s="14"/>
      <c r="BG1423" s="14"/>
      <c r="BH1423" s="14"/>
      <c r="BI1423" s="14"/>
      <c r="BJ1423" s="14"/>
      <c r="BK1423" s="14"/>
      <c r="BL1423" s="14"/>
      <c r="BM1423" s="14"/>
      <c r="BN1423" s="14"/>
      <c r="BO1423" s="14"/>
      <c r="BP1423" s="14"/>
      <c r="BQ1423" s="14"/>
      <c r="BR1423" s="14"/>
      <c r="BS1423" s="14"/>
      <c r="BT1423" s="14"/>
      <c r="BU1423" s="14"/>
      <c r="BV1423" s="14"/>
      <c r="BW1423" s="14"/>
      <c r="BX1423" s="14"/>
      <c r="BY1423" s="14"/>
      <c r="BZ1423" s="14"/>
      <c r="CA1423" s="14"/>
      <c r="CB1423" s="14"/>
      <c r="CC1423" s="14"/>
      <c r="CD1423" s="14"/>
      <c r="CE1423" s="14"/>
      <c r="CF1423" s="14"/>
      <c r="CG1423" s="4"/>
      <c r="CH1423" s="4"/>
      <c r="CI1423" s="4"/>
      <c r="CJ1423" s="4"/>
      <c r="CK1423" s="4"/>
      <c r="CL1423" s="4"/>
      <c r="CM1423" s="4"/>
      <c r="CN1423" s="4"/>
      <c r="CO1423" s="4"/>
      <c r="CP1423" s="4"/>
      <c r="CQ1423" s="4"/>
      <c r="CR1423" s="4"/>
      <c r="CS1423" s="4"/>
      <c r="CT1423" s="4"/>
      <c r="CU1423" s="4"/>
      <c r="CV1423" s="4"/>
      <c r="CW1423" s="4"/>
      <c r="CX1423" s="4"/>
      <c r="CY1423" s="4"/>
      <c r="CZ1423" s="4"/>
      <c r="DA1423" s="4"/>
      <c r="DB1423" s="4"/>
      <c r="DC1423" s="4"/>
      <c r="DD1423" s="4"/>
      <c r="DE1423" s="4"/>
      <c r="DF1423" s="4"/>
      <c r="DG1423" s="4"/>
      <c r="DH1423" s="4"/>
      <c r="DI1423" s="4"/>
      <c r="DJ1423" s="4"/>
      <c r="DK1423" s="4"/>
      <c r="DL1423" s="4"/>
    </row>
    <row r="1424" spans="1:116" s="15" customFormat="1" x14ac:dyDescent="0.25">
      <c r="A1424" s="16"/>
      <c r="B1424" s="16"/>
      <c r="C1424" s="16"/>
      <c r="D1424" s="98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4"/>
      <c r="AJ1424" s="14"/>
      <c r="AK1424" s="14"/>
      <c r="AL1424" s="14"/>
      <c r="AM1424" s="14"/>
      <c r="AN1424" s="14"/>
      <c r="AO1424" s="14"/>
      <c r="AP1424" s="14"/>
      <c r="AQ1424" s="14"/>
      <c r="AR1424" s="14"/>
      <c r="AS1424" s="14"/>
      <c r="AT1424" s="14"/>
      <c r="AU1424" s="14"/>
      <c r="AV1424" s="14"/>
      <c r="AW1424" s="14"/>
      <c r="AX1424" s="14"/>
      <c r="AY1424" s="14"/>
      <c r="AZ1424" s="14"/>
      <c r="BA1424" s="14"/>
      <c r="BB1424" s="14"/>
      <c r="BC1424" s="14"/>
      <c r="BD1424" s="14"/>
      <c r="BE1424" s="14"/>
      <c r="BF1424" s="14"/>
      <c r="BG1424" s="14"/>
      <c r="BH1424" s="14"/>
      <c r="BI1424" s="14"/>
      <c r="BJ1424" s="14"/>
      <c r="BK1424" s="14"/>
      <c r="BL1424" s="14"/>
      <c r="BM1424" s="14"/>
      <c r="BN1424" s="14"/>
      <c r="BO1424" s="14"/>
      <c r="BP1424" s="14"/>
      <c r="BQ1424" s="14"/>
      <c r="BR1424" s="14"/>
      <c r="BS1424" s="14"/>
      <c r="BT1424" s="14"/>
      <c r="BU1424" s="14"/>
      <c r="BV1424" s="14"/>
      <c r="BW1424" s="14"/>
      <c r="BX1424" s="14"/>
      <c r="BY1424" s="14"/>
      <c r="BZ1424" s="14"/>
      <c r="CA1424" s="14"/>
      <c r="CB1424" s="14"/>
      <c r="CC1424" s="14"/>
      <c r="CD1424" s="14"/>
      <c r="CE1424" s="14"/>
      <c r="CF1424" s="14"/>
      <c r="CG1424" s="4"/>
      <c r="CH1424" s="4"/>
      <c r="CI1424" s="4"/>
      <c r="CJ1424" s="4"/>
      <c r="CK1424" s="4"/>
      <c r="CL1424" s="4"/>
      <c r="CM1424" s="4"/>
      <c r="CN1424" s="4"/>
      <c r="CO1424" s="4"/>
      <c r="CP1424" s="4"/>
      <c r="CQ1424" s="4"/>
      <c r="CR1424" s="4"/>
      <c r="CS1424" s="4"/>
      <c r="CT1424" s="4"/>
      <c r="CU1424" s="4"/>
      <c r="CV1424" s="4"/>
      <c r="CW1424" s="4"/>
      <c r="CX1424" s="4"/>
      <c r="CY1424" s="4"/>
      <c r="CZ1424" s="4"/>
      <c r="DA1424" s="4"/>
      <c r="DB1424" s="4"/>
      <c r="DC1424" s="4"/>
      <c r="DD1424" s="4"/>
      <c r="DE1424" s="4"/>
      <c r="DF1424" s="4"/>
      <c r="DG1424" s="4"/>
      <c r="DH1424" s="4"/>
      <c r="DI1424" s="4"/>
      <c r="DJ1424" s="4"/>
      <c r="DK1424" s="4"/>
      <c r="DL1424" s="4"/>
    </row>
    <row r="1425" spans="1:116" s="15" customFormat="1" x14ac:dyDescent="0.25">
      <c r="A1425" s="16"/>
      <c r="B1425" s="16"/>
      <c r="C1425" s="16"/>
      <c r="D1425" s="98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  <c r="AB1425" s="14"/>
      <c r="AC1425" s="14"/>
      <c r="AD1425" s="14"/>
      <c r="AE1425" s="14"/>
      <c r="AF1425" s="14"/>
      <c r="AG1425" s="14"/>
      <c r="AH1425" s="14"/>
      <c r="AI1425" s="14"/>
      <c r="AJ1425" s="14"/>
      <c r="AK1425" s="14"/>
      <c r="AL1425" s="14"/>
      <c r="AM1425" s="14"/>
      <c r="AN1425" s="14"/>
      <c r="AO1425" s="14"/>
      <c r="AP1425" s="14"/>
      <c r="AQ1425" s="14"/>
      <c r="AR1425" s="14"/>
      <c r="AS1425" s="14"/>
      <c r="AT1425" s="14"/>
      <c r="AU1425" s="14"/>
      <c r="AV1425" s="14"/>
      <c r="AW1425" s="14"/>
      <c r="AX1425" s="14"/>
      <c r="AY1425" s="14"/>
      <c r="AZ1425" s="14"/>
      <c r="BA1425" s="14"/>
      <c r="BB1425" s="14"/>
      <c r="BC1425" s="14"/>
      <c r="BD1425" s="14"/>
      <c r="BE1425" s="14"/>
      <c r="BF1425" s="14"/>
      <c r="BG1425" s="14"/>
      <c r="BH1425" s="14"/>
      <c r="BI1425" s="14"/>
      <c r="BJ1425" s="14"/>
      <c r="BK1425" s="14"/>
      <c r="BL1425" s="14"/>
      <c r="BM1425" s="14"/>
      <c r="BN1425" s="14"/>
      <c r="BO1425" s="14"/>
      <c r="BP1425" s="14"/>
      <c r="BQ1425" s="14"/>
      <c r="BR1425" s="14"/>
      <c r="BS1425" s="14"/>
      <c r="BT1425" s="14"/>
      <c r="BU1425" s="14"/>
      <c r="BV1425" s="14"/>
      <c r="BW1425" s="14"/>
      <c r="BX1425" s="14"/>
      <c r="BY1425" s="14"/>
      <c r="BZ1425" s="14"/>
      <c r="CA1425" s="14"/>
      <c r="CB1425" s="14"/>
      <c r="CC1425" s="14"/>
      <c r="CD1425" s="14"/>
      <c r="CE1425" s="14"/>
      <c r="CF1425" s="14"/>
      <c r="CG1425" s="4"/>
      <c r="CH1425" s="4"/>
      <c r="CI1425" s="4"/>
      <c r="CJ1425" s="4"/>
      <c r="CK1425" s="4"/>
      <c r="CL1425" s="4"/>
      <c r="CM1425" s="4"/>
      <c r="CN1425" s="4"/>
      <c r="CO1425" s="4"/>
      <c r="CP1425" s="4"/>
      <c r="CQ1425" s="4"/>
      <c r="CR1425" s="4"/>
      <c r="CS1425" s="4"/>
      <c r="CT1425" s="4"/>
      <c r="CU1425" s="4"/>
      <c r="CV1425" s="4"/>
      <c r="CW1425" s="4"/>
      <c r="CX1425" s="4"/>
      <c r="CY1425" s="4"/>
      <c r="CZ1425" s="4"/>
      <c r="DA1425" s="4"/>
      <c r="DB1425" s="4"/>
      <c r="DC1425" s="4"/>
      <c r="DD1425" s="4"/>
      <c r="DE1425" s="4"/>
      <c r="DF1425" s="4"/>
      <c r="DG1425" s="4"/>
      <c r="DH1425" s="4"/>
      <c r="DI1425" s="4"/>
      <c r="DJ1425" s="4"/>
      <c r="DK1425" s="4"/>
      <c r="DL1425" s="4"/>
    </row>
    <row r="1426" spans="1:116" s="15" customFormat="1" x14ac:dyDescent="0.25">
      <c r="A1426" s="16"/>
      <c r="B1426" s="16"/>
      <c r="C1426" s="16"/>
      <c r="D1426" s="98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  <c r="AB1426" s="14"/>
      <c r="AC1426" s="14"/>
      <c r="AD1426" s="14"/>
      <c r="AE1426" s="14"/>
      <c r="AF1426" s="14"/>
      <c r="AG1426" s="14"/>
      <c r="AH1426" s="14"/>
      <c r="AI1426" s="14"/>
      <c r="AJ1426" s="14"/>
      <c r="AK1426" s="14"/>
      <c r="AL1426" s="14"/>
      <c r="AM1426" s="14"/>
      <c r="AN1426" s="14"/>
      <c r="AO1426" s="14"/>
      <c r="AP1426" s="14"/>
      <c r="AQ1426" s="14"/>
      <c r="AR1426" s="14"/>
      <c r="AS1426" s="14"/>
      <c r="AT1426" s="14"/>
      <c r="AU1426" s="14"/>
      <c r="AV1426" s="14"/>
      <c r="AW1426" s="14"/>
      <c r="AX1426" s="14"/>
      <c r="AY1426" s="14"/>
      <c r="AZ1426" s="14"/>
      <c r="BA1426" s="14"/>
      <c r="BB1426" s="14"/>
      <c r="BC1426" s="14"/>
      <c r="BD1426" s="14"/>
      <c r="BE1426" s="14"/>
      <c r="BF1426" s="14"/>
      <c r="BG1426" s="14"/>
      <c r="BH1426" s="14"/>
      <c r="BI1426" s="14"/>
      <c r="BJ1426" s="14"/>
      <c r="BK1426" s="14"/>
      <c r="BL1426" s="14"/>
      <c r="BM1426" s="14"/>
      <c r="BN1426" s="14"/>
      <c r="BO1426" s="14"/>
      <c r="BP1426" s="14"/>
      <c r="BQ1426" s="14"/>
      <c r="BR1426" s="14"/>
      <c r="BS1426" s="14"/>
      <c r="BT1426" s="14"/>
      <c r="BU1426" s="14"/>
      <c r="BV1426" s="14"/>
      <c r="BW1426" s="14"/>
      <c r="BX1426" s="14"/>
      <c r="BY1426" s="14"/>
      <c r="BZ1426" s="14"/>
      <c r="CA1426" s="14"/>
      <c r="CB1426" s="14"/>
      <c r="CC1426" s="14"/>
      <c r="CD1426" s="14"/>
      <c r="CE1426" s="14"/>
      <c r="CF1426" s="14"/>
      <c r="CG1426" s="4"/>
      <c r="CH1426" s="4"/>
      <c r="CI1426" s="4"/>
      <c r="CJ1426" s="4"/>
      <c r="CK1426" s="4"/>
      <c r="CL1426" s="4"/>
      <c r="CM1426" s="4"/>
      <c r="CN1426" s="4"/>
      <c r="CO1426" s="4"/>
      <c r="CP1426" s="4"/>
      <c r="CQ1426" s="4"/>
      <c r="CR1426" s="4"/>
      <c r="CS1426" s="4"/>
      <c r="CT1426" s="4"/>
      <c r="CU1426" s="4"/>
      <c r="CV1426" s="4"/>
      <c r="CW1426" s="4"/>
      <c r="CX1426" s="4"/>
      <c r="CY1426" s="4"/>
      <c r="CZ1426" s="4"/>
      <c r="DA1426" s="4"/>
      <c r="DB1426" s="4"/>
      <c r="DC1426" s="4"/>
      <c r="DD1426" s="4"/>
      <c r="DE1426" s="4"/>
      <c r="DF1426" s="4"/>
      <c r="DG1426" s="4"/>
      <c r="DH1426" s="4"/>
      <c r="DI1426" s="4"/>
      <c r="DJ1426" s="4"/>
      <c r="DK1426" s="4"/>
      <c r="DL1426" s="4"/>
    </row>
    <row r="1427" spans="1:116" s="15" customFormat="1" x14ac:dyDescent="0.25">
      <c r="A1427" s="16"/>
      <c r="B1427" s="16"/>
      <c r="C1427" s="16"/>
      <c r="D1427" s="98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4"/>
      <c r="AJ1427" s="14"/>
      <c r="AK1427" s="14"/>
      <c r="AL1427" s="14"/>
      <c r="AM1427" s="14"/>
      <c r="AN1427" s="14"/>
      <c r="AO1427" s="14"/>
      <c r="AP1427" s="14"/>
      <c r="AQ1427" s="14"/>
      <c r="AR1427" s="14"/>
      <c r="AS1427" s="14"/>
      <c r="AT1427" s="14"/>
      <c r="AU1427" s="14"/>
      <c r="AV1427" s="14"/>
      <c r="AW1427" s="14"/>
      <c r="AX1427" s="14"/>
      <c r="AY1427" s="14"/>
      <c r="AZ1427" s="14"/>
      <c r="BA1427" s="14"/>
      <c r="BB1427" s="14"/>
      <c r="BC1427" s="14"/>
      <c r="BD1427" s="14"/>
      <c r="BE1427" s="14"/>
      <c r="BF1427" s="14"/>
      <c r="BG1427" s="14"/>
      <c r="BH1427" s="14"/>
      <c r="BI1427" s="14"/>
      <c r="BJ1427" s="14"/>
      <c r="BK1427" s="14"/>
      <c r="BL1427" s="14"/>
      <c r="BM1427" s="14"/>
      <c r="BN1427" s="14"/>
      <c r="BO1427" s="14"/>
      <c r="BP1427" s="14"/>
      <c r="BQ1427" s="14"/>
      <c r="BR1427" s="14"/>
      <c r="BS1427" s="14"/>
      <c r="BT1427" s="14"/>
      <c r="BU1427" s="14"/>
      <c r="BV1427" s="14"/>
      <c r="BW1427" s="14"/>
      <c r="BX1427" s="14"/>
      <c r="BY1427" s="14"/>
      <c r="BZ1427" s="14"/>
      <c r="CA1427" s="14"/>
      <c r="CB1427" s="14"/>
      <c r="CC1427" s="14"/>
      <c r="CD1427" s="14"/>
      <c r="CE1427" s="14"/>
      <c r="CF1427" s="14"/>
      <c r="CG1427" s="4"/>
      <c r="CH1427" s="4"/>
      <c r="CI1427" s="4"/>
      <c r="CJ1427" s="4"/>
      <c r="CK1427" s="4"/>
      <c r="CL1427" s="4"/>
      <c r="CM1427" s="4"/>
      <c r="CN1427" s="4"/>
      <c r="CO1427" s="4"/>
      <c r="CP1427" s="4"/>
      <c r="CQ1427" s="4"/>
      <c r="CR1427" s="4"/>
      <c r="CS1427" s="4"/>
      <c r="CT1427" s="4"/>
      <c r="CU1427" s="4"/>
      <c r="CV1427" s="4"/>
      <c r="CW1427" s="4"/>
      <c r="CX1427" s="4"/>
      <c r="CY1427" s="4"/>
      <c r="CZ1427" s="4"/>
      <c r="DA1427" s="4"/>
      <c r="DB1427" s="4"/>
      <c r="DC1427" s="4"/>
      <c r="DD1427" s="4"/>
      <c r="DE1427" s="4"/>
      <c r="DF1427" s="4"/>
      <c r="DG1427" s="4"/>
      <c r="DH1427" s="4"/>
      <c r="DI1427" s="4"/>
      <c r="DJ1427" s="4"/>
      <c r="DK1427" s="4"/>
      <c r="DL1427" s="4"/>
    </row>
    <row r="1428" spans="1:116" s="15" customFormat="1" x14ac:dyDescent="0.25">
      <c r="A1428" s="16"/>
      <c r="B1428" s="16"/>
      <c r="C1428" s="16"/>
      <c r="D1428" s="98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4"/>
      <c r="AJ1428" s="14"/>
      <c r="AK1428" s="14"/>
      <c r="AL1428" s="14"/>
      <c r="AM1428" s="14"/>
      <c r="AN1428" s="14"/>
      <c r="AO1428" s="14"/>
      <c r="AP1428" s="14"/>
      <c r="AQ1428" s="14"/>
      <c r="AR1428" s="14"/>
      <c r="AS1428" s="14"/>
      <c r="AT1428" s="14"/>
      <c r="AU1428" s="14"/>
      <c r="AV1428" s="14"/>
      <c r="AW1428" s="14"/>
      <c r="AX1428" s="14"/>
      <c r="AY1428" s="14"/>
      <c r="AZ1428" s="14"/>
      <c r="BA1428" s="14"/>
      <c r="BB1428" s="14"/>
      <c r="BC1428" s="14"/>
      <c r="BD1428" s="14"/>
      <c r="BE1428" s="14"/>
      <c r="BF1428" s="14"/>
      <c r="BG1428" s="14"/>
      <c r="BH1428" s="14"/>
      <c r="BI1428" s="14"/>
      <c r="BJ1428" s="14"/>
      <c r="BK1428" s="14"/>
      <c r="BL1428" s="14"/>
      <c r="BM1428" s="14"/>
      <c r="BN1428" s="14"/>
      <c r="BO1428" s="14"/>
      <c r="BP1428" s="14"/>
      <c r="BQ1428" s="14"/>
      <c r="BR1428" s="14"/>
      <c r="BS1428" s="14"/>
      <c r="BT1428" s="14"/>
      <c r="BU1428" s="14"/>
      <c r="BV1428" s="14"/>
      <c r="BW1428" s="14"/>
      <c r="BX1428" s="14"/>
      <c r="BY1428" s="14"/>
      <c r="BZ1428" s="14"/>
      <c r="CA1428" s="14"/>
      <c r="CB1428" s="14"/>
      <c r="CC1428" s="14"/>
      <c r="CD1428" s="14"/>
      <c r="CE1428" s="14"/>
      <c r="CF1428" s="14"/>
      <c r="CG1428" s="4"/>
      <c r="CH1428" s="4"/>
      <c r="CI1428" s="4"/>
      <c r="CJ1428" s="4"/>
      <c r="CK1428" s="4"/>
      <c r="CL1428" s="4"/>
      <c r="CM1428" s="4"/>
      <c r="CN1428" s="4"/>
      <c r="CO1428" s="4"/>
      <c r="CP1428" s="4"/>
      <c r="CQ1428" s="4"/>
      <c r="CR1428" s="4"/>
      <c r="CS1428" s="4"/>
      <c r="CT1428" s="4"/>
      <c r="CU1428" s="4"/>
      <c r="CV1428" s="4"/>
      <c r="CW1428" s="4"/>
      <c r="CX1428" s="4"/>
      <c r="CY1428" s="4"/>
      <c r="CZ1428" s="4"/>
      <c r="DA1428" s="4"/>
      <c r="DB1428" s="4"/>
      <c r="DC1428" s="4"/>
      <c r="DD1428" s="4"/>
      <c r="DE1428" s="4"/>
      <c r="DF1428" s="4"/>
      <c r="DG1428" s="4"/>
      <c r="DH1428" s="4"/>
      <c r="DI1428" s="4"/>
      <c r="DJ1428" s="4"/>
      <c r="DK1428" s="4"/>
      <c r="DL1428" s="4"/>
    </row>
    <row r="1429" spans="1:116" s="15" customFormat="1" x14ac:dyDescent="0.25">
      <c r="A1429" s="16"/>
      <c r="B1429" s="16"/>
      <c r="C1429" s="16"/>
      <c r="D1429" s="98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4"/>
      <c r="AJ1429" s="14"/>
      <c r="AK1429" s="14"/>
      <c r="AL1429" s="14"/>
      <c r="AM1429" s="14"/>
      <c r="AN1429" s="14"/>
      <c r="AO1429" s="14"/>
      <c r="AP1429" s="14"/>
      <c r="AQ1429" s="14"/>
      <c r="AR1429" s="14"/>
      <c r="AS1429" s="14"/>
      <c r="AT1429" s="14"/>
      <c r="AU1429" s="14"/>
      <c r="AV1429" s="14"/>
      <c r="AW1429" s="14"/>
      <c r="AX1429" s="14"/>
      <c r="AY1429" s="14"/>
      <c r="AZ1429" s="14"/>
      <c r="BA1429" s="14"/>
      <c r="BB1429" s="14"/>
      <c r="BC1429" s="14"/>
      <c r="BD1429" s="14"/>
      <c r="BE1429" s="14"/>
      <c r="BF1429" s="14"/>
      <c r="BG1429" s="14"/>
      <c r="BH1429" s="14"/>
      <c r="BI1429" s="14"/>
      <c r="BJ1429" s="14"/>
      <c r="BK1429" s="14"/>
      <c r="BL1429" s="14"/>
      <c r="BM1429" s="14"/>
      <c r="BN1429" s="14"/>
      <c r="BO1429" s="14"/>
      <c r="BP1429" s="14"/>
      <c r="BQ1429" s="14"/>
      <c r="BR1429" s="14"/>
      <c r="BS1429" s="14"/>
      <c r="BT1429" s="14"/>
      <c r="BU1429" s="14"/>
      <c r="BV1429" s="14"/>
      <c r="BW1429" s="14"/>
      <c r="BX1429" s="14"/>
      <c r="BY1429" s="14"/>
      <c r="BZ1429" s="14"/>
      <c r="CA1429" s="14"/>
      <c r="CB1429" s="14"/>
      <c r="CC1429" s="14"/>
      <c r="CD1429" s="14"/>
      <c r="CE1429" s="14"/>
      <c r="CF1429" s="14"/>
      <c r="CG1429" s="4"/>
      <c r="CH1429" s="4"/>
      <c r="CI1429" s="4"/>
      <c r="CJ1429" s="4"/>
      <c r="CK1429" s="4"/>
      <c r="CL1429" s="4"/>
      <c r="CM1429" s="4"/>
      <c r="CN1429" s="4"/>
      <c r="CO1429" s="4"/>
      <c r="CP1429" s="4"/>
      <c r="CQ1429" s="4"/>
      <c r="CR1429" s="4"/>
      <c r="CS1429" s="4"/>
      <c r="CT1429" s="4"/>
      <c r="CU1429" s="4"/>
      <c r="CV1429" s="4"/>
      <c r="CW1429" s="4"/>
      <c r="CX1429" s="4"/>
      <c r="CY1429" s="4"/>
      <c r="CZ1429" s="4"/>
      <c r="DA1429" s="4"/>
      <c r="DB1429" s="4"/>
      <c r="DC1429" s="4"/>
      <c r="DD1429" s="4"/>
      <c r="DE1429" s="4"/>
      <c r="DF1429" s="4"/>
      <c r="DG1429" s="4"/>
      <c r="DH1429" s="4"/>
      <c r="DI1429" s="4"/>
      <c r="DJ1429" s="4"/>
      <c r="DK1429" s="4"/>
      <c r="DL1429" s="4"/>
    </row>
    <row r="1430" spans="1:116" s="15" customFormat="1" x14ac:dyDescent="0.25">
      <c r="A1430" s="16"/>
      <c r="B1430" s="16"/>
      <c r="C1430" s="16"/>
      <c r="D1430" s="98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4"/>
      <c r="AJ1430" s="14"/>
      <c r="AK1430" s="14"/>
      <c r="AL1430" s="14"/>
      <c r="AM1430" s="14"/>
      <c r="AN1430" s="14"/>
      <c r="AO1430" s="14"/>
      <c r="AP1430" s="14"/>
      <c r="AQ1430" s="14"/>
      <c r="AR1430" s="14"/>
      <c r="AS1430" s="14"/>
      <c r="AT1430" s="14"/>
      <c r="AU1430" s="14"/>
      <c r="AV1430" s="14"/>
      <c r="AW1430" s="14"/>
      <c r="AX1430" s="14"/>
      <c r="AY1430" s="14"/>
      <c r="AZ1430" s="14"/>
      <c r="BA1430" s="14"/>
      <c r="BB1430" s="14"/>
      <c r="BC1430" s="14"/>
      <c r="BD1430" s="14"/>
      <c r="BE1430" s="14"/>
      <c r="BF1430" s="14"/>
      <c r="BG1430" s="14"/>
      <c r="BH1430" s="14"/>
      <c r="BI1430" s="14"/>
      <c r="BJ1430" s="14"/>
      <c r="BK1430" s="14"/>
      <c r="BL1430" s="14"/>
      <c r="BM1430" s="14"/>
      <c r="BN1430" s="14"/>
      <c r="BO1430" s="14"/>
      <c r="BP1430" s="14"/>
      <c r="BQ1430" s="14"/>
      <c r="BR1430" s="14"/>
      <c r="BS1430" s="14"/>
      <c r="BT1430" s="14"/>
      <c r="BU1430" s="14"/>
      <c r="BV1430" s="14"/>
      <c r="BW1430" s="14"/>
      <c r="BX1430" s="14"/>
      <c r="BY1430" s="14"/>
      <c r="BZ1430" s="14"/>
      <c r="CA1430" s="14"/>
      <c r="CB1430" s="14"/>
      <c r="CC1430" s="14"/>
      <c r="CD1430" s="14"/>
      <c r="CE1430" s="14"/>
      <c r="CF1430" s="14"/>
      <c r="CG1430" s="4"/>
      <c r="CH1430" s="4"/>
      <c r="CI1430" s="4"/>
      <c r="CJ1430" s="4"/>
      <c r="CK1430" s="4"/>
      <c r="CL1430" s="4"/>
      <c r="CM1430" s="4"/>
      <c r="CN1430" s="4"/>
      <c r="CO1430" s="4"/>
      <c r="CP1430" s="4"/>
      <c r="CQ1430" s="4"/>
      <c r="CR1430" s="4"/>
      <c r="CS1430" s="4"/>
      <c r="CT1430" s="4"/>
      <c r="CU1430" s="4"/>
      <c r="CV1430" s="4"/>
      <c r="CW1430" s="4"/>
      <c r="CX1430" s="4"/>
      <c r="CY1430" s="4"/>
      <c r="CZ1430" s="4"/>
      <c r="DA1430" s="4"/>
      <c r="DB1430" s="4"/>
      <c r="DC1430" s="4"/>
      <c r="DD1430" s="4"/>
      <c r="DE1430" s="4"/>
      <c r="DF1430" s="4"/>
      <c r="DG1430" s="4"/>
      <c r="DH1430" s="4"/>
      <c r="DI1430" s="4"/>
      <c r="DJ1430" s="4"/>
      <c r="DK1430" s="4"/>
      <c r="DL1430" s="4"/>
    </row>
    <row r="1431" spans="1:116" s="15" customFormat="1" x14ac:dyDescent="0.25">
      <c r="A1431" s="16"/>
      <c r="B1431" s="16"/>
      <c r="C1431" s="16"/>
      <c r="D1431" s="98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4"/>
      <c r="AJ1431" s="14"/>
      <c r="AK1431" s="14"/>
      <c r="AL1431" s="14"/>
      <c r="AM1431" s="14"/>
      <c r="AN1431" s="14"/>
      <c r="AO1431" s="14"/>
      <c r="AP1431" s="14"/>
      <c r="AQ1431" s="14"/>
      <c r="AR1431" s="14"/>
      <c r="AS1431" s="14"/>
      <c r="AT1431" s="14"/>
      <c r="AU1431" s="14"/>
      <c r="AV1431" s="14"/>
      <c r="AW1431" s="14"/>
      <c r="AX1431" s="14"/>
      <c r="AY1431" s="14"/>
      <c r="AZ1431" s="14"/>
      <c r="BA1431" s="14"/>
      <c r="BB1431" s="14"/>
      <c r="BC1431" s="14"/>
      <c r="BD1431" s="14"/>
      <c r="BE1431" s="14"/>
      <c r="BF1431" s="14"/>
      <c r="BG1431" s="14"/>
      <c r="BH1431" s="14"/>
      <c r="BI1431" s="14"/>
      <c r="BJ1431" s="14"/>
      <c r="BK1431" s="14"/>
      <c r="BL1431" s="14"/>
      <c r="BM1431" s="14"/>
      <c r="BN1431" s="14"/>
      <c r="BO1431" s="14"/>
      <c r="BP1431" s="14"/>
      <c r="BQ1431" s="14"/>
      <c r="BR1431" s="14"/>
      <c r="BS1431" s="14"/>
      <c r="BT1431" s="14"/>
      <c r="BU1431" s="14"/>
      <c r="BV1431" s="14"/>
      <c r="BW1431" s="14"/>
      <c r="BX1431" s="14"/>
      <c r="BY1431" s="14"/>
      <c r="BZ1431" s="14"/>
      <c r="CA1431" s="14"/>
      <c r="CB1431" s="14"/>
      <c r="CC1431" s="14"/>
      <c r="CD1431" s="14"/>
      <c r="CE1431" s="14"/>
      <c r="CF1431" s="14"/>
      <c r="CG1431" s="4"/>
      <c r="CH1431" s="4"/>
      <c r="CI1431" s="4"/>
      <c r="CJ1431" s="4"/>
      <c r="CK1431" s="4"/>
      <c r="CL1431" s="4"/>
      <c r="CM1431" s="4"/>
      <c r="CN1431" s="4"/>
      <c r="CO1431" s="4"/>
      <c r="CP1431" s="4"/>
      <c r="CQ1431" s="4"/>
      <c r="CR1431" s="4"/>
      <c r="CS1431" s="4"/>
      <c r="CT1431" s="4"/>
      <c r="CU1431" s="4"/>
      <c r="CV1431" s="4"/>
      <c r="CW1431" s="4"/>
      <c r="CX1431" s="4"/>
      <c r="CY1431" s="4"/>
      <c r="CZ1431" s="4"/>
      <c r="DA1431" s="4"/>
      <c r="DB1431" s="4"/>
      <c r="DC1431" s="4"/>
      <c r="DD1431" s="4"/>
      <c r="DE1431" s="4"/>
      <c r="DF1431" s="4"/>
      <c r="DG1431" s="4"/>
      <c r="DH1431" s="4"/>
      <c r="DI1431" s="4"/>
      <c r="DJ1431" s="4"/>
      <c r="DK1431" s="4"/>
      <c r="DL1431" s="4"/>
    </row>
    <row r="1432" spans="1:116" s="15" customFormat="1" x14ac:dyDescent="0.25">
      <c r="A1432" s="16"/>
      <c r="B1432" s="16"/>
      <c r="C1432" s="16"/>
      <c r="D1432" s="98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4"/>
      <c r="AJ1432" s="14"/>
      <c r="AK1432" s="14"/>
      <c r="AL1432" s="14"/>
      <c r="AM1432" s="14"/>
      <c r="AN1432" s="14"/>
      <c r="AO1432" s="14"/>
      <c r="AP1432" s="14"/>
      <c r="AQ1432" s="14"/>
      <c r="AR1432" s="14"/>
      <c r="AS1432" s="14"/>
      <c r="AT1432" s="14"/>
      <c r="AU1432" s="14"/>
      <c r="AV1432" s="14"/>
      <c r="AW1432" s="14"/>
      <c r="AX1432" s="14"/>
      <c r="AY1432" s="14"/>
      <c r="AZ1432" s="14"/>
      <c r="BA1432" s="14"/>
      <c r="BB1432" s="14"/>
      <c r="BC1432" s="14"/>
      <c r="BD1432" s="14"/>
      <c r="BE1432" s="14"/>
      <c r="BF1432" s="14"/>
      <c r="BG1432" s="14"/>
      <c r="BH1432" s="14"/>
      <c r="BI1432" s="14"/>
      <c r="BJ1432" s="14"/>
      <c r="BK1432" s="14"/>
      <c r="BL1432" s="14"/>
      <c r="BM1432" s="14"/>
      <c r="BN1432" s="14"/>
      <c r="BO1432" s="14"/>
      <c r="BP1432" s="14"/>
      <c r="BQ1432" s="14"/>
      <c r="BR1432" s="14"/>
      <c r="BS1432" s="14"/>
      <c r="BT1432" s="14"/>
      <c r="BU1432" s="14"/>
      <c r="BV1432" s="14"/>
      <c r="BW1432" s="14"/>
      <c r="BX1432" s="14"/>
      <c r="BY1432" s="14"/>
      <c r="BZ1432" s="14"/>
      <c r="CA1432" s="14"/>
      <c r="CB1432" s="14"/>
      <c r="CC1432" s="14"/>
      <c r="CD1432" s="14"/>
      <c r="CE1432" s="14"/>
      <c r="CF1432" s="14"/>
      <c r="CG1432" s="4"/>
      <c r="CH1432" s="4"/>
      <c r="CI1432" s="4"/>
      <c r="CJ1432" s="4"/>
      <c r="CK1432" s="4"/>
      <c r="CL1432" s="4"/>
      <c r="CM1432" s="4"/>
      <c r="CN1432" s="4"/>
      <c r="CO1432" s="4"/>
      <c r="CP1432" s="4"/>
      <c r="CQ1432" s="4"/>
      <c r="CR1432" s="4"/>
      <c r="CS1432" s="4"/>
      <c r="CT1432" s="4"/>
      <c r="CU1432" s="4"/>
      <c r="CV1432" s="4"/>
      <c r="CW1432" s="4"/>
      <c r="CX1432" s="4"/>
      <c r="CY1432" s="4"/>
      <c r="CZ1432" s="4"/>
      <c r="DA1432" s="4"/>
      <c r="DB1432" s="4"/>
      <c r="DC1432" s="4"/>
      <c r="DD1432" s="4"/>
      <c r="DE1432" s="4"/>
      <c r="DF1432" s="4"/>
      <c r="DG1432" s="4"/>
      <c r="DH1432" s="4"/>
      <c r="DI1432" s="4"/>
      <c r="DJ1432" s="4"/>
      <c r="DK1432" s="4"/>
      <c r="DL1432" s="4"/>
    </row>
    <row r="1433" spans="1:116" s="15" customFormat="1" x14ac:dyDescent="0.25">
      <c r="A1433" s="16"/>
      <c r="B1433" s="16"/>
      <c r="C1433" s="16"/>
      <c r="D1433" s="98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4"/>
      <c r="AJ1433" s="14"/>
      <c r="AK1433" s="14"/>
      <c r="AL1433" s="14"/>
      <c r="AM1433" s="14"/>
      <c r="AN1433" s="14"/>
      <c r="AO1433" s="14"/>
      <c r="AP1433" s="14"/>
      <c r="AQ1433" s="14"/>
      <c r="AR1433" s="14"/>
      <c r="AS1433" s="14"/>
      <c r="AT1433" s="14"/>
      <c r="AU1433" s="14"/>
      <c r="AV1433" s="14"/>
      <c r="AW1433" s="14"/>
      <c r="AX1433" s="14"/>
      <c r="AY1433" s="14"/>
      <c r="AZ1433" s="14"/>
      <c r="BA1433" s="14"/>
      <c r="BB1433" s="14"/>
      <c r="BC1433" s="14"/>
      <c r="BD1433" s="14"/>
      <c r="BE1433" s="14"/>
      <c r="BF1433" s="14"/>
      <c r="BG1433" s="14"/>
      <c r="BH1433" s="14"/>
      <c r="BI1433" s="14"/>
      <c r="BJ1433" s="14"/>
      <c r="BK1433" s="14"/>
      <c r="BL1433" s="14"/>
      <c r="BM1433" s="14"/>
      <c r="BN1433" s="14"/>
      <c r="BO1433" s="14"/>
      <c r="BP1433" s="14"/>
      <c r="BQ1433" s="14"/>
      <c r="BR1433" s="14"/>
      <c r="BS1433" s="14"/>
      <c r="BT1433" s="14"/>
      <c r="BU1433" s="14"/>
      <c r="BV1433" s="14"/>
      <c r="BW1433" s="14"/>
      <c r="BX1433" s="14"/>
      <c r="BY1433" s="14"/>
      <c r="BZ1433" s="14"/>
      <c r="CA1433" s="14"/>
      <c r="CB1433" s="14"/>
      <c r="CC1433" s="14"/>
      <c r="CD1433" s="14"/>
      <c r="CE1433" s="14"/>
      <c r="CF1433" s="14"/>
      <c r="CG1433" s="4"/>
      <c r="CH1433" s="4"/>
      <c r="CI1433" s="4"/>
      <c r="CJ1433" s="4"/>
      <c r="CK1433" s="4"/>
      <c r="CL1433" s="4"/>
      <c r="CM1433" s="4"/>
      <c r="CN1433" s="4"/>
      <c r="CO1433" s="4"/>
      <c r="CP1433" s="4"/>
      <c r="CQ1433" s="4"/>
      <c r="CR1433" s="4"/>
      <c r="CS1433" s="4"/>
      <c r="CT1433" s="4"/>
      <c r="CU1433" s="4"/>
      <c r="CV1433" s="4"/>
      <c r="CW1433" s="4"/>
      <c r="CX1433" s="4"/>
      <c r="CY1433" s="4"/>
      <c r="CZ1433" s="4"/>
      <c r="DA1433" s="4"/>
      <c r="DB1433" s="4"/>
      <c r="DC1433" s="4"/>
      <c r="DD1433" s="4"/>
      <c r="DE1433" s="4"/>
      <c r="DF1433" s="4"/>
      <c r="DG1433" s="4"/>
      <c r="DH1433" s="4"/>
      <c r="DI1433" s="4"/>
      <c r="DJ1433" s="4"/>
      <c r="DK1433" s="4"/>
      <c r="DL1433" s="4"/>
    </row>
    <row r="1434" spans="1:116" s="15" customFormat="1" x14ac:dyDescent="0.25">
      <c r="A1434" s="16"/>
      <c r="B1434" s="16"/>
      <c r="C1434" s="16"/>
      <c r="D1434" s="98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4"/>
      <c r="AJ1434" s="14"/>
      <c r="AK1434" s="14"/>
      <c r="AL1434" s="14"/>
      <c r="AM1434" s="14"/>
      <c r="AN1434" s="14"/>
      <c r="AO1434" s="14"/>
      <c r="AP1434" s="14"/>
      <c r="AQ1434" s="14"/>
      <c r="AR1434" s="14"/>
      <c r="AS1434" s="14"/>
      <c r="AT1434" s="14"/>
      <c r="AU1434" s="14"/>
      <c r="AV1434" s="14"/>
      <c r="AW1434" s="14"/>
      <c r="AX1434" s="14"/>
      <c r="AY1434" s="14"/>
      <c r="AZ1434" s="14"/>
      <c r="BA1434" s="14"/>
      <c r="BB1434" s="14"/>
      <c r="BC1434" s="14"/>
      <c r="BD1434" s="14"/>
      <c r="BE1434" s="14"/>
      <c r="BF1434" s="14"/>
      <c r="BG1434" s="14"/>
      <c r="BH1434" s="14"/>
      <c r="BI1434" s="14"/>
      <c r="BJ1434" s="14"/>
      <c r="BK1434" s="14"/>
      <c r="BL1434" s="14"/>
      <c r="BM1434" s="14"/>
      <c r="BN1434" s="14"/>
      <c r="BO1434" s="14"/>
      <c r="BP1434" s="14"/>
      <c r="BQ1434" s="14"/>
      <c r="BR1434" s="14"/>
      <c r="BS1434" s="14"/>
      <c r="BT1434" s="14"/>
      <c r="BU1434" s="14"/>
      <c r="BV1434" s="14"/>
      <c r="BW1434" s="14"/>
      <c r="BX1434" s="14"/>
      <c r="BY1434" s="14"/>
      <c r="BZ1434" s="14"/>
      <c r="CA1434" s="14"/>
      <c r="CB1434" s="14"/>
      <c r="CC1434" s="14"/>
      <c r="CD1434" s="14"/>
      <c r="CE1434" s="14"/>
      <c r="CF1434" s="14"/>
      <c r="CG1434" s="4"/>
      <c r="CH1434" s="4"/>
      <c r="CI1434" s="4"/>
      <c r="CJ1434" s="4"/>
      <c r="CK1434" s="4"/>
      <c r="CL1434" s="4"/>
      <c r="CM1434" s="4"/>
      <c r="CN1434" s="4"/>
      <c r="CO1434" s="4"/>
      <c r="CP1434" s="4"/>
      <c r="CQ1434" s="4"/>
      <c r="CR1434" s="4"/>
      <c r="CS1434" s="4"/>
      <c r="CT1434" s="4"/>
      <c r="CU1434" s="4"/>
      <c r="CV1434" s="4"/>
      <c r="CW1434" s="4"/>
      <c r="CX1434" s="4"/>
      <c r="CY1434" s="4"/>
      <c r="CZ1434" s="4"/>
      <c r="DA1434" s="4"/>
      <c r="DB1434" s="4"/>
      <c r="DC1434" s="4"/>
      <c r="DD1434" s="4"/>
      <c r="DE1434" s="4"/>
      <c r="DF1434" s="4"/>
      <c r="DG1434" s="4"/>
      <c r="DH1434" s="4"/>
      <c r="DI1434" s="4"/>
      <c r="DJ1434" s="4"/>
      <c r="DK1434" s="4"/>
      <c r="DL1434" s="4"/>
    </row>
    <row r="1435" spans="1:116" s="15" customFormat="1" x14ac:dyDescent="0.25">
      <c r="A1435" s="16"/>
      <c r="B1435" s="16"/>
      <c r="C1435" s="16"/>
      <c r="D1435" s="98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4"/>
      <c r="AJ1435" s="14"/>
      <c r="AK1435" s="14"/>
      <c r="AL1435" s="14"/>
      <c r="AM1435" s="14"/>
      <c r="AN1435" s="14"/>
      <c r="AO1435" s="14"/>
      <c r="AP1435" s="14"/>
      <c r="AQ1435" s="14"/>
      <c r="AR1435" s="14"/>
      <c r="AS1435" s="14"/>
      <c r="AT1435" s="14"/>
      <c r="AU1435" s="14"/>
      <c r="AV1435" s="14"/>
      <c r="AW1435" s="14"/>
      <c r="AX1435" s="14"/>
      <c r="AY1435" s="14"/>
      <c r="AZ1435" s="14"/>
      <c r="BA1435" s="14"/>
      <c r="BB1435" s="14"/>
      <c r="BC1435" s="14"/>
      <c r="BD1435" s="14"/>
      <c r="BE1435" s="14"/>
      <c r="BF1435" s="14"/>
      <c r="BG1435" s="14"/>
      <c r="BH1435" s="14"/>
      <c r="BI1435" s="14"/>
      <c r="BJ1435" s="14"/>
      <c r="BK1435" s="14"/>
      <c r="BL1435" s="14"/>
      <c r="BM1435" s="14"/>
      <c r="BN1435" s="14"/>
      <c r="BO1435" s="14"/>
      <c r="BP1435" s="14"/>
      <c r="BQ1435" s="14"/>
      <c r="BR1435" s="14"/>
      <c r="BS1435" s="14"/>
      <c r="BT1435" s="14"/>
      <c r="BU1435" s="14"/>
      <c r="BV1435" s="14"/>
      <c r="BW1435" s="14"/>
      <c r="BX1435" s="14"/>
      <c r="BY1435" s="14"/>
      <c r="BZ1435" s="14"/>
      <c r="CA1435" s="14"/>
      <c r="CB1435" s="14"/>
      <c r="CC1435" s="14"/>
      <c r="CD1435" s="14"/>
      <c r="CE1435" s="14"/>
      <c r="CF1435" s="14"/>
      <c r="CG1435" s="4"/>
      <c r="CH1435" s="4"/>
      <c r="CI1435" s="4"/>
      <c r="CJ1435" s="4"/>
      <c r="CK1435" s="4"/>
      <c r="CL1435" s="4"/>
      <c r="CM1435" s="4"/>
      <c r="CN1435" s="4"/>
      <c r="CO1435" s="4"/>
      <c r="CP1435" s="4"/>
      <c r="CQ1435" s="4"/>
      <c r="CR1435" s="4"/>
      <c r="CS1435" s="4"/>
      <c r="CT1435" s="4"/>
      <c r="CU1435" s="4"/>
      <c r="CV1435" s="4"/>
      <c r="CW1435" s="4"/>
      <c r="CX1435" s="4"/>
      <c r="CY1435" s="4"/>
      <c r="CZ1435" s="4"/>
      <c r="DA1435" s="4"/>
      <c r="DB1435" s="4"/>
      <c r="DC1435" s="4"/>
      <c r="DD1435" s="4"/>
      <c r="DE1435" s="4"/>
      <c r="DF1435" s="4"/>
      <c r="DG1435" s="4"/>
      <c r="DH1435" s="4"/>
      <c r="DI1435" s="4"/>
      <c r="DJ1435" s="4"/>
      <c r="DK1435" s="4"/>
      <c r="DL1435" s="4"/>
    </row>
    <row r="1436" spans="1:116" s="15" customFormat="1" x14ac:dyDescent="0.25">
      <c r="A1436" s="16"/>
      <c r="B1436" s="16"/>
      <c r="C1436" s="16"/>
      <c r="D1436" s="98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4"/>
      <c r="AJ1436" s="14"/>
      <c r="AK1436" s="14"/>
      <c r="AL1436" s="14"/>
      <c r="AM1436" s="14"/>
      <c r="AN1436" s="14"/>
      <c r="AO1436" s="14"/>
      <c r="AP1436" s="14"/>
      <c r="AQ1436" s="14"/>
      <c r="AR1436" s="14"/>
      <c r="AS1436" s="14"/>
      <c r="AT1436" s="14"/>
      <c r="AU1436" s="14"/>
      <c r="AV1436" s="14"/>
      <c r="AW1436" s="14"/>
      <c r="AX1436" s="14"/>
      <c r="AY1436" s="14"/>
      <c r="AZ1436" s="14"/>
      <c r="BA1436" s="14"/>
      <c r="BB1436" s="14"/>
      <c r="BC1436" s="14"/>
      <c r="BD1436" s="14"/>
      <c r="BE1436" s="14"/>
      <c r="BF1436" s="14"/>
      <c r="BG1436" s="14"/>
      <c r="BH1436" s="14"/>
      <c r="BI1436" s="14"/>
      <c r="BJ1436" s="14"/>
      <c r="BK1436" s="14"/>
      <c r="BL1436" s="14"/>
      <c r="BM1436" s="14"/>
      <c r="BN1436" s="14"/>
      <c r="BO1436" s="14"/>
      <c r="BP1436" s="14"/>
      <c r="BQ1436" s="14"/>
      <c r="BR1436" s="14"/>
      <c r="BS1436" s="14"/>
      <c r="BT1436" s="14"/>
      <c r="BU1436" s="14"/>
      <c r="BV1436" s="14"/>
      <c r="BW1436" s="14"/>
      <c r="BX1436" s="14"/>
      <c r="BY1436" s="14"/>
      <c r="BZ1436" s="14"/>
      <c r="CA1436" s="14"/>
      <c r="CB1436" s="14"/>
      <c r="CC1436" s="14"/>
      <c r="CD1436" s="14"/>
      <c r="CE1436" s="14"/>
      <c r="CF1436" s="14"/>
      <c r="CG1436" s="4"/>
      <c r="CH1436" s="4"/>
      <c r="CI1436" s="4"/>
      <c r="CJ1436" s="4"/>
      <c r="CK1436" s="4"/>
      <c r="CL1436" s="4"/>
      <c r="CM1436" s="4"/>
      <c r="CN1436" s="4"/>
      <c r="CO1436" s="4"/>
      <c r="CP1436" s="4"/>
      <c r="CQ1436" s="4"/>
      <c r="CR1436" s="4"/>
      <c r="CS1436" s="4"/>
      <c r="CT1436" s="4"/>
      <c r="CU1436" s="4"/>
      <c r="CV1436" s="4"/>
      <c r="CW1436" s="4"/>
      <c r="CX1436" s="4"/>
      <c r="CY1436" s="4"/>
      <c r="CZ1436" s="4"/>
      <c r="DA1436" s="4"/>
      <c r="DB1436" s="4"/>
      <c r="DC1436" s="4"/>
      <c r="DD1436" s="4"/>
      <c r="DE1436" s="4"/>
      <c r="DF1436" s="4"/>
      <c r="DG1436" s="4"/>
      <c r="DH1436" s="4"/>
      <c r="DI1436" s="4"/>
      <c r="DJ1436" s="4"/>
      <c r="DK1436" s="4"/>
      <c r="DL1436" s="4"/>
    </row>
    <row r="1437" spans="1:116" s="15" customFormat="1" x14ac:dyDescent="0.25">
      <c r="A1437" s="16"/>
      <c r="B1437" s="16"/>
      <c r="C1437" s="16"/>
      <c r="D1437" s="98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  <c r="AB1437" s="14"/>
      <c r="AC1437" s="14"/>
      <c r="AD1437" s="14"/>
      <c r="AE1437" s="14"/>
      <c r="AF1437" s="14"/>
      <c r="AG1437" s="14"/>
      <c r="AH1437" s="14"/>
      <c r="AI1437" s="14"/>
      <c r="AJ1437" s="14"/>
      <c r="AK1437" s="14"/>
      <c r="AL1437" s="14"/>
      <c r="AM1437" s="14"/>
      <c r="AN1437" s="14"/>
      <c r="AO1437" s="14"/>
      <c r="AP1437" s="14"/>
      <c r="AQ1437" s="14"/>
      <c r="AR1437" s="14"/>
      <c r="AS1437" s="14"/>
      <c r="AT1437" s="14"/>
      <c r="AU1437" s="14"/>
      <c r="AV1437" s="14"/>
      <c r="AW1437" s="14"/>
      <c r="AX1437" s="14"/>
      <c r="AY1437" s="14"/>
      <c r="AZ1437" s="14"/>
      <c r="BA1437" s="14"/>
      <c r="BB1437" s="14"/>
      <c r="BC1437" s="14"/>
      <c r="BD1437" s="14"/>
      <c r="BE1437" s="14"/>
      <c r="BF1437" s="14"/>
      <c r="BG1437" s="14"/>
      <c r="BH1437" s="14"/>
      <c r="BI1437" s="14"/>
      <c r="BJ1437" s="14"/>
      <c r="BK1437" s="14"/>
      <c r="BL1437" s="14"/>
      <c r="BM1437" s="14"/>
      <c r="BN1437" s="14"/>
      <c r="BO1437" s="14"/>
      <c r="BP1437" s="14"/>
      <c r="BQ1437" s="14"/>
      <c r="BR1437" s="14"/>
      <c r="BS1437" s="14"/>
      <c r="BT1437" s="14"/>
      <c r="BU1437" s="14"/>
      <c r="BV1437" s="14"/>
      <c r="BW1437" s="14"/>
      <c r="BX1437" s="14"/>
      <c r="BY1437" s="14"/>
      <c r="BZ1437" s="14"/>
      <c r="CA1437" s="14"/>
      <c r="CB1437" s="14"/>
      <c r="CC1437" s="14"/>
      <c r="CD1437" s="14"/>
      <c r="CE1437" s="14"/>
      <c r="CF1437" s="14"/>
      <c r="CG1437" s="4"/>
      <c r="CH1437" s="4"/>
      <c r="CI1437" s="4"/>
      <c r="CJ1437" s="4"/>
      <c r="CK1437" s="4"/>
      <c r="CL1437" s="4"/>
      <c r="CM1437" s="4"/>
      <c r="CN1437" s="4"/>
      <c r="CO1437" s="4"/>
      <c r="CP1437" s="4"/>
      <c r="CQ1437" s="4"/>
      <c r="CR1437" s="4"/>
      <c r="CS1437" s="4"/>
      <c r="CT1437" s="4"/>
      <c r="CU1437" s="4"/>
      <c r="CV1437" s="4"/>
      <c r="CW1437" s="4"/>
      <c r="CX1437" s="4"/>
      <c r="CY1437" s="4"/>
      <c r="CZ1437" s="4"/>
      <c r="DA1437" s="4"/>
      <c r="DB1437" s="4"/>
      <c r="DC1437" s="4"/>
      <c r="DD1437" s="4"/>
      <c r="DE1437" s="4"/>
      <c r="DF1437" s="4"/>
      <c r="DG1437" s="4"/>
      <c r="DH1437" s="4"/>
      <c r="DI1437" s="4"/>
      <c r="DJ1437" s="4"/>
      <c r="DK1437" s="4"/>
      <c r="DL1437" s="4"/>
    </row>
    <row r="1438" spans="1:116" s="15" customFormat="1" x14ac:dyDescent="0.25">
      <c r="A1438" s="16"/>
      <c r="B1438" s="16"/>
      <c r="C1438" s="16"/>
      <c r="D1438" s="98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4"/>
      <c r="AJ1438" s="14"/>
      <c r="AK1438" s="14"/>
      <c r="AL1438" s="14"/>
      <c r="AM1438" s="14"/>
      <c r="AN1438" s="14"/>
      <c r="AO1438" s="14"/>
      <c r="AP1438" s="14"/>
      <c r="AQ1438" s="14"/>
      <c r="AR1438" s="14"/>
      <c r="AS1438" s="14"/>
      <c r="AT1438" s="14"/>
      <c r="AU1438" s="14"/>
      <c r="AV1438" s="14"/>
      <c r="AW1438" s="14"/>
      <c r="AX1438" s="14"/>
      <c r="AY1438" s="14"/>
      <c r="AZ1438" s="14"/>
      <c r="BA1438" s="14"/>
      <c r="BB1438" s="14"/>
      <c r="BC1438" s="14"/>
      <c r="BD1438" s="14"/>
      <c r="BE1438" s="14"/>
      <c r="BF1438" s="14"/>
      <c r="BG1438" s="14"/>
      <c r="BH1438" s="14"/>
      <c r="BI1438" s="14"/>
      <c r="BJ1438" s="14"/>
      <c r="BK1438" s="14"/>
      <c r="BL1438" s="14"/>
      <c r="BM1438" s="14"/>
      <c r="BN1438" s="14"/>
      <c r="BO1438" s="14"/>
      <c r="BP1438" s="14"/>
      <c r="BQ1438" s="14"/>
      <c r="BR1438" s="14"/>
      <c r="BS1438" s="14"/>
      <c r="BT1438" s="14"/>
      <c r="BU1438" s="14"/>
      <c r="BV1438" s="14"/>
      <c r="BW1438" s="14"/>
      <c r="BX1438" s="14"/>
      <c r="BY1438" s="14"/>
      <c r="BZ1438" s="14"/>
      <c r="CA1438" s="14"/>
      <c r="CB1438" s="14"/>
      <c r="CC1438" s="14"/>
      <c r="CD1438" s="14"/>
      <c r="CE1438" s="14"/>
      <c r="CF1438" s="14"/>
      <c r="CG1438" s="4"/>
      <c r="CH1438" s="4"/>
      <c r="CI1438" s="4"/>
      <c r="CJ1438" s="4"/>
      <c r="CK1438" s="4"/>
      <c r="CL1438" s="4"/>
      <c r="CM1438" s="4"/>
      <c r="CN1438" s="4"/>
      <c r="CO1438" s="4"/>
      <c r="CP1438" s="4"/>
      <c r="CQ1438" s="4"/>
      <c r="CR1438" s="4"/>
      <c r="CS1438" s="4"/>
      <c r="CT1438" s="4"/>
      <c r="CU1438" s="4"/>
      <c r="CV1438" s="4"/>
      <c r="CW1438" s="4"/>
      <c r="CX1438" s="4"/>
      <c r="CY1438" s="4"/>
      <c r="CZ1438" s="4"/>
      <c r="DA1438" s="4"/>
      <c r="DB1438" s="4"/>
      <c r="DC1438" s="4"/>
      <c r="DD1438" s="4"/>
      <c r="DE1438" s="4"/>
      <c r="DF1438" s="4"/>
      <c r="DG1438" s="4"/>
      <c r="DH1438" s="4"/>
      <c r="DI1438" s="4"/>
      <c r="DJ1438" s="4"/>
      <c r="DK1438" s="4"/>
      <c r="DL1438" s="4"/>
    </row>
    <row r="1439" spans="1:116" s="15" customFormat="1" x14ac:dyDescent="0.25">
      <c r="A1439" s="16"/>
      <c r="B1439" s="16"/>
      <c r="C1439" s="16"/>
      <c r="D1439" s="98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14"/>
      <c r="AP1439" s="14"/>
      <c r="AQ1439" s="14"/>
      <c r="AR1439" s="14"/>
      <c r="AS1439" s="14"/>
      <c r="AT1439" s="14"/>
      <c r="AU1439" s="14"/>
      <c r="AV1439" s="14"/>
      <c r="AW1439" s="14"/>
      <c r="AX1439" s="14"/>
      <c r="AY1439" s="14"/>
      <c r="AZ1439" s="14"/>
      <c r="BA1439" s="14"/>
      <c r="BB1439" s="14"/>
      <c r="BC1439" s="14"/>
      <c r="BD1439" s="14"/>
      <c r="BE1439" s="14"/>
      <c r="BF1439" s="14"/>
      <c r="BG1439" s="14"/>
      <c r="BH1439" s="14"/>
      <c r="BI1439" s="14"/>
      <c r="BJ1439" s="14"/>
      <c r="BK1439" s="14"/>
      <c r="BL1439" s="14"/>
      <c r="BM1439" s="14"/>
      <c r="BN1439" s="14"/>
      <c r="BO1439" s="14"/>
      <c r="BP1439" s="14"/>
      <c r="BQ1439" s="14"/>
      <c r="BR1439" s="14"/>
      <c r="BS1439" s="14"/>
      <c r="BT1439" s="14"/>
      <c r="BU1439" s="14"/>
      <c r="BV1439" s="14"/>
      <c r="BW1439" s="14"/>
      <c r="BX1439" s="14"/>
      <c r="BY1439" s="14"/>
      <c r="BZ1439" s="14"/>
      <c r="CA1439" s="14"/>
      <c r="CB1439" s="14"/>
      <c r="CC1439" s="14"/>
      <c r="CD1439" s="14"/>
      <c r="CE1439" s="14"/>
      <c r="CF1439" s="14"/>
      <c r="CG1439" s="4"/>
      <c r="CH1439" s="4"/>
      <c r="CI1439" s="4"/>
      <c r="CJ1439" s="4"/>
      <c r="CK1439" s="4"/>
      <c r="CL1439" s="4"/>
      <c r="CM1439" s="4"/>
      <c r="CN1439" s="4"/>
      <c r="CO1439" s="4"/>
      <c r="CP1439" s="4"/>
      <c r="CQ1439" s="4"/>
      <c r="CR1439" s="4"/>
      <c r="CS1439" s="4"/>
      <c r="CT1439" s="4"/>
      <c r="CU1439" s="4"/>
      <c r="CV1439" s="4"/>
      <c r="CW1439" s="4"/>
      <c r="CX1439" s="4"/>
      <c r="CY1439" s="4"/>
      <c r="CZ1439" s="4"/>
      <c r="DA1439" s="4"/>
      <c r="DB1439" s="4"/>
      <c r="DC1439" s="4"/>
      <c r="DD1439" s="4"/>
      <c r="DE1439" s="4"/>
      <c r="DF1439" s="4"/>
      <c r="DG1439" s="4"/>
      <c r="DH1439" s="4"/>
      <c r="DI1439" s="4"/>
      <c r="DJ1439" s="4"/>
      <c r="DK1439" s="4"/>
      <c r="DL1439" s="4"/>
    </row>
    <row r="1440" spans="1:116" s="15" customFormat="1" x14ac:dyDescent="0.25">
      <c r="A1440" s="16"/>
      <c r="B1440" s="16"/>
      <c r="C1440" s="16"/>
      <c r="D1440" s="98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14"/>
      <c r="AP1440" s="14"/>
      <c r="AQ1440" s="14"/>
      <c r="AR1440" s="14"/>
      <c r="AS1440" s="14"/>
      <c r="AT1440" s="14"/>
      <c r="AU1440" s="14"/>
      <c r="AV1440" s="14"/>
      <c r="AW1440" s="14"/>
      <c r="AX1440" s="14"/>
      <c r="AY1440" s="14"/>
      <c r="AZ1440" s="14"/>
      <c r="BA1440" s="14"/>
      <c r="BB1440" s="14"/>
      <c r="BC1440" s="14"/>
      <c r="BD1440" s="14"/>
      <c r="BE1440" s="14"/>
      <c r="BF1440" s="14"/>
      <c r="BG1440" s="14"/>
      <c r="BH1440" s="14"/>
      <c r="BI1440" s="14"/>
      <c r="BJ1440" s="14"/>
      <c r="BK1440" s="14"/>
      <c r="BL1440" s="14"/>
      <c r="BM1440" s="14"/>
      <c r="BN1440" s="14"/>
      <c r="BO1440" s="14"/>
      <c r="BP1440" s="14"/>
      <c r="BQ1440" s="14"/>
      <c r="BR1440" s="14"/>
      <c r="BS1440" s="14"/>
      <c r="BT1440" s="14"/>
      <c r="BU1440" s="14"/>
      <c r="BV1440" s="14"/>
      <c r="BW1440" s="14"/>
      <c r="BX1440" s="14"/>
      <c r="BY1440" s="14"/>
      <c r="BZ1440" s="14"/>
      <c r="CA1440" s="14"/>
      <c r="CB1440" s="14"/>
      <c r="CC1440" s="14"/>
      <c r="CD1440" s="14"/>
      <c r="CE1440" s="14"/>
      <c r="CF1440" s="14"/>
      <c r="CG1440" s="4"/>
      <c r="CH1440" s="4"/>
      <c r="CI1440" s="4"/>
      <c r="CJ1440" s="4"/>
      <c r="CK1440" s="4"/>
      <c r="CL1440" s="4"/>
      <c r="CM1440" s="4"/>
      <c r="CN1440" s="4"/>
      <c r="CO1440" s="4"/>
      <c r="CP1440" s="4"/>
      <c r="CQ1440" s="4"/>
      <c r="CR1440" s="4"/>
      <c r="CS1440" s="4"/>
      <c r="CT1440" s="4"/>
      <c r="CU1440" s="4"/>
      <c r="CV1440" s="4"/>
      <c r="CW1440" s="4"/>
      <c r="CX1440" s="4"/>
      <c r="CY1440" s="4"/>
      <c r="CZ1440" s="4"/>
      <c r="DA1440" s="4"/>
      <c r="DB1440" s="4"/>
      <c r="DC1440" s="4"/>
      <c r="DD1440" s="4"/>
      <c r="DE1440" s="4"/>
      <c r="DF1440" s="4"/>
      <c r="DG1440" s="4"/>
      <c r="DH1440" s="4"/>
      <c r="DI1440" s="4"/>
      <c r="DJ1440" s="4"/>
      <c r="DK1440" s="4"/>
      <c r="DL1440" s="4"/>
    </row>
    <row r="1441" spans="1:116" s="15" customFormat="1" x14ac:dyDescent="0.25">
      <c r="A1441" s="16"/>
      <c r="B1441" s="16"/>
      <c r="C1441" s="16"/>
      <c r="D1441" s="98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  <c r="AB1441" s="14"/>
      <c r="AC1441" s="14"/>
      <c r="AD1441" s="14"/>
      <c r="AE1441" s="14"/>
      <c r="AF1441" s="14"/>
      <c r="AG1441" s="14"/>
      <c r="AH1441" s="14"/>
      <c r="AI1441" s="14"/>
      <c r="AJ1441" s="14"/>
      <c r="AK1441" s="14"/>
      <c r="AL1441" s="14"/>
      <c r="AM1441" s="14"/>
      <c r="AN1441" s="14"/>
      <c r="AO1441" s="14"/>
      <c r="AP1441" s="14"/>
      <c r="AQ1441" s="14"/>
      <c r="AR1441" s="14"/>
      <c r="AS1441" s="14"/>
      <c r="AT1441" s="14"/>
      <c r="AU1441" s="14"/>
      <c r="AV1441" s="14"/>
      <c r="AW1441" s="14"/>
      <c r="AX1441" s="14"/>
      <c r="AY1441" s="14"/>
      <c r="AZ1441" s="14"/>
      <c r="BA1441" s="14"/>
      <c r="BB1441" s="14"/>
      <c r="BC1441" s="14"/>
      <c r="BD1441" s="14"/>
      <c r="BE1441" s="14"/>
      <c r="BF1441" s="14"/>
      <c r="BG1441" s="14"/>
      <c r="BH1441" s="14"/>
      <c r="BI1441" s="14"/>
      <c r="BJ1441" s="14"/>
      <c r="BK1441" s="14"/>
      <c r="BL1441" s="14"/>
      <c r="BM1441" s="14"/>
      <c r="BN1441" s="14"/>
      <c r="BO1441" s="14"/>
      <c r="BP1441" s="14"/>
      <c r="BQ1441" s="14"/>
      <c r="BR1441" s="14"/>
      <c r="BS1441" s="14"/>
      <c r="BT1441" s="14"/>
      <c r="BU1441" s="14"/>
      <c r="BV1441" s="14"/>
      <c r="BW1441" s="14"/>
      <c r="BX1441" s="14"/>
      <c r="BY1441" s="14"/>
      <c r="BZ1441" s="14"/>
      <c r="CA1441" s="14"/>
      <c r="CB1441" s="14"/>
      <c r="CC1441" s="14"/>
      <c r="CD1441" s="14"/>
      <c r="CE1441" s="14"/>
      <c r="CF1441" s="14"/>
      <c r="CG1441" s="4"/>
      <c r="CH1441" s="4"/>
      <c r="CI1441" s="4"/>
      <c r="CJ1441" s="4"/>
      <c r="CK1441" s="4"/>
      <c r="CL1441" s="4"/>
      <c r="CM1441" s="4"/>
      <c r="CN1441" s="4"/>
      <c r="CO1441" s="4"/>
      <c r="CP1441" s="4"/>
      <c r="CQ1441" s="4"/>
      <c r="CR1441" s="4"/>
      <c r="CS1441" s="4"/>
      <c r="CT1441" s="4"/>
      <c r="CU1441" s="4"/>
      <c r="CV1441" s="4"/>
      <c r="CW1441" s="4"/>
      <c r="CX1441" s="4"/>
      <c r="CY1441" s="4"/>
      <c r="CZ1441" s="4"/>
      <c r="DA1441" s="4"/>
      <c r="DB1441" s="4"/>
      <c r="DC1441" s="4"/>
      <c r="DD1441" s="4"/>
      <c r="DE1441" s="4"/>
      <c r="DF1441" s="4"/>
      <c r="DG1441" s="4"/>
      <c r="DH1441" s="4"/>
      <c r="DI1441" s="4"/>
      <c r="DJ1441" s="4"/>
      <c r="DK1441" s="4"/>
      <c r="DL1441" s="4"/>
    </row>
    <row r="1442" spans="1:116" s="15" customFormat="1" x14ac:dyDescent="0.25">
      <c r="A1442" s="16"/>
      <c r="B1442" s="16"/>
      <c r="C1442" s="16"/>
      <c r="D1442" s="98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4"/>
      <c r="AJ1442" s="14"/>
      <c r="AK1442" s="14"/>
      <c r="AL1442" s="14"/>
      <c r="AM1442" s="14"/>
      <c r="AN1442" s="14"/>
      <c r="AO1442" s="14"/>
      <c r="AP1442" s="14"/>
      <c r="AQ1442" s="14"/>
      <c r="AR1442" s="14"/>
      <c r="AS1442" s="14"/>
      <c r="AT1442" s="14"/>
      <c r="AU1442" s="14"/>
      <c r="AV1442" s="14"/>
      <c r="AW1442" s="14"/>
      <c r="AX1442" s="14"/>
      <c r="AY1442" s="14"/>
      <c r="AZ1442" s="14"/>
      <c r="BA1442" s="14"/>
      <c r="BB1442" s="14"/>
      <c r="BC1442" s="14"/>
      <c r="BD1442" s="14"/>
      <c r="BE1442" s="14"/>
      <c r="BF1442" s="14"/>
      <c r="BG1442" s="14"/>
      <c r="BH1442" s="14"/>
      <c r="BI1442" s="14"/>
      <c r="BJ1442" s="14"/>
      <c r="BK1442" s="14"/>
      <c r="BL1442" s="14"/>
      <c r="BM1442" s="14"/>
      <c r="BN1442" s="14"/>
      <c r="BO1442" s="14"/>
      <c r="BP1442" s="14"/>
      <c r="BQ1442" s="14"/>
      <c r="BR1442" s="14"/>
      <c r="BS1442" s="14"/>
      <c r="BT1442" s="14"/>
      <c r="BU1442" s="14"/>
      <c r="BV1442" s="14"/>
      <c r="BW1442" s="14"/>
      <c r="BX1442" s="14"/>
      <c r="BY1442" s="14"/>
      <c r="BZ1442" s="14"/>
      <c r="CA1442" s="14"/>
      <c r="CB1442" s="14"/>
      <c r="CC1442" s="14"/>
      <c r="CD1442" s="14"/>
      <c r="CE1442" s="14"/>
      <c r="CF1442" s="14"/>
      <c r="CG1442" s="4"/>
      <c r="CH1442" s="4"/>
      <c r="CI1442" s="4"/>
      <c r="CJ1442" s="4"/>
      <c r="CK1442" s="4"/>
      <c r="CL1442" s="4"/>
      <c r="CM1442" s="4"/>
      <c r="CN1442" s="4"/>
      <c r="CO1442" s="4"/>
      <c r="CP1442" s="4"/>
      <c r="CQ1442" s="4"/>
      <c r="CR1442" s="4"/>
      <c r="CS1442" s="4"/>
      <c r="CT1442" s="4"/>
      <c r="CU1442" s="4"/>
      <c r="CV1442" s="4"/>
      <c r="CW1442" s="4"/>
      <c r="CX1442" s="4"/>
      <c r="CY1442" s="4"/>
      <c r="CZ1442" s="4"/>
      <c r="DA1442" s="4"/>
      <c r="DB1442" s="4"/>
      <c r="DC1442" s="4"/>
      <c r="DD1442" s="4"/>
      <c r="DE1442" s="4"/>
      <c r="DF1442" s="4"/>
      <c r="DG1442" s="4"/>
      <c r="DH1442" s="4"/>
      <c r="DI1442" s="4"/>
      <c r="DJ1442" s="4"/>
      <c r="DK1442" s="4"/>
      <c r="DL1442" s="4"/>
    </row>
    <row r="1443" spans="1:116" s="15" customFormat="1" x14ac:dyDescent="0.25">
      <c r="A1443" s="16"/>
      <c r="B1443" s="16"/>
      <c r="C1443" s="16"/>
      <c r="D1443" s="98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4"/>
      <c r="AJ1443" s="14"/>
      <c r="AK1443" s="14"/>
      <c r="AL1443" s="14"/>
      <c r="AM1443" s="14"/>
      <c r="AN1443" s="14"/>
      <c r="AO1443" s="14"/>
      <c r="AP1443" s="14"/>
      <c r="AQ1443" s="14"/>
      <c r="AR1443" s="14"/>
      <c r="AS1443" s="14"/>
      <c r="AT1443" s="14"/>
      <c r="AU1443" s="14"/>
      <c r="AV1443" s="14"/>
      <c r="AW1443" s="14"/>
      <c r="AX1443" s="14"/>
      <c r="AY1443" s="14"/>
      <c r="AZ1443" s="14"/>
      <c r="BA1443" s="14"/>
      <c r="BB1443" s="14"/>
      <c r="BC1443" s="14"/>
      <c r="BD1443" s="14"/>
      <c r="BE1443" s="14"/>
      <c r="BF1443" s="14"/>
      <c r="BG1443" s="14"/>
      <c r="BH1443" s="14"/>
      <c r="BI1443" s="14"/>
      <c r="BJ1443" s="14"/>
      <c r="BK1443" s="14"/>
      <c r="BL1443" s="14"/>
      <c r="BM1443" s="14"/>
      <c r="BN1443" s="14"/>
      <c r="BO1443" s="14"/>
      <c r="BP1443" s="14"/>
      <c r="BQ1443" s="14"/>
      <c r="BR1443" s="14"/>
      <c r="BS1443" s="14"/>
      <c r="BT1443" s="14"/>
      <c r="BU1443" s="14"/>
      <c r="BV1443" s="14"/>
      <c r="BW1443" s="14"/>
      <c r="BX1443" s="14"/>
      <c r="BY1443" s="14"/>
      <c r="BZ1443" s="14"/>
      <c r="CA1443" s="14"/>
      <c r="CB1443" s="14"/>
      <c r="CC1443" s="14"/>
      <c r="CD1443" s="14"/>
      <c r="CE1443" s="14"/>
      <c r="CF1443" s="14"/>
      <c r="CG1443" s="4"/>
      <c r="CH1443" s="4"/>
      <c r="CI1443" s="4"/>
      <c r="CJ1443" s="4"/>
      <c r="CK1443" s="4"/>
      <c r="CL1443" s="4"/>
      <c r="CM1443" s="4"/>
      <c r="CN1443" s="4"/>
      <c r="CO1443" s="4"/>
      <c r="CP1443" s="4"/>
      <c r="CQ1443" s="4"/>
      <c r="CR1443" s="4"/>
      <c r="CS1443" s="4"/>
      <c r="CT1443" s="4"/>
      <c r="CU1443" s="4"/>
      <c r="CV1443" s="4"/>
      <c r="CW1443" s="4"/>
      <c r="CX1443" s="4"/>
      <c r="CY1443" s="4"/>
      <c r="CZ1443" s="4"/>
      <c r="DA1443" s="4"/>
      <c r="DB1443" s="4"/>
      <c r="DC1443" s="4"/>
      <c r="DD1443" s="4"/>
      <c r="DE1443" s="4"/>
      <c r="DF1443" s="4"/>
      <c r="DG1443" s="4"/>
      <c r="DH1443" s="4"/>
      <c r="DI1443" s="4"/>
      <c r="DJ1443" s="4"/>
      <c r="DK1443" s="4"/>
      <c r="DL1443" s="4"/>
    </row>
    <row r="1444" spans="1:116" s="15" customFormat="1" x14ac:dyDescent="0.25">
      <c r="A1444" s="16"/>
      <c r="B1444" s="16"/>
      <c r="C1444" s="16"/>
      <c r="D1444" s="98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4"/>
      <c r="AJ1444" s="14"/>
      <c r="AK1444" s="14"/>
      <c r="AL1444" s="14"/>
      <c r="AM1444" s="14"/>
      <c r="AN1444" s="14"/>
      <c r="AO1444" s="14"/>
      <c r="AP1444" s="14"/>
      <c r="AQ1444" s="14"/>
      <c r="AR1444" s="14"/>
      <c r="AS1444" s="14"/>
      <c r="AT1444" s="14"/>
      <c r="AU1444" s="14"/>
      <c r="AV1444" s="14"/>
      <c r="AW1444" s="14"/>
      <c r="AX1444" s="14"/>
      <c r="AY1444" s="14"/>
      <c r="AZ1444" s="14"/>
      <c r="BA1444" s="14"/>
      <c r="BB1444" s="14"/>
      <c r="BC1444" s="14"/>
      <c r="BD1444" s="14"/>
      <c r="BE1444" s="14"/>
      <c r="BF1444" s="14"/>
      <c r="BG1444" s="14"/>
      <c r="BH1444" s="14"/>
      <c r="BI1444" s="14"/>
      <c r="BJ1444" s="14"/>
      <c r="BK1444" s="14"/>
      <c r="BL1444" s="14"/>
      <c r="BM1444" s="14"/>
      <c r="BN1444" s="14"/>
      <c r="BO1444" s="14"/>
      <c r="BP1444" s="14"/>
      <c r="BQ1444" s="14"/>
      <c r="BR1444" s="14"/>
      <c r="BS1444" s="14"/>
      <c r="BT1444" s="14"/>
      <c r="BU1444" s="14"/>
      <c r="BV1444" s="14"/>
      <c r="BW1444" s="14"/>
      <c r="BX1444" s="14"/>
      <c r="BY1444" s="14"/>
      <c r="BZ1444" s="14"/>
      <c r="CA1444" s="14"/>
      <c r="CB1444" s="14"/>
      <c r="CC1444" s="14"/>
      <c r="CD1444" s="14"/>
      <c r="CE1444" s="14"/>
      <c r="CF1444" s="14"/>
      <c r="CG1444" s="4"/>
      <c r="CH1444" s="4"/>
      <c r="CI1444" s="4"/>
      <c r="CJ1444" s="4"/>
      <c r="CK1444" s="4"/>
      <c r="CL1444" s="4"/>
      <c r="CM1444" s="4"/>
      <c r="CN1444" s="4"/>
      <c r="CO1444" s="4"/>
      <c r="CP1444" s="4"/>
      <c r="CQ1444" s="4"/>
      <c r="CR1444" s="4"/>
      <c r="CS1444" s="4"/>
      <c r="CT1444" s="4"/>
      <c r="CU1444" s="4"/>
      <c r="CV1444" s="4"/>
      <c r="CW1444" s="4"/>
      <c r="CX1444" s="4"/>
      <c r="CY1444" s="4"/>
      <c r="CZ1444" s="4"/>
      <c r="DA1444" s="4"/>
      <c r="DB1444" s="4"/>
      <c r="DC1444" s="4"/>
      <c r="DD1444" s="4"/>
      <c r="DE1444" s="4"/>
      <c r="DF1444" s="4"/>
      <c r="DG1444" s="4"/>
      <c r="DH1444" s="4"/>
      <c r="DI1444" s="4"/>
      <c r="DJ1444" s="4"/>
      <c r="DK1444" s="4"/>
      <c r="DL1444" s="4"/>
    </row>
    <row r="1445" spans="1:116" s="15" customFormat="1" x14ac:dyDescent="0.25">
      <c r="A1445" s="16"/>
      <c r="B1445" s="16"/>
      <c r="C1445" s="16"/>
      <c r="D1445" s="98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4"/>
      <c r="AJ1445" s="14"/>
      <c r="AK1445" s="14"/>
      <c r="AL1445" s="14"/>
      <c r="AM1445" s="14"/>
      <c r="AN1445" s="14"/>
      <c r="AO1445" s="14"/>
      <c r="AP1445" s="14"/>
      <c r="AQ1445" s="14"/>
      <c r="AR1445" s="14"/>
      <c r="AS1445" s="14"/>
      <c r="AT1445" s="14"/>
      <c r="AU1445" s="14"/>
      <c r="AV1445" s="14"/>
      <c r="AW1445" s="14"/>
      <c r="AX1445" s="14"/>
      <c r="AY1445" s="14"/>
      <c r="AZ1445" s="14"/>
      <c r="BA1445" s="14"/>
      <c r="BB1445" s="14"/>
      <c r="BC1445" s="14"/>
      <c r="BD1445" s="14"/>
      <c r="BE1445" s="14"/>
      <c r="BF1445" s="14"/>
      <c r="BG1445" s="14"/>
      <c r="BH1445" s="14"/>
      <c r="BI1445" s="14"/>
      <c r="BJ1445" s="14"/>
      <c r="BK1445" s="14"/>
      <c r="BL1445" s="14"/>
      <c r="BM1445" s="14"/>
      <c r="BN1445" s="14"/>
      <c r="BO1445" s="14"/>
      <c r="BP1445" s="14"/>
      <c r="BQ1445" s="14"/>
      <c r="BR1445" s="14"/>
      <c r="BS1445" s="14"/>
      <c r="BT1445" s="14"/>
      <c r="BU1445" s="14"/>
      <c r="BV1445" s="14"/>
      <c r="BW1445" s="14"/>
      <c r="BX1445" s="14"/>
      <c r="BY1445" s="14"/>
      <c r="BZ1445" s="14"/>
      <c r="CA1445" s="14"/>
      <c r="CB1445" s="14"/>
      <c r="CC1445" s="14"/>
      <c r="CD1445" s="14"/>
      <c r="CE1445" s="14"/>
      <c r="CF1445" s="14"/>
      <c r="CG1445" s="4"/>
      <c r="CH1445" s="4"/>
      <c r="CI1445" s="4"/>
      <c r="CJ1445" s="4"/>
      <c r="CK1445" s="4"/>
      <c r="CL1445" s="4"/>
      <c r="CM1445" s="4"/>
      <c r="CN1445" s="4"/>
      <c r="CO1445" s="4"/>
      <c r="CP1445" s="4"/>
      <c r="CQ1445" s="4"/>
      <c r="CR1445" s="4"/>
      <c r="CS1445" s="4"/>
      <c r="CT1445" s="4"/>
      <c r="CU1445" s="4"/>
      <c r="CV1445" s="4"/>
      <c r="CW1445" s="4"/>
      <c r="CX1445" s="4"/>
      <c r="CY1445" s="4"/>
      <c r="CZ1445" s="4"/>
      <c r="DA1445" s="4"/>
      <c r="DB1445" s="4"/>
      <c r="DC1445" s="4"/>
      <c r="DD1445" s="4"/>
      <c r="DE1445" s="4"/>
      <c r="DF1445" s="4"/>
      <c r="DG1445" s="4"/>
      <c r="DH1445" s="4"/>
      <c r="DI1445" s="4"/>
      <c r="DJ1445" s="4"/>
      <c r="DK1445" s="4"/>
      <c r="DL1445" s="4"/>
    </row>
    <row r="1446" spans="1:116" s="15" customFormat="1" x14ac:dyDescent="0.25">
      <c r="A1446" s="16"/>
      <c r="B1446" s="16"/>
      <c r="C1446" s="16"/>
      <c r="D1446" s="98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4"/>
      <c r="AJ1446" s="14"/>
      <c r="AK1446" s="14"/>
      <c r="AL1446" s="14"/>
      <c r="AM1446" s="14"/>
      <c r="AN1446" s="14"/>
      <c r="AO1446" s="14"/>
      <c r="AP1446" s="14"/>
      <c r="AQ1446" s="14"/>
      <c r="AR1446" s="14"/>
      <c r="AS1446" s="14"/>
      <c r="AT1446" s="14"/>
      <c r="AU1446" s="14"/>
      <c r="AV1446" s="14"/>
      <c r="AW1446" s="14"/>
      <c r="AX1446" s="14"/>
      <c r="AY1446" s="14"/>
      <c r="AZ1446" s="14"/>
      <c r="BA1446" s="14"/>
      <c r="BB1446" s="14"/>
      <c r="BC1446" s="14"/>
      <c r="BD1446" s="14"/>
      <c r="BE1446" s="14"/>
      <c r="BF1446" s="14"/>
      <c r="BG1446" s="14"/>
      <c r="BH1446" s="14"/>
      <c r="BI1446" s="14"/>
      <c r="BJ1446" s="14"/>
      <c r="BK1446" s="14"/>
      <c r="BL1446" s="14"/>
      <c r="BM1446" s="14"/>
      <c r="BN1446" s="14"/>
      <c r="BO1446" s="14"/>
      <c r="BP1446" s="14"/>
      <c r="BQ1446" s="14"/>
      <c r="BR1446" s="14"/>
      <c r="BS1446" s="14"/>
      <c r="BT1446" s="14"/>
      <c r="BU1446" s="14"/>
      <c r="BV1446" s="14"/>
      <c r="BW1446" s="14"/>
      <c r="BX1446" s="14"/>
      <c r="BY1446" s="14"/>
      <c r="BZ1446" s="14"/>
      <c r="CA1446" s="14"/>
      <c r="CB1446" s="14"/>
      <c r="CC1446" s="14"/>
      <c r="CD1446" s="14"/>
      <c r="CE1446" s="14"/>
      <c r="CF1446" s="14"/>
      <c r="CG1446" s="4"/>
      <c r="CH1446" s="4"/>
      <c r="CI1446" s="4"/>
      <c r="CJ1446" s="4"/>
      <c r="CK1446" s="4"/>
      <c r="CL1446" s="4"/>
      <c r="CM1446" s="4"/>
      <c r="CN1446" s="4"/>
      <c r="CO1446" s="4"/>
      <c r="CP1446" s="4"/>
      <c r="CQ1446" s="4"/>
      <c r="CR1446" s="4"/>
      <c r="CS1446" s="4"/>
      <c r="CT1446" s="4"/>
      <c r="CU1446" s="4"/>
      <c r="CV1446" s="4"/>
      <c r="CW1446" s="4"/>
      <c r="CX1446" s="4"/>
      <c r="CY1446" s="4"/>
      <c r="CZ1446" s="4"/>
      <c r="DA1446" s="4"/>
      <c r="DB1446" s="4"/>
      <c r="DC1446" s="4"/>
      <c r="DD1446" s="4"/>
      <c r="DE1446" s="4"/>
      <c r="DF1446" s="4"/>
      <c r="DG1446" s="4"/>
      <c r="DH1446" s="4"/>
      <c r="DI1446" s="4"/>
      <c r="DJ1446" s="4"/>
      <c r="DK1446" s="4"/>
      <c r="DL1446" s="4"/>
    </row>
    <row r="1447" spans="1:116" s="15" customFormat="1" x14ac:dyDescent="0.25">
      <c r="A1447" s="16"/>
      <c r="B1447" s="16"/>
      <c r="C1447" s="16"/>
      <c r="D1447" s="98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4"/>
      <c r="AJ1447" s="14"/>
      <c r="AK1447" s="14"/>
      <c r="AL1447" s="14"/>
      <c r="AM1447" s="14"/>
      <c r="AN1447" s="14"/>
      <c r="AO1447" s="14"/>
      <c r="AP1447" s="14"/>
      <c r="AQ1447" s="14"/>
      <c r="AR1447" s="14"/>
      <c r="AS1447" s="14"/>
      <c r="AT1447" s="14"/>
      <c r="AU1447" s="14"/>
      <c r="AV1447" s="14"/>
      <c r="AW1447" s="14"/>
      <c r="AX1447" s="14"/>
      <c r="AY1447" s="14"/>
      <c r="AZ1447" s="14"/>
      <c r="BA1447" s="14"/>
      <c r="BB1447" s="14"/>
      <c r="BC1447" s="14"/>
      <c r="BD1447" s="14"/>
      <c r="BE1447" s="14"/>
      <c r="BF1447" s="14"/>
      <c r="BG1447" s="14"/>
      <c r="BH1447" s="14"/>
      <c r="BI1447" s="14"/>
      <c r="BJ1447" s="14"/>
      <c r="BK1447" s="14"/>
      <c r="BL1447" s="14"/>
      <c r="BM1447" s="14"/>
      <c r="BN1447" s="14"/>
      <c r="BO1447" s="14"/>
      <c r="BP1447" s="14"/>
      <c r="BQ1447" s="14"/>
      <c r="BR1447" s="14"/>
      <c r="BS1447" s="14"/>
      <c r="BT1447" s="14"/>
      <c r="BU1447" s="14"/>
      <c r="BV1447" s="14"/>
      <c r="BW1447" s="14"/>
      <c r="BX1447" s="14"/>
      <c r="BY1447" s="14"/>
      <c r="BZ1447" s="14"/>
      <c r="CA1447" s="14"/>
      <c r="CB1447" s="14"/>
      <c r="CC1447" s="14"/>
      <c r="CD1447" s="14"/>
      <c r="CE1447" s="14"/>
      <c r="CF1447" s="14"/>
      <c r="CG1447" s="4"/>
      <c r="CH1447" s="4"/>
      <c r="CI1447" s="4"/>
      <c r="CJ1447" s="4"/>
      <c r="CK1447" s="4"/>
      <c r="CL1447" s="4"/>
      <c r="CM1447" s="4"/>
      <c r="CN1447" s="4"/>
      <c r="CO1447" s="4"/>
      <c r="CP1447" s="4"/>
      <c r="CQ1447" s="4"/>
      <c r="CR1447" s="4"/>
      <c r="CS1447" s="4"/>
      <c r="CT1447" s="4"/>
      <c r="CU1447" s="4"/>
      <c r="CV1447" s="4"/>
      <c r="CW1447" s="4"/>
      <c r="CX1447" s="4"/>
      <c r="CY1447" s="4"/>
      <c r="CZ1447" s="4"/>
      <c r="DA1447" s="4"/>
      <c r="DB1447" s="4"/>
      <c r="DC1447" s="4"/>
      <c r="DD1447" s="4"/>
      <c r="DE1447" s="4"/>
      <c r="DF1447" s="4"/>
      <c r="DG1447" s="4"/>
      <c r="DH1447" s="4"/>
      <c r="DI1447" s="4"/>
      <c r="DJ1447" s="4"/>
      <c r="DK1447" s="4"/>
      <c r="DL1447" s="4"/>
    </row>
    <row r="1448" spans="1:116" s="15" customFormat="1" x14ac:dyDescent="0.25">
      <c r="A1448" s="16"/>
      <c r="B1448" s="16"/>
      <c r="C1448" s="16"/>
      <c r="D1448" s="98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4"/>
      <c r="AJ1448" s="14"/>
      <c r="AK1448" s="14"/>
      <c r="AL1448" s="14"/>
      <c r="AM1448" s="14"/>
      <c r="AN1448" s="14"/>
      <c r="AO1448" s="14"/>
      <c r="AP1448" s="14"/>
      <c r="AQ1448" s="14"/>
      <c r="AR1448" s="14"/>
      <c r="AS1448" s="14"/>
      <c r="AT1448" s="14"/>
      <c r="AU1448" s="14"/>
      <c r="AV1448" s="14"/>
      <c r="AW1448" s="14"/>
      <c r="AX1448" s="14"/>
      <c r="AY1448" s="14"/>
      <c r="AZ1448" s="14"/>
      <c r="BA1448" s="14"/>
      <c r="BB1448" s="14"/>
      <c r="BC1448" s="14"/>
      <c r="BD1448" s="14"/>
      <c r="BE1448" s="14"/>
      <c r="BF1448" s="14"/>
      <c r="BG1448" s="14"/>
      <c r="BH1448" s="14"/>
      <c r="BI1448" s="14"/>
      <c r="BJ1448" s="14"/>
      <c r="BK1448" s="14"/>
      <c r="BL1448" s="14"/>
      <c r="BM1448" s="14"/>
      <c r="BN1448" s="14"/>
      <c r="BO1448" s="14"/>
      <c r="BP1448" s="14"/>
      <c r="BQ1448" s="14"/>
      <c r="BR1448" s="14"/>
      <c r="BS1448" s="14"/>
      <c r="BT1448" s="14"/>
      <c r="BU1448" s="14"/>
      <c r="BV1448" s="14"/>
      <c r="BW1448" s="14"/>
      <c r="BX1448" s="14"/>
      <c r="BY1448" s="14"/>
      <c r="BZ1448" s="14"/>
      <c r="CA1448" s="14"/>
      <c r="CB1448" s="14"/>
      <c r="CC1448" s="14"/>
      <c r="CD1448" s="14"/>
      <c r="CE1448" s="14"/>
      <c r="CF1448" s="14"/>
      <c r="CG1448" s="4"/>
      <c r="CH1448" s="4"/>
      <c r="CI1448" s="4"/>
      <c r="CJ1448" s="4"/>
      <c r="CK1448" s="4"/>
      <c r="CL1448" s="4"/>
      <c r="CM1448" s="4"/>
      <c r="CN1448" s="4"/>
      <c r="CO1448" s="4"/>
      <c r="CP1448" s="4"/>
      <c r="CQ1448" s="4"/>
      <c r="CR1448" s="4"/>
      <c r="CS1448" s="4"/>
      <c r="CT1448" s="4"/>
      <c r="CU1448" s="4"/>
      <c r="CV1448" s="4"/>
      <c r="CW1448" s="4"/>
      <c r="CX1448" s="4"/>
      <c r="CY1448" s="4"/>
      <c r="CZ1448" s="4"/>
      <c r="DA1448" s="4"/>
      <c r="DB1448" s="4"/>
      <c r="DC1448" s="4"/>
      <c r="DD1448" s="4"/>
      <c r="DE1448" s="4"/>
      <c r="DF1448" s="4"/>
      <c r="DG1448" s="4"/>
      <c r="DH1448" s="4"/>
      <c r="DI1448" s="4"/>
      <c r="DJ1448" s="4"/>
      <c r="DK1448" s="4"/>
      <c r="DL1448" s="4"/>
    </row>
    <row r="1449" spans="1:116" s="15" customFormat="1" x14ac:dyDescent="0.25">
      <c r="A1449" s="16"/>
      <c r="B1449" s="16"/>
      <c r="C1449" s="16"/>
      <c r="D1449" s="98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4"/>
      <c r="AJ1449" s="14"/>
      <c r="AK1449" s="14"/>
      <c r="AL1449" s="14"/>
      <c r="AM1449" s="14"/>
      <c r="AN1449" s="14"/>
      <c r="AO1449" s="14"/>
      <c r="AP1449" s="14"/>
      <c r="AQ1449" s="14"/>
      <c r="AR1449" s="14"/>
      <c r="AS1449" s="14"/>
      <c r="AT1449" s="14"/>
      <c r="AU1449" s="14"/>
      <c r="AV1449" s="14"/>
      <c r="AW1449" s="14"/>
      <c r="AX1449" s="14"/>
      <c r="AY1449" s="14"/>
      <c r="AZ1449" s="14"/>
      <c r="BA1449" s="14"/>
      <c r="BB1449" s="14"/>
      <c r="BC1449" s="14"/>
      <c r="BD1449" s="14"/>
      <c r="BE1449" s="14"/>
      <c r="BF1449" s="14"/>
      <c r="BG1449" s="14"/>
      <c r="BH1449" s="14"/>
      <c r="BI1449" s="14"/>
      <c r="BJ1449" s="14"/>
      <c r="BK1449" s="14"/>
      <c r="BL1449" s="14"/>
      <c r="BM1449" s="14"/>
      <c r="BN1449" s="14"/>
      <c r="BO1449" s="14"/>
      <c r="BP1449" s="14"/>
      <c r="BQ1449" s="14"/>
      <c r="BR1449" s="14"/>
      <c r="BS1449" s="14"/>
      <c r="BT1449" s="14"/>
      <c r="BU1449" s="14"/>
      <c r="BV1449" s="14"/>
      <c r="BW1449" s="14"/>
      <c r="BX1449" s="14"/>
      <c r="BY1449" s="14"/>
      <c r="BZ1449" s="14"/>
      <c r="CA1449" s="14"/>
      <c r="CB1449" s="14"/>
      <c r="CC1449" s="14"/>
      <c r="CD1449" s="14"/>
      <c r="CE1449" s="14"/>
      <c r="CF1449" s="14"/>
      <c r="CG1449" s="4"/>
      <c r="CH1449" s="4"/>
      <c r="CI1449" s="4"/>
      <c r="CJ1449" s="4"/>
      <c r="CK1449" s="4"/>
      <c r="CL1449" s="4"/>
      <c r="CM1449" s="4"/>
      <c r="CN1449" s="4"/>
      <c r="CO1449" s="4"/>
      <c r="CP1449" s="4"/>
      <c r="CQ1449" s="4"/>
      <c r="CR1449" s="4"/>
      <c r="CS1449" s="4"/>
      <c r="CT1449" s="4"/>
      <c r="CU1449" s="4"/>
      <c r="CV1449" s="4"/>
      <c r="CW1449" s="4"/>
      <c r="CX1449" s="4"/>
      <c r="CY1449" s="4"/>
      <c r="CZ1449" s="4"/>
      <c r="DA1449" s="4"/>
      <c r="DB1449" s="4"/>
      <c r="DC1449" s="4"/>
      <c r="DD1449" s="4"/>
      <c r="DE1449" s="4"/>
      <c r="DF1449" s="4"/>
      <c r="DG1449" s="4"/>
      <c r="DH1449" s="4"/>
      <c r="DI1449" s="4"/>
      <c r="DJ1449" s="4"/>
      <c r="DK1449" s="4"/>
      <c r="DL1449" s="4"/>
    </row>
    <row r="1450" spans="1:116" s="15" customFormat="1" x14ac:dyDescent="0.25">
      <c r="A1450" s="16"/>
      <c r="B1450" s="16"/>
      <c r="C1450" s="16"/>
      <c r="D1450" s="98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4"/>
      <c r="AJ1450" s="14"/>
      <c r="AK1450" s="14"/>
      <c r="AL1450" s="14"/>
      <c r="AM1450" s="14"/>
      <c r="AN1450" s="14"/>
      <c r="AO1450" s="14"/>
      <c r="AP1450" s="14"/>
      <c r="AQ1450" s="14"/>
      <c r="AR1450" s="14"/>
      <c r="AS1450" s="14"/>
      <c r="AT1450" s="14"/>
      <c r="AU1450" s="14"/>
      <c r="AV1450" s="14"/>
      <c r="AW1450" s="14"/>
      <c r="AX1450" s="14"/>
      <c r="AY1450" s="14"/>
      <c r="AZ1450" s="14"/>
      <c r="BA1450" s="14"/>
      <c r="BB1450" s="14"/>
      <c r="BC1450" s="14"/>
      <c r="BD1450" s="14"/>
      <c r="BE1450" s="14"/>
      <c r="BF1450" s="14"/>
      <c r="BG1450" s="14"/>
      <c r="BH1450" s="14"/>
      <c r="BI1450" s="14"/>
      <c r="BJ1450" s="14"/>
      <c r="BK1450" s="14"/>
      <c r="BL1450" s="14"/>
      <c r="BM1450" s="14"/>
      <c r="BN1450" s="14"/>
      <c r="BO1450" s="14"/>
      <c r="BP1450" s="14"/>
      <c r="BQ1450" s="14"/>
      <c r="BR1450" s="14"/>
      <c r="BS1450" s="14"/>
      <c r="BT1450" s="14"/>
      <c r="BU1450" s="14"/>
      <c r="BV1450" s="14"/>
      <c r="BW1450" s="14"/>
      <c r="BX1450" s="14"/>
      <c r="BY1450" s="14"/>
      <c r="BZ1450" s="14"/>
      <c r="CA1450" s="14"/>
      <c r="CB1450" s="14"/>
      <c r="CC1450" s="14"/>
      <c r="CD1450" s="14"/>
      <c r="CE1450" s="14"/>
      <c r="CF1450" s="14"/>
      <c r="CG1450" s="4"/>
      <c r="CH1450" s="4"/>
      <c r="CI1450" s="4"/>
      <c r="CJ1450" s="4"/>
      <c r="CK1450" s="4"/>
      <c r="CL1450" s="4"/>
      <c r="CM1450" s="4"/>
      <c r="CN1450" s="4"/>
      <c r="CO1450" s="4"/>
      <c r="CP1450" s="4"/>
      <c r="CQ1450" s="4"/>
      <c r="CR1450" s="4"/>
      <c r="CS1450" s="4"/>
      <c r="CT1450" s="4"/>
      <c r="CU1450" s="4"/>
      <c r="CV1450" s="4"/>
      <c r="CW1450" s="4"/>
      <c r="CX1450" s="4"/>
      <c r="CY1450" s="4"/>
      <c r="CZ1450" s="4"/>
      <c r="DA1450" s="4"/>
      <c r="DB1450" s="4"/>
      <c r="DC1450" s="4"/>
      <c r="DD1450" s="4"/>
      <c r="DE1450" s="4"/>
      <c r="DF1450" s="4"/>
      <c r="DG1450" s="4"/>
      <c r="DH1450" s="4"/>
      <c r="DI1450" s="4"/>
      <c r="DJ1450" s="4"/>
      <c r="DK1450" s="4"/>
      <c r="DL1450" s="4"/>
    </row>
    <row r="1451" spans="1:116" s="15" customFormat="1" x14ac:dyDescent="0.25">
      <c r="A1451" s="16"/>
      <c r="B1451" s="16"/>
      <c r="C1451" s="16"/>
      <c r="D1451" s="98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  <c r="AB1451" s="14"/>
      <c r="AC1451" s="14"/>
      <c r="AD1451" s="14"/>
      <c r="AE1451" s="14"/>
      <c r="AF1451" s="14"/>
      <c r="AG1451" s="14"/>
      <c r="AH1451" s="14"/>
      <c r="AI1451" s="14"/>
      <c r="AJ1451" s="14"/>
      <c r="AK1451" s="14"/>
      <c r="AL1451" s="14"/>
      <c r="AM1451" s="14"/>
      <c r="AN1451" s="14"/>
      <c r="AO1451" s="14"/>
      <c r="AP1451" s="14"/>
      <c r="AQ1451" s="14"/>
      <c r="AR1451" s="14"/>
      <c r="AS1451" s="14"/>
      <c r="AT1451" s="14"/>
      <c r="AU1451" s="14"/>
      <c r="AV1451" s="14"/>
      <c r="AW1451" s="14"/>
      <c r="AX1451" s="14"/>
      <c r="AY1451" s="14"/>
      <c r="AZ1451" s="14"/>
      <c r="BA1451" s="14"/>
      <c r="BB1451" s="14"/>
      <c r="BC1451" s="14"/>
      <c r="BD1451" s="14"/>
      <c r="BE1451" s="14"/>
      <c r="BF1451" s="14"/>
      <c r="BG1451" s="14"/>
      <c r="BH1451" s="14"/>
      <c r="BI1451" s="14"/>
      <c r="BJ1451" s="14"/>
      <c r="BK1451" s="14"/>
      <c r="BL1451" s="14"/>
      <c r="BM1451" s="14"/>
      <c r="BN1451" s="14"/>
      <c r="BO1451" s="14"/>
      <c r="BP1451" s="14"/>
      <c r="BQ1451" s="14"/>
      <c r="BR1451" s="14"/>
      <c r="BS1451" s="14"/>
      <c r="BT1451" s="14"/>
      <c r="BU1451" s="14"/>
      <c r="BV1451" s="14"/>
      <c r="BW1451" s="14"/>
      <c r="BX1451" s="14"/>
      <c r="BY1451" s="14"/>
      <c r="BZ1451" s="14"/>
      <c r="CA1451" s="14"/>
      <c r="CB1451" s="14"/>
      <c r="CC1451" s="14"/>
      <c r="CD1451" s="14"/>
      <c r="CE1451" s="14"/>
      <c r="CF1451" s="14"/>
      <c r="CG1451" s="4"/>
      <c r="CH1451" s="4"/>
      <c r="CI1451" s="4"/>
      <c r="CJ1451" s="4"/>
      <c r="CK1451" s="4"/>
      <c r="CL1451" s="4"/>
      <c r="CM1451" s="4"/>
      <c r="CN1451" s="4"/>
      <c r="CO1451" s="4"/>
      <c r="CP1451" s="4"/>
      <c r="CQ1451" s="4"/>
      <c r="CR1451" s="4"/>
      <c r="CS1451" s="4"/>
      <c r="CT1451" s="4"/>
      <c r="CU1451" s="4"/>
      <c r="CV1451" s="4"/>
      <c r="CW1451" s="4"/>
      <c r="CX1451" s="4"/>
      <c r="CY1451" s="4"/>
      <c r="CZ1451" s="4"/>
      <c r="DA1451" s="4"/>
      <c r="DB1451" s="4"/>
      <c r="DC1451" s="4"/>
      <c r="DD1451" s="4"/>
      <c r="DE1451" s="4"/>
      <c r="DF1451" s="4"/>
      <c r="DG1451" s="4"/>
      <c r="DH1451" s="4"/>
      <c r="DI1451" s="4"/>
      <c r="DJ1451" s="4"/>
      <c r="DK1451" s="4"/>
      <c r="DL1451" s="4"/>
    </row>
    <row r="1452" spans="1:116" s="15" customFormat="1" x14ac:dyDescent="0.25">
      <c r="A1452" s="16"/>
      <c r="B1452" s="16"/>
      <c r="C1452" s="16"/>
      <c r="D1452" s="98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  <c r="AB1452" s="14"/>
      <c r="AC1452" s="14"/>
      <c r="AD1452" s="14"/>
      <c r="AE1452" s="14"/>
      <c r="AF1452" s="14"/>
      <c r="AG1452" s="14"/>
      <c r="AH1452" s="14"/>
      <c r="AI1452" s="14"/>
      <c r="AJ1452" s="14"/>
      <c r="AK1452" s="14"/>
      <c r="AL1452" s="14"/>
      <c r="AM1452" s="14"/>
      <c r="AN1452" s="14"/>
      <c r="AO1452" s="14"/>
      <c r="AP1452" s="14"/>
      <c r="AQ1452" s="14"/>
      <c r="AR1452" s="14"/>
      <c r="AS1452" s="14"/>
      <c r="AT1452" s="14"/>
      <c r="AU1452" s="14"/>
      <c r="AV1452" s="14"/>
      <c r="AW1452" s="14"/>
      <c r="AX1452" s="14"/>
      <c r="AY1452" s="14"/>
      <c r="AZ1452" s="14"/>
      <c r="BA1452" s="14"/>
      <c r="BB1452" s="14"/>
      <c r="BC1452" s="14"/>
      <c r="BD1452" s="14"/>
      <c r="BE1452" s="14"/>
      <c r="BF1452" s="14"/>
      <c r="BG1452" s="14"/>
      <c r="BH1452" s="14"/>
      <c r="BI1452" s="14"/>
      <c r="BJ1452" s="14"/>
      <c r="BK1452" s="14"/>
      <c r="BL1452" s="14"/>
      <c r="BM1452" s="14"/>
      <c r="BN1452" s="14"/>
      <c r="BO1452" s="14"/>
      <c r="BP1452" s="14"/>
      <c r="BQ1452" s="14"/>
      <c r="BR1452" s="14"/>
      <c r="BS1452" s="14"/>
      <c r="BT1452" s="14"/>
      <c r="BU1452" s="14"/>
      <c r="BV1452" s="14"/>
      <c r="BW1452" s="14"/>
      <c r="BX1452" s="14"/>
      <c r="BY1452" s="14"/>
      <c r="BZ1452" s="14"/>
      <c r="CA1452" s="14"/>
      <c r="CB1452" s="14"/>
      <c r="CC1452" s="14"/>
      <c r="CD1452" s="14"/>
      <c r="CE1452" s="14"/>
      <c r="CF1452" s="14"/>
      <c r="CG1452" s="4"/>
      <c r="CH1452" s="4"/>
      <c r="CI1452" s="4"/>
      <c r="CJ1452" s="4"/>
      <c r="CK1452" s="4"/>
      <c r="CL1452" s="4"/>
      <c r="CM1452" s="4"/>
      <c r="CN1452" s="4"/>
      <c r="CO1452" s="4"/>
      <c r="CP1452" s="4"/>
      <c r="CQ1452" s="4"/>
      <c r="CR1452" s="4"/>
      <c r="CS1452" s="4"/>
      <c r="CT1452" s="4"/>
      <c r="CU1452" s="4"/>
      <c r="CV1452" s="4"/>
      <c r="CW1452" s="4"/>
      <c r="CX1452" s="4"/>
      <c r="CY1452" s="4"/>
      <c r="CZ1452" s="4"/>
      <c r="DA1452" s="4"/>
      <c r="DB1452" s="4"/>
      <c r="DC1452" s="4"/>
      <c r="DD1452" s="4"/>
      <c r="DE1452" s="4"/>
      <c r="DF1452" s="4"/>
      <c r="DG1452" s="4"/>
      <c r="DH1452" s="4"/>
      <c r="DI1452" s="4"/>
      <c r="DJ1452" s="4"/>
      <c r="DK1452" s="4"/>
      <c r="DL1452" s="4"/>
    </row>
    <row r="1453" spans="1:116" s="15" customFormat="1" x14ac:dyDescent="0.25">
      <c r="A1453" s="16"/>
      <c r="B1453" s="16"/>
      <c r="C1453" s="16"/>
      <c r="D1453" s="98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4"/>
      <c r="AJ1453" s="14"/>
      <c r="AK1453" s="14"/>
      <c r="AL1453" s="14"/>
      <c r="AM1453" s="14"/>
      <c r="AN1453" s="14"/>
      <c r="AO1453" s="14"/>
      <c r="AP1453" s="14"/>
      <c r="AQ1453" s="14"/>
      <c r="AR1453" s="14"/>
      <c r="AS1453" s="14"/>
      <c r="AT1453" s="14"/>
      <c r="AU1453" s="14"/>
      <c r="AV1453" s="14"/>
      <c r="AW1453" s="14"/>
      <c r="AX1453" s="14"/>
      <c r="AY1453" s="14"/>
      <c r="AZ1453" s="14"/>
      <c r="BA1453" s="14"/>
      <c r="BB1453" s="14"/>
      <c r="BC1453" s="14"/>
      <c r="BD1453" s="14"/>
      <c r="BE1453" s="14"/>
      <c r="BF1453" s="14"/>
      <c r="BG1453" s="14"/>
      <c r="BH1453" s="14"/>
      <c r="BI1453" s="14"/>
      <c r="BJ1453" s="14"/>
      <c r="BK1453" s="14"/>
      <c r="BL1453" s="14"/>
      <c r="BM1453" s="14"/>
      <c r="BN1453" s="14"/>
      <c r="BO1453" s="14"/>
      <c r="BP1453" s="14"/>
      <c r="BQ1453" s="14"/>
      <c r="BR1453" s="14"/>
      <c r="BS1453" s="14"/>
      <c r="BT1453" s="14"/>
      <c r="BU1453" s="14"/>
      <c r="BV1453" s="14"/>
      <c r="BW1453" s="14"/>
      <c r="BX1453" s="14"/>
      <c r="BY1453" s="14"/>
      <c r="BZ1453" s="14"/>
      <c r="CA1453" s="14"/>
      <c r="CB1453" s="14"/>
      <c r="CC1453" s="14"/>
      <c r="CD1453" s="14"/>
      <c r="CE1453" s="14"/>
      <c r="CF1453" s="14"/>
      <c r="CG1453" s="4"/>
      <c r="CH1453" s="4"/>
      <c r="CI1453" s="4"/>
      <c r="CJ1453" s="4"/>
      <c r="CK1453" s="4"/>
      <c r="CL1453" s="4"/>
      <c r="CM1453" s="4"/>
      <c r="CN1453" s="4"/>
      <c r="CO1453" s="4"/>
      <c r="CP1453" s="4"/>
      <c r="CQ1453" s="4"/>
      <c r="CR1453" s="4"/>
      <c r="CS1453" s="4"/>
      <c r="CT1453" s="4"/>
      <c r="CU1453" s="4"/>
      <c r="CV1453" s="4"/>
      <c r="CW1453" s="4"/>
      <c r="CX1453" s="4"/>
      <c r="CY1453" s="4"/>
      <c r="CZ1453" s="4"/>
      <c r="DA1453" s="4"/>
      <c r="DB1453" s="4"/>
      <c r="DC1453" s="4"/>
      <c r="DD1453" s="4"/>
      <c r="DE1453" s="4"/>
      <c r="DF1453" s="4"/>
      <c r="DG1453" s="4"/>
      <c r="DH1453" s="4"/>
      <c r="DI1453" s="4"/>
      <c r="DJ1453" s="4"/>
      <c r="DK1453" s="4"/>
      <c r="DL1453" s="4"/>
    </row>
    <row r="1454" spans="1:116" s="15" customFormat="1" x14ac:dyDescent="0.25">
      <c r="A1454" s="16"/>
      <c r="B1454" s="16"/>
      <c r="C1454" s="16"/>
      <c r="D1454" s="98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4"/>
      <c r="AJ1454" s="14"/>
      <c r="AK1454" s="14"/>
      <c r="AL1454" s="14"/>
      <c r="AM1454" s="14"/>
      <c r="AN1454" s="14"/>
      <c r="AO1454" s="14"/>
      <c r="AP1454" s="14"/>
      <c r="AQ1454" s="14"/>
      <c r="AR1454" s="14"/>
      <c r="AS1454" s="14"/>
      <c r="AT1454" s="14"/>
      <c r="AU1454" s="14"/>
      <c r="AV1454" s="14"/>
      <c r="AW1454" s="14"/>
      <c r="AX1454" s="14"/>
      <c r="AY1454" s="14"/>
      <c r="AZ1454" s="14"/>
      <c r="BA1454" s="14"/>
      <c r="BB1454" s="14"/>
      <c r="BC1454" s="14"/>
      <c r="BD1454" s="14"/>
      <c r="BE1454" s="14"/>
      <c r="BF1454" s="14"/>
      <c r="BG1454" s="14"/>
      <c r="BH1454" s="14"/>
      <c r="BI1454" s="14"/>
      <c r="BJ1454" s="14"/>
      <c r="BK1454" s="14"/>
      <c r="BL1454" s="14"/>
      <c r="BM1454" s="14"/>
      <c r="BN1454" s="14"/>
      <c r="BO1454" s="14"/>
      <c r="BP1454" s="14"/>
      <c r="BQ1454" s="14"/>
      <c r="BR1454" s="14"/>
      <c r="BS1454" s="14"/>
      <c r="BT1454" s="14"/>
      <c r="BU1454" s="14"/>
      <c r="BV1454" s="14"/>
      <c r="BW1454" s="14"/>
      <c r="BX1454" s="14"/>
      <c r="BY1454" s="14"/>
      <c r="BZ1454" s="14"/>
      <c r="CA1454" s="14"/>
      <c r="CB1454" s="14"/>
      <c r="CC1454" s="14"/>
      <c r="CD1454" s="14"/>
      <c r="CE1454" s="14"/>
      <c r="CF1454" s="14"/>
      <c r="CG1454" s="4"/>
      <c r="CH1454" s="4"/>
      <c r="CI1454" s="4"/>
      <c r="CJ1454" s="4"/>
      <c r="CK1454" s="4"/>
      <c r="CL1454" s="4"/>
      <c r="CM1454" s="4"/>
      <c r="CN1454" s="4"/>
      <c r="CO1454" s="4"/>
      <c r="CP1454" s="4"/>
      <c r="CQ1454" s="4"/>
      <c r="CR1454" s="4"/>
      <c r="CS1454" s="4"/>
      <c r="CT1454" s="4"/>
      <c r="CU1454" s="4"/>
      <c r="CV1454" s="4"/>
      <c r="CW1454" s="4"/>
      <c r="CX1454" s="4"/>
      <c r="CY1454" s="4"/>
      <c r="CZ1454" s="4"/>
      <c r="DA1454" s="4"/>
      <c r="DB1454" s="4"/>
      <c r="DC1454" s="4"/>
      <c r="DD1454" s="4"/>
      <c r="DE1454" s="4"/>
      <c r="DF1454" s="4"/>
      <c r="DG1454" s="4"/>
      <c r="DH1454" s="4"/>
      <c r="DI1454" s="4"/>
      <c r="DJ1454" s="4"/>
      <c r="DK1454" s="4"/>
      <c r="DL1454" s="4"/>
    </row>
    <row r="1455" spans="1:116" s="15" customFormat="1" x14ac:dyDescent="0.25">
      <c r="A1455" s="16"/>
      <c r="B1455" s="16"/>
      <c r="C1455" s="16"/>
      <c r="D1455" s="98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4"/>
      <c r="AJ1455" s="14"/>
      <c r="AK1455" s="14"/>
      <c r="AL1455" s="14"/>
      <c r="AM1455" s="14"/>
      <c r="AN1455" s="14"/>
      <c r="AO1455" s="14"/>
      <c r="AP1455" s="14"/>
      <c r="AQ1455" s="14"/>
      <c r="AR1455" s="14"/>
      <c r="AS1455" s="14"/>
      <c r="AT1455" s="14"/>
      <c r="AU1455" s="14"/>
      <c r="AV1455" s="14"/>
      <c r="AW1455" s="14"/>
      <c r="AX1455" s="14"/>
      <c r="AY1455" s="14"/>
      <c r="AZ1455" s="14"/>
      <c r="BA1455" s="14"/>
      <c r="BB1455" s="14"/>
      <c r="BC1455" s="14"/>
      <c r="BD1455" s="14"/>
      <c r="BE1455" s="14"/>
      <c r="BF1455" s="14"/>
      <c r="BG1455" s="14"/>
      <c r="BH1455" s="14"/>
      <c r="BI1455" s="14"/>
      <c r="BJ1455" s="14"/>
      <c r="BK1455" s="14"/>
      <c r="BL1455" s="14"/>
      <c r="BM1455" s="14"/>
      <c r="BN1455" s="14"/>
      <c r="BO1455" s="14"/>
      <c r="BP1455" s="14"/>
      <c r="BQ1455" s="14"/>
      <c r="BR1455" s="14"/>
      <c r="BS1455" s="14"/>
      <c r="BT1455" s="14"/>
      <c r="BU1455" s="14"/>
      <c r="BV1455" s="14"/>
      <c r="BW1455" s="14"/>
      <c r="BX1455" s="14"/>
      <c r="BY1455" s="14"/>
      <c r="BZ1455" s="14"/>
      <c r="CA1455" s="14"/>
      <c r="CB1455" s="14"/>
      <c r="CC1455" s="14"/>
      <c r="CD1455" s="14"/>
      <c r="CE1455" s="14"/>
      <c r="CF1455" s="14"/>
      <c r="CG1455" s="4"/>
      <c r="CH1455" s="4"/>
      <c r="CI1455" s="4"/>
      <c r="CJ1455" s="4"/>
      <c r="CK1455" s="4"/>
      <c r="CL1455" s="4"/>
      <c r="CM1455" s="4"/>
      <c r="CN1455" s="4"/>
      <c r="CO1455" s="4"/>
      <c r="CP1455" s="4"/>
      <c r="CQ1455" s="4"/>
      <c r="CR1455" s="4"/>
      <c r="CS1455" s="4"/>
      <c r="CT1455" s="4"/>
      <c r="CU1455" s="4"/>
      <c r="CV1455" s="4"/>
      <c r="CW1455" s="4"/>
      <c r="CX1455" s="4"/>
      <c r="CY1455" s="4"/>
      <c r="CZ1455" s="4"/>
      <c r="DA1455" s="4"/>
      <c r="DB1455" s="4"/>
      <c r="DC1455" s="4"/>
      <c r="DD1455" s="4"/>
      <c r="DE1455" s="4"/>
      <c r="DF1455" s="4"/>
      <c r="DG1455" s="4"/>
      <c r="DH1455" s="4"/>
      <c r="DI1455" s="4"/>
      <c r="DJ1455" s="4"/>
      <c r="DK1455" s="4"/>
      <c r="DL1455" s="4"/>
    </row>
    <row r="1456" spans="1:116" s="15" customFormat="1" x14ac:dyDescent="0.25">
      <c r="A1456" s="16"/>
      <c r="B1456" s="16"/>
      <c r="C1456" s="16"/>
      <c r="D1456" s="98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4"/>
      <c r="AJ1456" s="14"/>
      <c r="AK1456" s="14"/>
      <c r="AL1456" s="14"/>
      <c r="AM1456" s="14"/>
      <c r="AN1456" s="14"/>
      <c r="AO1456" s="14"/>
      <c r="AP1456" s="14"/>
      <c r="AQ1456" s="14"/>
      <c r="AR1456" s="14"/>
      <c r="AS1456" s="14"/>
      <c r="AT1456" s="14"/>
      <c r="AU1456" s="14"/>
      <c r="AV1456" s="14"/>
      <c r="AW1456" s="14"/>
      <c r="AX1456" s="14"/>
      <c r="AY1456" s="14"/>
      <c r="AZ1456" s="14"/>
      <c r="BA1456" s="14"/>
      <c r="BB1456" s="14"/>
      <c r="BC1456" s="14"/>
      <c r="BD1456" s="14"/>
      <c r="BE1456" s="14"/>
      <c r="BF1456" s="14"/>
      <c r="BG1456" s="14"/>
      <c r="BH1456" s="14"/>
      <c r="BI1456" s="14"/>
      <c r="BJ1456" s="14"/>
      <c r="BK1456" s="14"/>
      <c r="BL1456" s="14"/>
      <c r="BM1456" s="14"/>
      <c r="BN1456" s="14"/>
      <c r="BO1456" s="14"/>
      <c r="BP1456" s="14"/>
      <c r="BQ1456" s="14"/>
      <c r="BR1456" s="14"/>
      <c r="BS1456" s="14"/>
      <c r="BT1456" s="14"/>
      <c r="BU1456" s="14"/>
      <c r="BV1456" s="14"/>
      <c r="BW1456" s="14"/>
      <c r="BX1456" s="14"/>
      <c r="BY1456" s="14"/>
      <c r="BZ1456" s="14"/>
      <c r="CA1456" s="14"/>
      <c r="CB1456" s="14"/>
      <c r="CC1456" s="14"/>
      <c r="CD1456" s="14"/>
      <c r="CE1456" s="14"/>
      <c r="CF1456" s="14"/>
      <c r="CG1456" s="4"/>
      <c r="CH1456" s="4"/>
      <c r="CI1456" s="4"/>
      <c r="CJ1456" s="4"/>
      <c r="CK1456" s="4"/>
      <c r="CL1456" s="4"/>
      <c r="CM1456" s="4"/>
      <c r="CN1456" s="4"/>
      <c r="CO1456" s="4"/>
      <c r="CP1456" s="4"/>
      <c r="CQ1456" s="4"/>
      <c r="CR1456" s="4"/>
      <c r="CS1456" s="4"/>
      <c r="CT1456" s="4"/>
      <c r="CU1456" s="4"/>
      <c r="CV1456" s="4"/>
      <c r="CW1456" s="4"/>
      <c r="CX1456" s="4"/>
      <c r="CY1456" s="4"/>
      <c r="CZ1456" s="4"/>
      <c r="DA1456" s="4"/>
      <c r="DB1456" s="4"/>
      <c r="DC1456" s="4"/>
      <c r="DD1456" s="4"/>
      <c r="DE1456" s="4"/>
      <c r="DF1456" s="4"/>
      <c r="DG1456" s="4"/>
      <c r="DH1456" s="4"/>
      <c r="DI1456" s="4"/>
      <c r="DJ1456" s="4"/>
      <c r="DK1456" s="4"/>
      <c r="DL1456" s="4"/>
    </row>
    <row r="1457" spans="1:116" s="15" customFormat="1" x14ac:dyDescent="0.25">
      <c r="A1457" s="16"/>
      <c r="B1457" s="16"/>
      <c r="C1457" s="16"/>
      <c r="D1457" s="98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4"/>
      <c r="AJ1457" s="14"/>
      <c r="AK1457" s="14"/>
      <c r="AL1457" s="14"/>
      <c r="AM1457" s="14"/>
      <c r="AN1457" s="14"/>
      <c r="AO1457" s="14"/>
      <c r="AP1457" s="14"/>
      <c r="AQ1457" s="14"/>
      <c r="AR1457" s="14"/>
      <c r="AS1457" s="14"/>
      <c r="AT1457" s="14"/>
      <c r="AU1457" s="14"/>
      <c r="AV1457" s="14"/>
      <c r="AW1457" s="14"/>
      <c r="AX1457" s="14"/>
      <c r="AY1457" s="14"/>
      <c r="AZ1457" s="14"/>
      <c r="BA1457" s="14"/>
      <c r="BB1457" s="14"/>
      <c r="BC1457" s="14"/>
      <c r="BD1457" s="14"/>
      <c r="BE1457" s="14"/>
      <c r="BF1457" s="14"/>
      <c r="BG1457" s="14"/>
      <c r="BH1457" s="14"/>
      <c r="BI1457" s="14"/>
      <c r="BJ1457" s="14"/>
      <c r="BK1457" s="14"/>
      <c r="BL1457" s="14"/>
      <c r="BM1457" s="14"/>
      <c r="BN1457" s="14"/>
      <c r="BO1457" s="14"/>
      <c r="BP1457" s="14"/>
      <c r="BQ1457" s="14"/>
      <c r="BR1457" s="14"/>
      <c r="BS1457" s="14"/>
      <c r="BT1457" s="14"/>
      <c r="BU1457" s="14"/>
      <c r="BV1457" s="14"/>
      <c r="BW1457" s="14"/>
      <c r="BX1457" s="14"/>
      <c r="BY1457" s="14"/>
      <c r="BZ1457" s="14"/>
      <c r="CA1457" s="14"/>
      <c r="CB1457" s="14"/>
      <c r="CC1457" s="14"/>
      <c r="CD1457" s="14"/>
      <c r="CE1457" s="14"/>
      <c r="CF1457" s="14"/>
      <c r="CG1457" s="4"/>
      <c r="CH1457" s="4"/>
      <c r="CI1457" s="4"/>
      <c r="CJ1457" s="4"/>
      <c r="CK1457" s="4"/>
      <c r="CL1457" s="4"/>
      <c r="CM1457" s="4"/>
      <c r="CN1457" s="4"/>
      <c r="CO1457" s="4"/>
      <c r="CP1457" s="4"/>
      <c r="CQ1457" s="4"/>
      <c r="CR1457" s="4"/>
      <c r="CS1457" s="4"/>
      <c r="CT1457" s="4"/>
      <c r="CU1457" s="4"/>
      <c r="CV1457" s="4"/>
      <c r="CW1457" s="4"/>
      <c r="CX1457" s="4"/>
      <c r="CY1457" s="4"/>
      <c r="CZ1457" s="4"/>
      <c r="DA1457" s="4"/>
      <c r="DB1457" s="4"/>
      <c r="DC1457" s="4"/>
      <c r="DD1457" s="4"/>
      <c r="DE1457" s="4"/>
      <c r="DF1457" s="4"/>
      <c r="DG1457" s="4"/>
      <c r="DH1457" s="4"/>
      <c r="DI1457" s="4"/>
      <c r="DJ1457" s="4"/>
      <c r="DK1457" s="4"/>
      <c r="DL1457" s="4"/>
    </row>
    <row r="1458" spans="1:116" s="15" customFormat="1" x14ac:dyDescent="0.25">
      <c r="A1458" s="16"/>
      <c r="B1458" s="16"/>
      <c r="C1458" s="16"/>
      <c r="D1458" s="98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  <c r="AI1458" s="14"/>
      <c r="AJ1458" s="14"/>
      <c r="AK1458" s="14"/>
      <c r="AL1458" s="14"/>
      <c r="AM1458" s="14"/>
      <c r="AN1458" s="14"/>
      <c r="AO1458" s="14"/>
      <c r="AP1458" s="14"/>
      <c r="AQ1458" s="14"/>
      <c r="AR1458" s="14"/>
      <c r="AS1458" s="14"/>
      <c r="AT1458" s="14"/>
      <c r="AU1458" s="14"/>
      <c r="AV1458" s="14"/>
      <c r="AW1458" s="14"/>
      <c r="AX1458" s="14"/>
      <c r="AY1458" s="14"/>
      <c r="AZ1458" s="14"/>
      <c r="BA1458" s="14"/>
      <c r="BB1458" s="14"/>
      <c r="BC1458" s="14"/>
      <c r="BD1458" s="14"/>
      <c r="BE1458" s="14"/>
      <c r="BF1458" s="14"/>
      <c r="BG1458" s="14"/>
      <c r="BH1458" s="14"/>
      <c r="BI1458" s="14"/>
      <c r="BJ1458" s="14"/>
      <c r="BK1458" s="14"/>
      <c r="BL1458" s="14"/>
      <c r="BM1458" s="14"/>
      <c r="BN1458" s="14"/>
      <c r="BO1458" s="14"/>
      <c r="BP1458" s="14"/>
      <c r="BQ1458" s="14"/>
      <c r="BR1458" s="14"/>
      <c r="BS1458" s="14"/>
      <c r="BT1458" s="14"/>
      <c r="BU1458" s="14"/>
      <c r="BV1458" s="14"/>
      <c r="BW1458" s="14"/>
      <c r="BX1458" s="14"/>
      <c r="BY1458" s="14"/>
      <c r="BZ1458" s="14"/>
      <c r="CA1458" s="14"/>
      <c r="CB1458" s="14"/>
      <c r="CC1458" s="14"/>
      <c r="CD1458" s="14"/>
      <c r="CE1458" s="14"/>
      <c r="CF1458" s="14"/>
      <c r="CG1458" s="4"/>
      <c r="CH1458" s="4"/>
      <c r="CI1458" s="4"/>
      <c r="CJ1458" s="4"/>
      <c r="CK1458" s="4"/>
      <c r="CL1458" s="4"/>
      <c r="CM1458" s="4"/>
      <c r="CN1458" s="4"/>
      <c r="CO1458" s="4"/>
      <c r="CP1458" s="4"/>
      <c r="CQ1458" s="4"/>
      <c r="CR1458" s="4"/>
      <c r="CS1458" s="4"/>
      <c r="CT1458" s="4"/>
      <c r="CU1458" s="4"/>
      <c r="CV1458" s="4"/>
      <c r="CW1458" s="4"/>
      <c r="CX1458" s="4"/>
      <c r="CY1458" s="4"/>
      <c r="CZ1458" s="4"/>
      <c r="DA1458" s="4"/>
      <c r="DB1458" s="4"/>
      <c r="DC1458" s="4"/>
      <c r="DD1458" s="4"/>
      <c r="DE1458" s="4"/>
      <c r="DF1458" s="4"/>
      <c r="DG1458" s="4"/>
      <c r="DH1458" s="4"/>
      <c r="DI1458" s="4"/>
      <c r="DJ1458" s="4"/>
      <c r="DK1458" s="4"/>
      <c r="DL1458" s="4"/>
    </row>
    <row r="1459" spans="1:116" s="15" customFormat="1" x14ac:dyDescent="0.25">
      <c r="A1459" s="16"/>
      <c r="B1459" s="16"/>
      <c r="C1459" s="16"/>
      <c r="D1459" s="98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  <c r="AI1459" s="14"/>
      <c r="AJ1459" s="14"/>
      <c r="AK1459" s="14"/>
      <c r="AL1459" s="14"/>
      <c r="AM1459" s="14"/>
      <c r="AN1459" s="14"/>
      <c r="AO1459" s="14"/>
      <c r="AP1459" s="14"/>
      <c r="AQ1459" s="14"/>
      <c r="AR1459" s="14"/>
      <c r="AS1459" s="14"/>
      <c r="AT1459" s="14"/>
      <c r="AU1459" s="14"/>
      <c r="AV1459" s="14"/>
      <c r="AW1459" s="14"/>
      <c r="AX1459" s="14"/>
      <c r="AY1459" s="14"/>
      <c r="AZ1459" s="14"/>
      <c r="BA1459" s="14"/>
      <c r="BB1459" s="14"/>
      <c r="BC1459" s="14"/>
      <c r="BD1459" s="14"/>
      <c r="BE1459" s="14"/>
      <c r="BF1459" s="14"/>
      <c r="BG1459" s="14"/>
      <c r="BH1459" s="14"/>
      <c r="BI1459" s="14"/>
      <c r="BJ1459" s="14"/>
      <c r="BK1459" s="14"/>
      <c r="BL1459" s="14"/>
      <c r="BM1459" s="14"/>
      <c r="BN1459" s="14"/>
      <c r="BO1459" s="14"/>
      <c r="BP1459" s="14"/>
      <c r="BQ1459" s="14"/>
      <c r="BR1459" s="14"/>
      <c r="BS1459" s="14"/>
      <c r="BT1459" s="14"/>
      <c r="BU1459" s="14"/>
      <c r="BV1459" s="14"/>
      <c r="BW1459" s="14"/>
      <c r="BX1459" s="14"/>
      <c r="BY1459" s="14"/>
      <c r="BZ1459" s="14"/>
      <c r="CA1459" s="14"/>
      <c r="CB1459" s="14"/>
      <c r="CC1459" s="14"/>
      <c r="CD1459" s="14"/>
      <c r="CE1459" s="14"/>
      <c r="CF1459" s="14"/>
      <c r="CG1459" s="4"/>
      <c r="CH1459" s="4"/>
      <c r="CI1459" s="4"/>
      <c r="CJ1459" s="4"/>
      <c r="CK1459" s="4"/>
      <c r="CL1459" s="4"/>
      <c r="CM1459" s="4"/>
      <c r="CN1459" s="4"/>
      <c r="CO1459" s="4"/>
      <c r="CP1459" s="4"/>
      <c r="CQ1459" s="4"/>
      <c r="CR1459" s="4"/>
      <c r="CS1459" s="4"/>
      <c r="CT1459" s="4"/>
      <c r="CU1459" s="4"/>
      <c r="CV1459" s="4"/>
      <c r="CW1459" s="4"/>
      <c r="CX1459" s="4"/>
      <c r="CY1459" s="4"/>
      <c r="CZ1459" s="4"/>
      <c r="DA1459" s="4"/>
      <c r="DB1459" s="4"/>
      <c r="DC1459" s="4"/>
      <c r="DD1459" s="4"/>
      <c r="DE1459" s="4"/>
      <c r="DF1459" s="4"/>
      <c r="DG1459" s="4"/>
      <c r="DH1459" s="4"/>
      <c r="DI1459" s="4"/>
      <c r="DJ1459" s="4"/>
      <c r="DK1459" s="4"/>
      <c r="DL1459" s="4"/>
    </row>
    <row r="1460" spans="1:116" s="15" customFormat="1" x14ac:dyDescent="0.25">
      <c r="A1460" s="16"/>
      <c r="B1460" s="16"/>
      <c r="C1460" s="16"/>
      <c r="D1460" s="98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  <c r="AI1460" s="14"/>
      <c r="AJ1460" s="14"/>
      <c r="AK1460" s="14"/>
      <c r="AL1460" s="14"/>
      <c r="AM1460" s="14"/>
      <c r="AN1460" s="14"/>
      <c r="AO1460" s="14"/>
      <c r="AP1460" s="14"/>
      <c r="AQ1460" s="14"/>
      <c r="AR1460" s="14"/>
      <c r="AS1460" s="14"/>
      <c r="AT1460" s="14"/>
      <c r="AU1460" s="14"/>
      <c r="AV1460" s="14"/>
      <c r="AW1460" s="14"/>
      <c r="AX1460" s="14"/>
      <c r="AY1460" s="14"/>
      <c r="AZ1460" s="14"/>
      <c r="BA1460" s="14"/>
      <c r="BB1460" s="14"/>
      <c r="BC1460" s="14"/>
      <c r="BD1460" s="14"/>
      <c r="BE1460" s="14"/>
      <c r="BF1460" s="14"/>
      <c r="BG1460" s="14"/>
      <c r="BH1460" s="14"/>
      <c r="BI1460" s="14"/>
      <c r="BJ1460" s="14"/>
      <c r="BK1460" s="14"/>
      <c r="BL1460" s="14"/>
      <c r="BM1460" s="14"/>
      <c r="BN1460" s="14"/>
      <c r="BO1460" s="14"/>
      <c r="BP1460" s="14"/>
      <c r="BQ1460" s="14"/>
      <c r="BR1460" s="14"/>
      <c r="BS1460" s="14"/>
      <c r="BT1460" s="14"/>
      <c r="BU1460" s="14"/>
      <c r="BV1460" s="14"/>
      <c r="BW1460" s="14"/>
      <c r="BX1460" s="14"/>
      <c r="BY1460" s="14"/>
      <c r="BZ1460" s="14"/>
      <c r="CA1460" s="14"/>
      <c r="CB1460" s="14"/>
      <c r="CC1460" s="14"/>
      <c r="CD1460" s="14"/>
      <c r="CE1460" s="14"/>
      <c r="CF1460" s="14"/>
      <c r="CG1460" s="4"/>
      <c r="CH1460" s="4"/>
      <c r="CI1460" s="4"/>
      <c r="CJ1460" s="4"/>
      <c r="CK1460" s="4"/>
      <c r="CL1460" s="4"/>
      <c r="CM1460" s="4"/>
      <c r="CN1460" s="4"/>
      <c r="CO1460" s="4"/>
      <c r="CP1460" s="4"/>
      <c r="CQ1460" s="4"/>
      <c r="CR1460" s="4"/>
      <c r="CS1460" s="4"/>
      <c r="CT1460" s="4"/>
      <c r="CU1460" s="4"/>
      <c r="CV1460" s="4"/>
      <c r="CW1460" s="4"/>
      <c r="CX1460" s="4"/>
      <c r="CY1460" s="4"/>
      <c r="CZ1460" s="4"/>
      <c r="DA1460" s="4"/>
      <c r="DB1460" s="4"/>
      <c r="DC1460" s="4"/>
      <c r="DD1460" s="4"/>
      <c r="DE1460" s="4"/>
      <c r="DF1460" s="4"/>
      <c r="DG1460" s="4"/>
      <c r="DH1460" s="4"/>
      <c r="DI1460" s="4"/>
      <c r="DJ1460" s="4"/>
      <c r="DK1460" s="4"/>
      <c r="DL1460" s="4"/>
    </row>
    <row r="1461" spans="1:116" s="15" customFormat="1" x14ac:dyDescent="0.25">
      <c r="A1461" s="16"/>
      <c r="B1461" s="16"/>
      <c r="C1461" s="16"/>
      <c r="D1461" s="98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  <c r="AI1461" s="14"/>
      <c r="AJ1461" s="14"/>
      <c r="AK1461" s="14"/>
      <c r="AL1461" s="14"/>
      <c r="AM1461" s="14"/>
      <c r="AN1461" s="14"/>
      <c r="AO1461" s="14"/>
      <c r="AP1461" s="14"/>
      <c r="AQ1461" s="14"/>
      <c r="AR1461" s="14"/>
      <c r="AS1461" s="14"/>
      <c r="AT1461" s="14"/>
      <c r="AU1461" s="14"/>
      <c r="AV1461" s="14"/>
      <c r="AW1461" s="14"/>
      <c r="AX1461" s="14"/>
      <c r="AY1461" s="14"/>
      <c r="AZ1461" s="14"/>
      <c r="BA1461" s="14"/>
      <c r="BB1461" s="14"/>
      <c r="BC1461" s="14"/>
      <c r="BD1461" s="14"/>
      <c r="BE1461" s="14"/>
      <c r="BF1461" s="14"/>
      <c r="BG1461" s="14"/>
      <c r="BH1461" s="14"/>
      <c r="BI1461" s="14"/>
      <c r="BJ1461" s="14"/>
      <c r="BK1461" s="14"/>
      <c r="BL1461" s="14"/>
      <c r="BM1461" s="14"/>
      <c r="BN1461" s="14"/>
      <c r="BO1461" s="14"/>
      <c r="BP1461" s="14"/>
      <c r="BQ1461" s="14"/>
      <c r="BR1461" s="14"/>
      <c r="BS1461" s="14"/>
      <c r="BT1461" s="14"/>
      <c r="BU1461" s="14"/>
      <c r="BV1461" s="14"/>
      <c r="BW1461" s="14"/>
      <c r="BX1461" s="14"/>
      <c r="BY1461" s="14"/>
      <c r="BZ1461" s="14"/>
      <c r="CA1461" s="14"/>
      <c r="CB1461" s="14"/>
      <c r="CC1461" s="14"/>
      <c r="CD1461" s="14"/>
      <c r="CE1461" s="14"/>
      <c r="CF1461" s="14"/>
      <c r="CG1461" s="4"/>
      <c r="CH1461" s="4"/>
      <c r="CI1461" s="4"/>
      <c r="CJ1461" s="4"/>
      <c r="CK1461" s="4"/>
      <c r="CL1461" s="4"/>
      <c r="CM1461" s="4"/>
      <c r="CN1461" s="4"/>
      <c r="CO1461" s="4"/>
      <c r="CP1461" s="4"/>
      <c r="CQ1461" s="4"/>
      <c r="CR1461" s="4"/>
      <c r="CS1461" s="4"/>
      <c r="CT1461" s="4"/>
      <c r="CU1461" s="4"/>
      <c r="CV1461" s="4"/>
      <c r="CW1461" s="4"/>
      <c r="CX1461" s="4"/>
      <c r="CY1461" s="4"/>
      <c r="CZ1461" s="4"/>
      <c r="DA1461" s="4"/>
      <c r="DB1461" s="4"/>
      <c r="DC1461" s="4"/>
      <c r="DD1461" s="4"/>
      <c r="DE1461" s="4"/>
      <c r="DF1461" s="4"/>
      <c r="DG1461" s="4"/>
      <c r="DH1461" s="4"/>
      <c r="DI1461" s="4"/>
      <c r="DJ1461" s="4"/>
      <c r="DK1461" s="4"/>
      <c r="DL1461" s="4"/>
    </row>
    <row r="1462" spans="1:116" s="15" customFormat="1" x14ac:dyDescent="0.25">
      <c r="A1462" s="16"/>
      <c r="B1462" s="16"/>
      <c r="C1462" s="16"/>
      <c r="D1462" s="98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  <c r="AI1462" s="14"/>
      <c r="AJ1462" s="14"/>
      <c r="AK1462" s="14"/>
      <c r="AL1462" s="14"/>
      <c r="AM1462" s="14"/>
      <c r="AN1462" s="14"/>
      <c r="AO1462" s="14"/>
      <c r="AP1462" s="14"/>
      <c r="AQ1462" s="14"/>
      <c r="AR1462" s="14"/>
      <c r="AS1462" s="14"/>
      <c r="AT1462" s="14"/>
      <c r="AU1462" s="14"/>
      <c r="AV1462" s="14"/>
      <c r="AW1462" s="14"/>
      <c r="AX1462" s="14"/>
      <c r="AY1462" s="14"/>
      <c r="AZ1462" s="14"/>
      <c r="BA1462" s="14"/>
      <c r="BB1462" s="14"/>
      <c r="BC1462" s="14"/>
      <c r="BD1462" s="14"/>
      <c r="BE1462" s="14"/>
      <c r="BF1462" s="14"/>
      <c r="BG1462" s="14"/>
      <c r="BH1462" s="14"/>
      <c r="BI1462" s="14"/>
      <c r="BJ1462" s="14"/>
      <c r="BK1462" s="14"/>
      <c r="BL1462" s="14"/>
      <c r="BM1462" s="14"/>
      <c r="BN1462" s="14"/>
      <c r="BO1462" s="14"/>
      <c r="BP1462" s="14"/>
      <c r="BQ1462" s="14"/>
      <c r="BR1462" s="14"/>
      <c r="BS1462" s="14"/>
      <c r="BT1462" s="14"/>
      <c r="BU1462" s="14"/>
      <c r="BV1462" s="14"/>
      <c r="BW1462" s="14"/>
      <c r="BX1462" s="14"/>
      <c r="BY1462" s="14"/>
      <c r="BZ1462" s="14"/>
      <c r="CA1462" s="14"/>
      <c r="CB1462" s="14"/>
      <c r="CC1462" s="14"/>
      <c r="CD1462" s="14"/>
      <c r="CE1462" s="14"/>
      <c r="CF1462" s="14"/>
      <c r="CG1462" s="4"/>
      <c r="CH1462" s="4"/>
      <c r="CI1462" s="4"/>
      <c r="CJ1462" s="4"/>
      <c r="CK1462" s="4"/>
      <c r="CL1462" s="4"/>
      <c r="CM1462" s="4"/>
      <c r="CN1462" s="4"/>
      <c r="CO1462" s="4"/>
      <c r="CP1462" s="4"/>
      <c r="CQ1462" s="4"/>
      <c r="CR1462" s="4"/>
      <c r="CS1462" s="4"/>
      <c r="CT1462" s="4"/>
      <c r="CU1462" s="4"/>
      <c r="CV1462" s="4"/>
      <c r="CW1462" s="4"/>
      <c r="CX1462" s="4"/>
      <c r="CY1462" s="4"/>
      <c r="CZ1462" s="4"/>
      <c r="DA1462" s="4"/>
      <c r="DB1462" s="4"/>
      <c r="DC1462" s="4"/>
      <c r="DD1462" s="4"/>
      <c r="DE1462" s="4"/>
      <c r="DF1462" s="4"/>
      <c r="DG1462" s="4"/>
      <c r="DH1462" s="4"/>
      <c r="DI1462" s="4"/>
      <c r="DJ1462" s="4"/>
      <c r="DK1462" s="4"/>
      <c r="DL1462" s="4"/>
    </row>
    <row r="1463" spans="1:116" s="15" customFormat="1" x14ac:dyDescent="0.25">
      <c r="A1463" s="16"/>
      <c r="B1463" s="16"/>
      <c r="C1463" s="16"/>
      <c r="D1463" s="98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  <c r="AB1463" s="14"/>
      <c r="AC1463" s="14"/>
      <c r="AD1463" s="14"/>
      <c r="AE1463" s="14"/>
      <c r="AF1463" s="14"/>
      <c r="AG1463" s="14"/>
      <c r="AH1463" s="14"/>
      <c r="AI1463" s="14"/>
      <c r="AJ1463" s="14"/>
      <c r="AK1463" s="14"/>
      <c r="AL1463" s="14"/>
      <c r="AM1463" s="14"/>
      <c r="AN1463" s="14"/>
      <c r="AO1463" s="14"/>
      <c r="AP1463" s="14"/>
      <c r="AQ1463" s="14"/>
      <c r="AR1463" s="14"/>
      <c r="AS1463" s="14"/>
      <c r="AT1463" s="14"/>
      <c r="AU1463" s="14"/>
      <c r="AV1463" s="14"/>
      <c r="AW1463" s="14"/>
      <c r="AX1463" s="14"/>
      <c r="AY1463" s="14"/>
      <c r="AZ1463" s="14"/>
      <c r="BA1463" s="14"/>
      <c r="BB1463" s="14"/>
      <c r="BC1463" s="14"/>
      <c r="BD1463" s="14"/>
      <c r="BE1463" s="14"/>
      <c r="BF1463" s="14"/>
      <c r="BG1463" s="14"/>
      <c r="BH1463" s="14"/>
      <c r="BI1463" s="14"/>
      <c r="BJ1463" s="14"/>
      <c r="BK1463" s="14"/>
      <c r="BL1463" s="14"/>
      <c r="BM1463" s="14"/>
      <c r="BN1463" s="14"/>
      <c r="BO1463" s="14"/>
      <c r="BP1463" s="14"/>
      <c r="BQ1463" s="14"/>
      <c r="BR1463" s="14"/>
      <c r="BS1463" s="14"/>
      <c r="BT1463" s="14"/>
      <c r="BU1463" s="14"/>
      <c r="BV1463" s="14"/>
      <c r="BW1463" s="14"/>
      <c r="BX1463" s="14"/>
      <c r="BY1463" s="14"/>
      <c r="BZ1463" s="14"/>
      <c r="CA1463" s="14"/>
      <c r="CB1463" s="14"/>
      <c r="CC1463" s="14"/>
      <c r="CD1463" s="14"/>
      <c r="CE1463" s="14"/>
      <c r="CF1463" s="14"/>
      <c r="CG1463" s="4"/>
      <c r="CH1463" s="4"/>
      <c r="CI1463" s="4"/>
      <c r="CJ1463" s="4"/>
      <c r="CK1463" s="4"/>
      <c r="CL1463" s="4"/>
      <c r="CM1463" s="4"/>
      <c r="CN1463" s="4"/>
      <c r="CO1463" s="4"/>
      <c r="CP1463" s="4"/>
      <c r="CQ1463" s="4"/>
      <c r="CR1463" s="4"/>
      <c r="CS1463" s="4"/>
      <c r="CT1463" s="4"/>
      <c r="CU1463" s="4"/>
      <c r="CV1463" s="4"/>
      <c r="CW1463" s="4"/>
      <c r="CX1463" s="4"/>
      <c r="CY1463" s="4"/>
      <c r="CZ1463" s="4"/>
      <c r="DA1463" s="4"/>
      <c r="DB1463" s="4"/>
      <c r="DC1463" s="4"/>
      <c r="DD1463" s="4"/>
      <c r="DE1463" s="4"/>
      <c r="DF1463" s="4"/>
      <c r="DG1463" s="4"/>
      <c r="DH1463" s="4"/>
      <c r="DI1463" s="4"/>
      <c r="DJ1463" s="4"/>
      <c r="DK1463" s="4"/>
      <c r="DL1463" s="4"/>
    </row>
    <row r="1464" spans="1:116" s="15" customFormat="1" x14ac:dyDescent="0.25">
      <c r="A1464" s="16"/>
      <c r="B1464" s="16"/>
      <c r="C1464" s="16"/>
      <c r="D1464" s="98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  <c r="AB1464" s="14"/>
      <c r="AC1464" s="14"/>
      <c r="AD1464" s="14"/>
      <c r="AE1464" s="14"/>
      <c r="AF1464" s="14"/>
      <c r="AG1464" s="14"/>
      <c r="AH1464" s="14"/>
      <c r="AI1464" s="14"/>
      <c r="AJ1464" s="14"/>
      <c r="AK1464" s="14"/>
      <c r="AL1464" s="14"/>
      <c r="AM1464" s="14"/>
      <c r="AN1464" s="14"/>
      <c r="AO1464" s="14"/>
      <c r="AP1464" s="14"/>
      <c r="AQ1464" s="14"/>
      <c r="AR1464" s="14"/>
      <c r="AS1464" s="14"/>
      <c r="AT1464" s="14"/>
      <c r="AU1464" s="14"/>
      <c r="AV1464" s="14"/>
      <c r="AW1464" s="14"/>
      <c r="AX1464" s="14"/>
      <c r="AY1464" s="14"/>
      <c r="AZ1464" s="14"/>
      <c r="BA1464" s="14"/>
      <c r="BB1464" s="14"/>
      <c r="BC1464" s="14"/>
      <c r="BD1464" s="14"/>
      <c r="BE1464" s="14"/>
      <c r="BF1464" s="14"/>
      <c r="BG1464" s="14"/>
      <c r="BH1464" s="14"/>
      <c r="BI1464" s="14"/>
      <c r="BJ1464" s="14"/>
      <c r="BK1464" s="14"/>
      <c r="BL1464" s="14"/>
      <c r="BM1464" s="14"/>
      <c r="BN1464" s="14"/>
      <c r="BO1464" s="14"/>
      <c r="BP1464" s="14"/>
      <c r="BQ1464" s="14"/>
      <c r="BR1464" s="14"/>
      <c r="BS1464" s="14"/>
      <c r="BT1464" s="14"/>
      <c r="BU1464" s="14"/>
      <c r="BV1464" s="14"/>
      <c r="BW1464" s="14"/>
      <c r="BX1464" s="14"/>
      <c r="BY1464" s="14"/>
      <c r="BZ1464" s="14"/>
      <c r="CA1464" s="14"/>
      <c r="CB1464" s="14"/>
      <c r="CC1464" s="14"/>
      <c r="CD1464" s="14"/>
      <c r="CE1464" s="14"/>
      <c r="CF1464" s="14"/>
      <c r="CG1464" s="4"/>
      <c r="CH1464" s="4"/>
      <c r="CI1464" s="4"/>
      <c r="CJ1464" s="4"/>
      <c r="CK1464" s="4"/>
      <c r="CL1464" s="4"/>
      <c r="CM1464" s="4"/>
      <c r="CN1464" s="4"/>
      <c r="CO1464" s="4"/>
      <c r="CP1464" s="4"/>
      <c r="CQ1464" s="4"/>
      <c r="CR1464" s="4"/>
      <c r="CS1464" s="4"/>
      <c r="CT1464" s="4"/>
      <c r="CU1464" s="4"/>
      <c r="CV1464" s="4"/>
      <c r="CW1464" s="4"/>
      <c r="CX1464" s="4"/>
      <c r="CY1464" s="4"/>
      <c r="CZ1464" s="4"/>
      <c r="DA1464" s="4"/>
      <c r="DB1464" s="4"/>
      <c r="DC1464" s="4"/>
      <c r="DD1464" s="4"/>
      <c r="DE1464" s="4"/>
      <c r="DF1464" s="4"/>
      <c r="DG1464" s="4"/>
      <c r="DH1464" s="4"/>
      <c r="DI1464" s="4"/>
      <c r="DJ1464" s="4"/>
      <c r="DK1464" s="4"/>
      <c r="DL1464" s="4"/>
    </row>
    <row r="1465" spans="1:116" s="15" customFormat="1" x14ac:dyDescent="0.25">
      <c r="A1465" s="16"/>
      <c r="B1465" s="16"/>
      <c r="C1465" s="16"/>
      <c r="D1465" s="98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  <c r="AI1465" s="14"/>
      <c r="AJ1465" s="14"/>
      <c r="AK1465" s="14"/>
      <c r="AL1465" s="14"/>
      <c r="AM1465" s="14"/>
      <c r="AN1465" s="14"/>
      <c r="AO1465" s="14"/>
      <c r="AP1465" s="14"/>
      <c r="AQ1465" s="14"/>
      <c r="AR1465" s="14"/>
      <c r="AS1465" s="14"/>
      <c r="AT1465" s="14"/>
      <c r="AU1465" s="14"/>
      <c r="AV1465" s="14"/>
      <c r="AW1465" s="14"/>
      <c r="AX1465" s="14"/>
      <c r="AY1465" s="14"/>
      <c r="AZ1465" s="14"/>
      <c r="BA1465" s="14"/>
      <c r="BB1465" s="14"/>
      <c r="BC1465" s="14"/>
      <c r="BD1465" s="14"/>
      <c r="BE1465" s="14"/>
      <c r="BF1465" s="14"/>
      <c r="BG1465" s="14"/>
      <c r="BH1465" s="14"/>
      <c r="BI1465" s="14"/>
      <c r="BJ1465" s="14"/>
      <c r="BK1465" s="14"/>
      <c r="BL1465" s="14"/>
      <c r="BM1465" s="14"/>
      <c r="BN1465" s="14"/>
      <c r="BO1465" s="14"/>
      <c r="BP1465" s="14"/>
      <c r="BQ1465" s="14"/>
      <c r="BR1465" s="14"/>
      <c r="BS1465" s="14"/>
      <c r="BT1465" s="14"/>
      <c r="BU1465" s="14"/>
      <c r="BV1465" s="14"/>
      <c r="BW1465" s="14"/>
      <c r="BX1465" s="14"/>
      <c r="BY1465" s="14"/>
      <c r="BZ1465" s="14"/>
      <c r="CA1465" s="14"/>
      <c r="CB1465" s="14"/>
      <c r="CC1465" s="14"/>
      <c r="CD1465" s="14"/>
      <c r="CE1465" s="14"/>
      <c r="CF1465" s="14"/>
      <c r="CG1465" s="4"/>
      <c r="CH1465" s="4"/>
      <c r="CI1465" s="4"/>
      <c r="CJ1465" s="4"/>
      <c r="CK1465" s="4"/>
      <c r="CL1465" s="4"/>
      <c r="CM1465" s="4"/>
      <c r="CN1465" s="4"/>
      <c r="CO1465" s="4"/>
      <c r="CP1465" s="4"/>
      <c r="CQ1465" s="4"/>
      <c r="CR1465" s="4"/>
      <c r="CS1465" s="4"/>
      <c r="CT1465" s="4"/>
      <c r="CU1465" s="4"/>
      <c r="CV1465" s="4"/>
      <c r="CW1465" s="4"/>
      <c r="CX1465" s="4"/>
      <c r="CY1465" s="4"/>
      <c r="CZ1465" s="4"/>
      <c r="DA1465" s="4"/>
      <c r="DB1465" s="4"/>
      <c r="DC1465" s="4"/>
      <c r="DD1465" s="4"/>
      <c r="DE1465" s="4"/>
      <c r="DF1465" s="4"/>
      <c r="DG1465" s="4"/>
      <c r="DH1465" s="4"/>
      <c r="DI1465" s="4"/>
      <c r="DJ1465" s="4"/>
      <c r="DK1465" s="4"/>
      <c r="DL1465" s="4"/>
    </row>
    <row r="1466" spans="1:116" s="15" customFormat="1" x14ac:dyDescent="0.25">
      <c r="A1466" s="16"/>
      <c r="B1466" s="16"/>
      <c r="C1466" s="16"/>
      <c r="D1466" s="98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  <c r="AI1466" s="14"/>
      <c r="AJ1466" s="14"/>
      <c r="AK1466" s="14"/>
      <c r="AL1466" s="14"/>
      <c r="AM1466" s="14"/>
      <c r="AN1466" s="14"/>
      <c r="AO1466" s="14"/>
      <c r="AP1466" s="14"/>
      <c r="AQ1466" s="14"/>
      <c r="AR1466" s="14"/>
      <c r="AS1466" s="14"/>
      <c r="AT1466" s="14"/>
      <c r="AU1466" s="14"/>
      <c r="AV1466" s="14"/>
      <c r="AW1466" s="14"/>
      <c r="AX1466" s="14"/>
      <c r="AY1466" s="14"/>
      <c r="AZ1466" s="14"/>
      <c r="BA1466" s="14"/>
      <c r="BB1466" s="14"/>
      <c r="BC1466" s="14"/>
      <c r="BD1466" s="14"/>
      <c r="BE1466" s="14"/>
      <c r="BF1466" s="14"/>
      <c r="BG1466" s="14"/>
      <c r="BH1466" s="14"/>
      <c r="BI1466" s="14"/>
      <c r="BJ1466" s="14"/>
      <c r="BK1466" s="14"/>
      <c r="BL1466" s="14"/>
      <c r="BM1466" s="14"/>
      <c r="BN1466" s="14"/>
      <c r="BO1466" s="14"/>
      <c r="BP1466" s="14"/>
      <c r="BQ1466" s="14"/>
      <c r="BR1466" s="14"/>
      <c r="BS1466" s="14"/>
      <c r="BT1466" s="14"/>
      <c r="BU1466" s="14"/>
      <c r="BV1466" s="14"/>
      <c r="BW1466" s="14"/>
      <c r="BX1466" s="14"/>
      <c r="BY1466" s="14"/>
      <c r="BZ1466" s="14"/>
      <c r="CA1466" s="14"/>
      <c r="CB1466" s="14"/>
      <c r="CC1466" s="14"/>
      <c r="CD1466" s="14"/>
      <c r="CE1466" s="14"/>
      <c r="CF1466" s="14"/>
      <c r="CG1466" s="4"/>
      <c r="CH1466" s="4"/>
      <c r="CI1466" s="4"/>
      <c r="CJ1466" s="4"/>
      <c r="CK1466" s="4"/>
      <c r="CL1466" s="4"/>
      <c r="CM1466" s="4"/>
      <c r="CN1466" s="4"/>
      <c r="CO1466" s="4"/>
      <c r="CP1466" s="4"/>
      <c r="CQ1466" s="4"/>
      <c r="CR1466" s="4"/>
      <c r="CS1466" s="4"/>
      <c r="CT1466" s="4"/>
      <c r="CU1466" s="4"/>
      <c r="CV1466" s="4"/>
      <c r="CW1466" s="4"/>
      <c r="CX1466" s="4"/>
      <c r="CY1466" s="4"/>
      <c r="CZ1466" s="4"/>
      <c r="DA1466" s="4"/>
      <c r="DB1466" s="4"/>
      <c r="DC1466" s="4"/>
      <c r="DD1466" s="4"/>
      <c r="DE1466" s="4"/>
      <c r="DF1466" s="4"/>
      <c r="DG1466" s="4"/>
      <c r="DH1466" s="4"/>
      <c r="DI1466" s="4"/>
      <c r="DJ1466" s="4"/>
      <c r="DK1466" s="4"/>
      <c r="DL1466" s="4"/>
    </row>
    <row r="1467" spans="1:116" s="15" customFormat="1" x14ac:dyDescent="0.25">
      <c r="A1467" s="16"/>
      <c r="B1467" s="16"/>
      <c r="C1467" s="16"/>
      <c r="D1467" s="98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  <c r="AI1467" s="14"/>
      <c r="AJ1467" s="14"/>
      <c r="AK1467" s="14"/>
      <c r="AL1467" s="14"/>
      <c r="AM1467" s="14"/>
      <c r="AN1467" s="14"/>
      <c r="AO1467" s="14"/>
      <c r="AP1467" s="14"/>
      <c r="AQ1467" s="14"/>
      <c r="AR1467" s="14"/>
      <c r="AS1467" s="14"/>
      <c r="AT1467" s="14"/>
      <c r="AU1467" s="14"/>
      <c r="AV1467" s="14"/>
      <c r="AW1467" s="14"/>
      <c r="AX1467" s="14"/>
      <c r="AY1467" s="14"/>
      <c r="AZ1467" s="14"/>
      <c r="BA1467" s="14"/>
      <c r="BB1467" s="14"/>
      <c r="BC1467" s="14"/>
      <c r="BD1467" s="14"/>
      <c r="BE1467" s="14"/>
      <c r="BF1467" s="14"/>
      <c r="BG1467" s="14"/>
      <c r="BH1467" s="14"/>
      <c r="BI1467" s="14"/>
      <c r="BJ1467" s="14"/>
      <c r="BK1467" s="14"/>
      <c r="BL1467" s="14"/>
      <c r="BM1467" s="14"/>
      <c r="BN1467" s="14"/>
      <c r="BO1467" s="14"/>
      <c r="BP1467" s="14"/>
      <c r="BQ1467" s="14"/>
      <c r="BR1467" s="14"/>
      <c r="BS1467" s="14"/>
      <c r="BT1467" s="14"/>
      <c r="BU1467" s="14"/>
      <c r="BV1467" s="14"/>
      <c r="BW1467" s="14"/>
      <c r="BX1467" s="14"/>
      <c r="BY1467" s="14"/>
      <c r="BZ1467" s="14"/>
      <c r="CA1467" s="14"/>
      <c r="CB1467" s="14"/>
      <c r="CC1467" s="14"/>
      <c r="CD1467" s="14"/>
      <c r="CE1467" s="14"/>
      <c r="CF1467" s="14"/>
      <c r="CG1467" s="4"/>
      <c r="CH1467" s="4"/>
      <c r="CI1467" s="4"/>
      <c r="CJ1467" s="4"/>
      <c r="CK1467" s="4"/>
      <c r="CL1467" s="4"/>
      <c r="CM1467" s="4"/>
      <c r="CN1467" s="4"/>
      <c r="CO1467" s="4"/>
      <c r="CP1467" s="4"/>
      <c r="CQ1467" s="4"/>
      <c r="CR1467" s="4"/>
      <c r="CS1467" s="4"/>
      <c r="CT1467" s="4"/>
      <c r="CU1467" s="4"/>
      <c r="CV1467" s="4"/>
      <c r="CW1467" s="4"/>
      <c r="CX1467" s="4"/>
      <c r="CY1467" s="4"/>
      <c r="CZ1467" s="4"/>
      <c r="DA1467" s="4"/>
      <c r="DB1467" s="4"/>
      <c r="DC1467" s="4"/>
      <c r="DD1467" s="4"/>
      <c r="DE1467" s="4"/>
      <c r="DF1467" s="4"/>
      <c r="DG1467" s="4"/>
      <c r="DH1467" s="4"/>
      <c r="DI1467" s="4"/>
      <c r="DJ1467" s="4"/>
      <c r="DK1467" s="4"/>
      <c r="DL1467" s="4"/>
    </row>
    <row r="1468" spans="1:116" s="15" customFormat="1" x14ac:dyDescent="0.25">
      <c r="A1468" s="16"/>
      <c r="B1468" s="16"/>
      <c r="C1468" s="16"/>
      <c r="D1468" s="98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  <c r="AI1468" s="14"/>
      <c r="AJ1468" s="14"/>
      <c r="AK1468" s="14"/>
      <c r="AL1468" s="14"/>
      <c r="AM1468" s="14"/>
      <c r="AN1468" s="14"/>
      <c r="AO1468" s="14"/>
      <c r="AP1468" s="14"/>
      <c r="AQ1468" s="14"/>
      <c r="AR1468" s="14"/>
      <c r="AS1468" s="14"/>
      <c r="AT1468" s="14"/>
      <c r="AU1468" s="14"/>
      <c r="AV1468" s="14"/>
      <c r="AW1468" s="14"/>
      <c r="AX1468" s="14"/>
      <c r="AY1468" s="14"/>
      <c r="AZ1468" s="14"/>
      <c r="BA1468" s="14"/>
      <c r="BB1468" s="14"/>
      <c r="BC1468" s="14"/>
      <c r="BD1468" s="14"/>
      <c r="BE1468" s="14"/>
      <c r="BF1468" s="14"/>
      <c r="BG1468" s="14"/>
      <c r="BH1468" s="14"/>
      <c r="BI1468" s="14"/>
      <c r="BJ1468" s="14"/>
      <c r="BK1468" s="14"/>
      <c r="BL1468" s="14"/>
      <c r="BM1468" s="14"/>
      <c r="BN1468" s="14"/>
      <c r="BO1468" s="14"/>
      <c r="BP1468" s="14"/>
      <c r="BQ1468" s="14"/>
      <c r="BR1468" s="14"/>
      <c r="BS1468" s="14"/>
      <c r="BT1468" s="14"/>
      <c r="BU1468" s="14"/>
      <c r="BV1468" s="14"/>
      <c r="BW1468" s="14"/>
      <c r="BX1468" s="14"/>
      <c r="BY1468" s="14"/>
      <c r="BZ1468" s="14"/>
      <c r="CA1468" s="14"/>
      <c r="CB1468" s="14"/>
      <c r="CC1468" s="14"/>
      <c r="CD1468" s="14"/>
      <c r="CE1468" s="14"/>
      <c r="CF1468" s="14"/>
      <c r="CG1468" s="4"/>
      <c r="CH1468" s="4"/>
      <c r="CI1468" s="4"/>
      <c r="CJ1468" s="4"/>
      <c r="CK1468" s="4"/>
      <c r="CL1468" s="4"/>
      <c r="CM1468" s="4"/>
      <c r="CN1468" s="4"/>
      <c r="CO1468" s="4"/>
      <c r="CP1468" s="4"/>
      <c r="CQ1468" s="4"/>
      <c r="CR1468" s="4"/>
      <c r="CS1468" s="4"/>
      <c r="CT1468" s="4"/>
      <c r="CU1468" s="4"/>
      <c r="CV1468" s="4"/>
      <c r="CW1468" s="4"/>
      <c r="CX1468" s="4"/>
      <c r="CY1468" s="4"/>
      <c r="CZ1468" s="4"/>
      <c r="DA1468" s="4"/>
      <c r="DB1468" s="4"/>
      <c r="DC1468" s="4"/>
      <c r="DD1468" s="4"/>
      <c r="DE1468" s="4"/>
      <c r="DF1468" s="4"/>
      <c r="DG1468" s="4"/>
      <c r="DH1468" s="4"/>
      <c r="DI1468" s="4"/>
      <c r="DJ1468" s="4"/>
      <c r="DK1468" s="4"/>
      <c r="DL1468" s="4"/>
    </row>
    <row r="1469" spans="1:116" s="15" customFormat="1" x14ac:dyDescent="0.25">
      <c r="A1469" s="16"/>
      <c r="B1469" s="16"/>
      <c r="C1469" s="16"/>
      <c r="D1469" s="98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  <c r="AI1469" s="14"/>
      <c r="AJ1469" s="14"/>
      <c r="AK1469" s="14"/>
      <c r="AL1469" s="14"/>
      <c r="AM1469" s="14"/>
      <c r="AN1469" s="14"/>
      <c r="AO1469" s="14"/>
      <c r="AP1469" s="14"/>
      <c r="AQ1469" s="14"/>
      <c r="AR1469" s="14"/>
      <c r="AS1469" s="14"/>
      <c r="AT1469" s="14"/>
      <c r="AU1469" s="14"/>
      <c r="AV1469" s="14"/>
      <c r="AW1469" s="14"/>
      <c r="AX1469" s="14"/>
      <c r="AY1469" s="14"/>
      <c r="AZ1469" s="14"/>
      <c r="BA1469" s="14"/>
      <c r="BB1469" s="14"/>
      <c r="BC1469" s="14"/>
      <c r="BD1469" s="14"/>
      <c r="BE1469" s="14"/>
      <c r="BF1469" s="14"/>
      <c r="BG1469" s="14"/>
      <c r="BH1469" s="14"/>
      <c r="BI1469" s="14"/>
      <c r="BJ1469" s="14"/>
      <c r="BK1469" s="14"/>
      <c r="BL1469" s="14"/>
      <c r="BM1469" s="14"/>
      <c r="BN1469" s="14"/>
      <c r="BO1469" s="14"/>
      <c r="BP1469" s="14"/>
      <c r="BQ1469" s="14"/>
      <c r="BR1469" s="14"/>
      <c r="BS1469" s="14"/>
      <c r="BT1469" s="14"/>
      <c r="BU1469" s="14"/>
      <c r="BV1469" s="14"/>
      <c r="BW1469" s="14"/>
      <c r="BX1469" s="14"/>
      <c r="BY1469" s="14"/>
      <c r="BZ1469" s="14"/>
      <c r="CA1469" s="14"/>
      <c r="CB1469" s="14"/>
      <c r="CC1469" s="14"/>
      <c r="CD1469" s="14"/>
      <c r="CE1469" s="14"/>
      <c r="CF1469" s="14"/>
      <c r="CG1469" s="4"/>
      <c r="CH1469" s="4"/>
      <c r="CI1469" s="4"/>
      <c r="CJ1469" s="4"/>
      <c r="CK1469" s="4"/>
      <c r="CL1469" s="4"/>
      <c r="CM1469" s="4"/>
      <c r="CN1469" s="4"/>
      <c r="CO1469" s="4"/>
      <c r="CP1469" s="4"/>
      <c r="CQ1469" s="4"/>
      <c r="CR1469" s="4"/>
      <c r="CS1469" s="4"/>
      <c r="CT1469" s="4"/>
      <c r="CU1469" s="4"/>
      <c r="CV1469" s="4"/>
      <c r="CW1469" s="4"/>
      <c r="CX1469" s="4"/>
      <c r="CY1469" s="4"/>
      <c r="CZ1469" s="4"/>
      <c r="DA1469" s="4"/>
      <c r="DB1469" s="4"/>
      <c r="DC1469" s="4"/>
      <c r="DD1469" s="4"/>
      <c r="DE1469" s="4"/>
      <c r="DF1469" s="4"/>
      <c r="DG1469" s="4"/>
      <c r="DH1469" s="4"/>
      <c r="DI1469" s="4"/>
      <c r="DJ1469" s="4"/>
      <c r="DK1469" s="4"/>
      <c r="DL1469" s="4"/>
    </row>
    <row r="1470" spans="1:116" s="15" customFormat="1" x14ac:dyDescent="0.25">
      <c r="A1470" s="16"/>
      <c r="B1470" s="16"/>
      <c r="C1470" s="16"/>
      <c r="D1470" s="98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  <c r="AI1470" s="14"/>
      <c r="AJ1470" s="14"/>
      <c r="AK1470" s="14"/>
      <c r="AL1470" s="14"/>
      <c r="AM1470" s="14"/>
      <c r="AN1470" s="14"/>
      <c r="AO1470" s="14"/>
      <c r="AP1470" s="14"/>
      <c r="AQ1470" s="14"/>
      <c r="AR1470" s="14"/>
      <c r="AS1470" s="14"/>
      <c r="AT1470" s="14"/>
      <c r="AU1470" s="14"/>
      <c r="AV1470" s="14"/>
      <c r="AW1470" s="14"/>
      <c r="AX1470" s="14"/>
      <c r="AY1470" s="14"/>
      <c r="AZ1470" s="14"/>
      <c r="BA1470" s="14"/>
      <c r="BB1470" s="14"/>
      <c r="BC1470" s="14"/>
      <c r="BD1470" s="14"/>
      <c r="BE1470" s="14"/>
      <c r="BF1470" s="14"/>
      <c r="BG1470" s="14"/>
      <c r="BH1470" s="14"/>
      <c r="BI1470" s="14"/>
      <c r="BJ1470" s="14"/>
      <c r="BK1470" s="14"/>
      <c r="BL1470" s="14"/>
      <c r="BM1470" s="14"/>
      <c r="BN1470" s="14"/>
      <c r="BO1470" s="14"/>
      <c r="BP1470" s="14"/>
      <c r="BQ1470" s="14"/>
      <c r="BR1470" s="14"/>
      <c r="BS1470" s="14"/>
      <c r="BT1470" s="14"/>
      <c r="BU1470" s="14"/>
      <c r="BV1470" s="14"/>
      <c r="BW1470" s="14"/>
      <c r="BX1470" s="14"/>
      <c r="BY1470" s="14"/>
      <c r="BZ1470" s="14"/>
      <c r="CA1470" s="14"/>
      <c r="CB1470" s="14"/>
      <c r="CC1470" s="14"/>
      <c r="CD1470" s="14"/>
      <c r="CE1470" s="14"/>
      <c r="CF1470" s="14"/>
      <c r="CG1470" s="4"/>
      <c r="CH1470" s="4"/>
      <c r="CI1470" s="4"/>
      <c r="CJ1470" s="4"/>
      <c r="CK1470" s="4"/>
      <c r="CL1470" s="4"/>
      <c r="CM1470" s="4"/>
      <c r="CN1470" s="4"/>
      <c r="CO1470" s="4"/>
      <c r="CP1470" s="4"/>
      <c r="CQ1470" s="4"/>
      <c r="CR1470" s="4"/>
      <c r="CS1470" s="4"/>
      <c r="CT1470" s="4"/>
      <c r="CU1470" s="4"/>
      <c r="CV1470" s="4"/>
      <c r="CW1470" s="4"/>
      <c r="CX1470" s="4"/>
      <c r="CY1470" s="4"/>
      <c r="CZ1470" s="4"/>
      <c r="DA1470" s="4"/>
      <c r="DB1470" s="4"/>
      <c r="DC1470" s="4"/>
      <c r="DD1470" s="4"/>
      <c r="DE1470" s="4"/>
      <c r="DF1470" s="4"/>
      <c r="DG1470" s="4"/>
      <c r="DH1470" s="4"/>
      <c r="DI1470" s="4"/>
      <c r="DJ1470" s="4"/>
      <c r="DK1470" s="4"/>
      <c r="DL1470" s="4"/>
    </row>
    <row r="1471" spans="1:116" s="15" customFormat="1" x14ac:dyDescent="0.25">
      <c r="A1471" s="16"/>
      <c r="B1471" s="16"/>
      <c r="C1471" s="16"/>
      <c r="D1471" s="98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  <c r="AI1471" s="14"/>
      <c r="AJ1471" s="14"/>
      <c r="AK1471" s="14"/>
      <c r="AL1471" s="14"/>
      <c r="AM1471" s="14"/>
      <c r="AN1471" s="14"/>
      <c r="AO1471" s="14"/>
      <c r="AP1471" s="14"/>
      <c r="AQ1471" s="14"/>
      <c r="AR1471" s="14"/>
      <c r="AS1471" s="14"/>
      <c r="AT1471" s="14"/>
      <c r="AU1471" s="14"/>
      <c r="AV1471" s="14"/>
      <c r="AW1471" s="14"/>
      <c r="AX1471" s="14"/>
      <c r="AY1471" s="14"/>
      <c r="AZ1471" s="14"/>
      <c r="BA1471" s="14"/>
      <c r="BB1471" s="14"/>
      <c r="BC1471" s="14"/>
      <c r="BD1471" s="14"/>
      <c r="BE1471" s="14"/>
      <c r="BF1471" s="14"/>
      <c r="BG1471" s="14"/>
      <c r="BH1471" s="14"/>
      <c r="BI1471" s="14"/>
      <c r="BJ1471" s="14"/>
      <c r="BK1471" s="14"/>
      <c r="BL1471" s="14"/>
      <c r="BM1471" s="14"/>
      <c r="BN1471" s="14"/>
      <c r="BO1471" s="14"/>
      <c r="BP1471" s="14"/>
      <c r="BQ1471" s="14"/>
      <c r="BR1471" s="14"/>
      <c r="BS1471" s="14"/>
      <c r="BT1471" s="14"/>
      <c r="BU1471" s="14"/>
      <c r="BV1471" s="14"/>
      <c r="BW1471" s="14"/>
      <c r="BX1471" s="14"/>
      <c r="BY1471" s="14"/>
      <c r="BZ1471" s="14"/>
      <c r="CA1471" s="14"/>
      <c r="CB1471" s="14"/>
      <c r="CC1471" s="14"/>
      <c r="CD1471" s="14"/>
      <c r="CE1471" s="14"/>
      <c r="CF1471" s="14"/>
      <c r="CG1471" s="4"/>
      <c r="CH1471" s="4"/>
      <c r="CI1471" s="4"/>
      <c r="CJ1471" s="4"/>
      <c r="CK1471" s="4"/>
      <c r="CL1471" s="4"/>
      <c r="CM1471" s="4"/>
      <c r="CN1471" s="4"/>
      <c r="CO1471" s="4"/>
      <c r="CP1471" s="4"/>
      <c r="CQ1471" s="4"/>
      <c r="CR1471" s="4"/>
      <c r="CS1471" s="4"/>
      <c r="CT1471" s="4"/>
      <c r="CU1471" s="4"/>
      <c r="CV1471" s="4"/>
      <c r="CW1471" s="4"/>
      <c r="CX1471" s="4"/>
      <c r="CY1471" s="4"/>
      <c r="CZ1471" s="4"/>
      <c r="DA1471" s="4"/>
      <c r="DB1471" s="4"/>
      <c r="DC1471" s="4"/>
      <c r="DD1471" s="4"/>
      <c r="DE1471" s="4"/>
      <c r="DF1471" s="4"/>
      <c r="DG1471" s="4"/>
      <c r="DH1471" s="4"/>
      <c r="DI1471" s="4"/>
      <c r="DJ1471" s="4"/>
      <c r="DK1471" s="4"/>
      <c r="DL1471" s="4"/>
    </row>
    <row r="1472" spans="1:116" s="15" customFormat="1" x14ac:dyDescent="0.25">
      <c r="A1472" s="16"/>
      <c r="B1472" s="16"/>
      <c r="C1472" s="16"/>
      <c r="D1472" s="98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  <c r="AI1472" s="14"/>
      <c r="AJ1472" s="14"/>
      <c r="AK1472" s="14"/>
      <c r="AL1472" s="14"/>
      <c r="AM1472" s="14"/>
      <c r="AN1472" s="14"/>
      <c r="AO1472" s="14"/>
      <c r="AP1472" s="14"/>
      <c r="AQ1472" s="14"/>
      <c r="AR1472" s="14"/>
      <c r="AS1472" s="14"/>
      <c r="AT1472" s="14"/>
      <c r="AU1472" s="14"/>
      <c r="AV1472" s="14"/>
      <c r="AW1472" s="14"/>
      <c r="AX1472" s="14"/>
      <c r="AY1472" s="14"/>
      <c r="AZ1472" s="14"/>
      <c r="BA1472" s="14"/>
      <c r="BB1472" s="14"/>
      <c r="BC1472" s="14"/>
      <c r="BD1472" s="14"/>
      <c r="BE1472" s="14"/>
      <c r="BF1472" s="14"/>
      <c r="BG1472" s="14"/>
      <c r="BH1472" s="14"/>
      <c r="BI1472" s="14"/>
      <c r="BJ1472" s="14"/>
      <c r="BK1472" s="14"/>
      <c r="BL1472" s="14"/>
      <c r="BM1472" s="14"/>
      <c r="BN1472" s="14"/>
      <c r="BO1472" s="14"/>
      <c r="BP1472" s="14"/>
      <c r="BQ1472" s="14"/>
      <c r="BR1472" s="14"/>
      <c r="BS1472" s="14"/>
      <c r="BT1472" s="14"/>
      <c r="BU1472" s="14"/>
      <c r="BV1472" s="14"/>
      <c r="BW1472" s="14"/>
      <c r="BX1472" s="14"/>
      <c r="BY1472" s="14"/>
      <c r="BZ1472" s="14"/>
      <c r="CA1472" s="14"/>
      <c r="CB1472" s="14"/>
      <c r="CC1472" s="14"/>
      <c r="CD1472" s="14"/>
      <c r="CE1472" s="14"/>
      <c r="CF1472" s="14"/>
      <c r="CG1472" s="4"/>
      <c r="CH1472" s="4"/>
      <c r="CI1472" s="4"/>
      <c r="CJ1472" s="4"/>
      <c r="CK1472" s="4"/>
      <c r="CL1472" s="4"/>
      <c r="CM1472" s="4"/>
      <c r="CN1472" s="4"/>
      <c r="CO1472" s="4"/>
      <c r="CP1472" s="4"/>
      <c r="CQ1472" s="4"/>
      <c r="CR1472" s="4"/>
      <c r="CS1472" s="4"/>
      <c r="CT1472" s="4"/>
      <c r="CU1472" s="4"/>
      <c r="CV1472" s="4"/>
      <c r="CW1472" s="4"/>
      <c r="CX1472" s="4"/>
      <c r="CY1472" s="4"/>
      <c r="CZ1472" s="4"/>
      <c r="DA1472" s="4"/>
      <c r="DB1472" s="4"/>
      <c r="DC1472" s="4"/>
      <c r="DD1472" s="4"/>
      <c r="DE1472" s="4"/>
      <c r="DF1472" s="4"/>
      <c r="DG1472" s="4"/>
      <c r="DH1472" s="4"/>
      <c r="DI1472" s="4"/>
      <c r="DJ1472" s="4"/>
      <c r="DK1472" s="4"/>
      <c r="DL1472" s="4"/>
    </row>
    <row r="1473" spans="1:116" s="15" customFormat="1" x14ac:dyDescent="0.25">
      <c r="A1473" s="16"/>
      <c r="B1473" s="16"/>
      <c r="C1473" s="16"/>
      <c r="D1473" s="98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  <c r="AI1473" s="14"/>
      <c r="AJ1473" s="14"/>
      <c r="AK1473" s="14"/>
      <c r="AL1473" s="14"/>
      <c r="AM1473" s="14"/>
      <c r="AN1473" s="14"/>
      <c r="AO1473" s="14"/>
      <c r="AP1473" s="14"/>
      <c r="AQ1473" s="14"/>
      <c r="AR1473" s="14"/>
      <c r="AS1473" s="14"/>
      <c r="AT1473" s="14"/>
      <c r="AU1473" s="14"/>
      <c r="AV1473" s="14"/>
      <c r="AW1473" s="14"/>
      <c r="AX1473" s="14"/>
      <c r="AY1473" s="14"/>
      <c r="AZ1473" s="14"/>
      <c r="BA1473" s="14"/>
      <c r="BB1473" s="14"/>
      <c r="BC1473" s="14"/>
      <c r="BD1473" s="14"/>
      <c r="BE1473" s="14"/>
      <c r="BF1473" s="14"/>
      <c r="BG1473" s="14"/>
      <c r="BH1473" s="14"/>
      <c r="BI1473" s="14"/>
      <c r="BJ1473" s="14"/>
      <c r="BK1473" s="14"/>
      <c r="BL1473" s="14"/>
      <c r="BM1473" s="14"/>
      <c r="BN1473" s="14"/>
      <c r="BO1473" s="14"/>
      <c r="BP1473" s="14"/>
      <c r="BQ1473" s="14"/>
      <c r="BR1473" s="14"/>
      <c r="BS1473" s="14"/>
      <c r="BT1473" s="14"/>
      <c r="BU1473" s="14"/>
      <c r="BV1473" s="14"/>
      <c r="BW1473" s="14"/>
      <c r="BX1473" s="14"/>
      <c r="BY1473" s="14"/>
      <c r="BZ1473" s="14"/>
      <c r="CA1473" s="14"/>
      <c r="CB1473" s="14"/>
      <c r="CC1473" s="14"/>
      <c r="CD1473" s="14"/>
      <c r="CE1473" s="14"/>
      <c r="CF1473" s="14"/>
      <c r="CG1473" s="4"/>
      <c r="CH1473" s="4"/>
      <c r="CI1473" s="4"/>
      <c r="CJ1473" s="4"/>
      <c r="CK1473" s="4"/>
      <c r="CL1473" s="4"/>
      <c r="CM1473" s="4"/>
      <c r="CN1473" s="4"/>
      <c r="CO1473" s="4"/>
      <c r="CP1473" s="4"/>
      <c r="CQ1473" s="4"/>
      <c r="CR1473" s="4"/>
      <c r="CS1473" s="4"/>
      <c r="CT1473" s="4"/>
      <c r="CU1473" s="4"/>
      <c r="CV1473" s="4"/>
      <c r="CW1473" s="4"/>
      <c r="CX1473" s="4"/>
      <c r="CY1473" s="4"/>
      <c r="CZ1473" s="4"/>
      <c r="DA1473" s="4"/>
      <c r="DB1473" s="4"/>
      <c r="DC1473" s="4"/>
      <c r="DD1473" s="4"/>
      <c r="DE1473" s="4"/>
      <c r="DF1473" s="4"/>
      <c r="DG1473" s="4"/>
      <c r="DH1473" s="4"/>
      <c r="DI1473" s="4"/>
      <c r="DJ1473" s="4"/>
      <c r="DK1473" s="4"/>
      <c r="DL1473" s="4"/>
    </row>
    <row r="1474" spans="1:116" s="15" customFormat="1" x14ac:dyDescent="0.25">
      <c r="A1474" s="16"/>
      <c r="B1474" s="16"/>
      <c r="C1474" s="16"/>
      <c r="D1474" s="98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  <c r="AI1474" s="14"/>
      <c r="AJ1474" s="14"/>
      <c r="AK1474" s="14"/>
      <c r="AL1474" s="14"/>
      <c r="AM1474" s="14"/>
      <c r="AN1474" s="14"/>
      <c r="AO1474" s="14"/>
      <c r="AP1474" s="14"/>
      <c r="AQ1474" s="14"/>
      <c r="AR1474" s="14"/>
      <c r="AS1474" s="14"/>
      <c r="AT1474" s="14"/>
      <c r="AU1474" s="14"/>
      <c r="AV1474" s="14"/>
      <c r="AW1474" s="14"/>
      <c r="AX1474" s="14"/>
      <c r="AY1474" s="14"/>
      <c r="AZ1474" s="14"/>
      <c r="BA1474" s="14"/>
      <c r="BB1474" s="14"/>
      <c r="BC1474" s="14"/>
      <c r="BD1474" s="14"/>
      <c r="BE1474" s="14"/>
      <c r="BF1474" s="14"/>
      <c r="BG1474" s="14"/>
      <c r="BH1474" s="14"/>
      <c r="BI1474" s="14"/>
      <c r="BJ1474" s="14"/>
      <c r="BK1474" s="14"/>
      <c r="BL1474" s="14"/>
      <c r="BM1474" s="14"/>
      <c r="BN1474" s="14"/>
      <c r="BO1474" s="14"/>
      <c r="BP1474" s="14"/>
      <c r="BQ1474" s="14"/>
      <c r="BR1474" s="14"/>
      <c r="BS1474" s="14"/>
      <c r="BT1474" s="14"/>
      <c r="BU1474" s="14"/>
      <c r="BV1474" s="14"/>
      <c r="BW1474" s="14"/>
      <c r="BX1474" s="14"/>
      <c r="BY1474" s="14"/>
      <c r="BZ1474" s="14"/>
      <c r="CA1474" s="14"/>
      <c r="CB1474" s="14"/>
      <c r="CC1474" s="14"/>
      <c r="CD1474" s="14"/>
      <c r="CE1474" s="14"/>
      <c r="CF1474" s="14"/>
      <c r="CG1474" s="4"/>
      <c r="CH1474" s="4"/>
      <c r="CI1474" s="4"/>
      <c r="CJ1474" s="4"/>
      <c r="CK1474" s="4"/>
      <c r="CL1474" s="4"/>
      <c r="CM1474" s="4"/>
      <c r="CN1474" s="4"/>
      <c r="CO1474" s="4"/>
      <c r="CP1474" s="4"/>
      <c r="CQ1474" s="4"/>
      <c r="CR1474" s="4"/>
      <c r="CS1474" s="4"/>
      <c r="CT1474" s="4"/>
      <c r="CU1474" s="4"/>
      <c r="CV1474" s="4"/>
      <c r="CW1474" s="4"/>
      <c r="CX1474" s="4"/>
      <c r="CY1474" s="4"/>
      <c r="CZ1474" s="4"/>
      <c r="DA1474" s="4"/>
      <c r="DB1474" s="4"/>
      <c r="DC1474" s="4"/>
      <c r="DD1474" s="4"/>
      <c r="DE1474" s="4"/>
      <c r="DF1474" s="4"/>
      <c r="DG1474" s="4"/>
      <c r="DH1474" s="4"/>
      <c r="DI1474" s="4"/>
      <c r="DJ1474" s="4"/>
      <c r="DK1474" s="4"/>
      <c r="DL1474" s="4"/>
    </row>
    <row r="1475" spans="1:116" s="15" customFormat="1" x14ac:dyDescent="0.25">
      <c r="A1475" s="16"/>
      <c r="B1475" s="16"/>
      <c r="C1475" s="16"/>
      <c r="D1475" s="98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  <c r="AI1475" s="14"/>
      <c r="AJ1475" s="14"/>
      <c r="AK1475" s="14"/>
      <c r="AL1475" s="14"/>
      <c r="AM1475" s="14"/>
      <c r="AN1475" s="14"/>
      <c r="AO1475" s="14"/>
      <c r="AP1475" s="14"/>
      <c r="AQ1475" s="14"/>
      <c r="AR1475" s="14"/>
      <c r="AS1475" s="14"/>
      <c r="AT1475" s="14"/>
      <c r="AU1475" s="14"/>
      <c r="AV1475" s="14"/>
      <c r="AW1475" s="14"/>
      <c r="AX1475" s="14"/>
      <c r="AY1475" s="14"/>
      <c r="AZ1475" s="14"/>
      <c r="BA1475" s="14"/>
      <c r="BB1475" s="14"/>
      <c r="BC1475" s="14"/>
      <c r="BD1475" s="14"/>
      <c r="BE1475" s="14"/>
      <c r="BF1475" s="14"/>
      <c r="BG1475" s="14"/>
      <c r="BH1475" s="14"/>
      <c r="BI1475" s="14"/>
      <c r="BJ1475" s="14"/>
      <c r="BK1475" s="14"/>
      <c r="BL1475" s="14"/>
      <c r="BM1475" s="14"/>
      <c r="BN1475" s="14"/>
      <c r="BO1475" s="14"/>
      <c r="BP1475" s="14"/>
      <c r="BQ1475" s="14"/>
      <c r="BR1475" s="14"/>
      <c r="BS1475" s="14"/>
      <c r="BT1475" s="14"/>
      <c r="BU1475" s="14"/>
      <c r="BV1475" s="14"/>
      <c r="BW1475" s="14"/>
      <c r="BX1475" s="14"/>
      <c r="BY1475" s="14"/>
      <c r="BZ1475" s="14"/>
      <c r="CA1475" s="14"/>
      <c r="CB1475" s="14"/>
      <c r="CC1475" s="14"/>
      <c r="CD1475" s="14"/>
      <c r="CE1475" s="14"/>
      <c r="CF1475" s="14"/>
      <c r="CG1475" s="4"/>
      <c r="CH1475" s="4"/>
      <c r="CI1475" s="4"/>
      <c r="CJ1475" s="4"/>
      <c r="CK1475" s="4"/>
      <c r="CL1475" s="4"/>
      <c r="CM1475" s="4"/>
      <c r="CN1475" s="4"/>
      <c r="CO1475" s="4"/>
      <c r="CP1475" s="4"/>
      <c r="CQ1475" s="4"/>
      <c r="CR1475" s="4"/>
      <c r="CS1475" s="4"/>
      <c r="CT1475" s="4"/>
      <c r="CU1475" s="4"/>
      <c r="CV1475" s="4"/>
      <c r="CW1475" s="4"/>
      <c r="CX1475" s="4"/>
      <c r="CY1475" s="4"/>
      <c r="CZ1475" s="4"/>
      <c r="DA1475" s="4"/>
      <c r="DB1475" s="4"/>
      <c r="DC1475" s="4"/>
      <c r="DD1475" s="4"/>
      <c r="DE1475" s="4"/>
      <c r="DF1475" s="4"/>
      <c r="DG1475" s="4"/>
      <c r="DH1475" s="4"/>
      <c r="DI1475" s="4"/>
      <c r="DJ1475" s="4"/>
      <c r="DK1475" s="4"/>
      <c r="DL1475" s="4"/>
    </row>
    <row r="1476" spans="1:116" s="15" customFormat="1" x14ac:dyDescent="0.25">
      <c r="A1476" s="16"/>
      <c r="B1476" s="16"/>
      <c r="C1476" s="16"/>
      <c r="D1476" s="98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  <c r="AB1476" s="14"/>
      <c r="AC1476" s="14"/>
      <c r="AD1476" s="14"/>
      <c r="AE1476" s="14"/>
      <c r="AF1476" s="14"/>
      <c r="AG1476" s="14"/>
      <c r="AH1476" s="14"/>
      <c r="AI1476" s="14"/>
      <c r="AJ1476" s="14"/>
      <c r="AK1476" s="14"/>
      <c r="AL1476" s="14"/>
      <c r="AM1476" s="14"/>
      <c r="AN1476" s="14"/>
      <c r="AO1476" s="14"/>
      <c r="AP1476" s="14"/>
      <c r="AQ1476" s="14"/>
      <c r="AR1476" s="14"/>
      <c r="AS1476" s="14"/>
      <c r="AT1476" s="14"/>
      <c r="AU1476" s="14"/>
      <c r="AV1476" s="14"/>
      <c r="AW1476" s="14"/>
      <c r="AX1476" s="14"/>
      <c r="AY1476" s="14"/>
      <c r="AZ1476" s="14"/>
      <c r="BA1476" s="14"/>
      <c r="BB1476" s="14"/>
      <c r="BC1476" s="14"/>
      <c r="BD1476" s="14"/>
      <c r="BE1476" s="14"/>
      <c r="BF1476" s="14"/>
      <c r="BG1476" s="14"/>
      <c r="BH1476" s="14"/>
      <c r="BI1476" s="14"/>
      <c r="BJ1476" s="14"/>
      <c r="BK1476" s="14"/>
      <c r="BL1476" s="14"/>
      <c r="BM1476" s="14"/>
      <c r="BN1476" s="14"/>
      <c r="BO1476" s="14"/>
      <c r="BP1476" s="14"/>
      <c r="BQ1476" s="14"/>
      <c r="BR1476" s="14"/>
      <c r="BS1476" s="14"/>
      <c r="BT1476" s="14"/>
      <c r="BU1476" s="14"/>
      <c r="BV1476" s="14"/>
      <c r="BW1476" s="14"/>
      <c r="BX1476" s="14"/>
      <c r="BY1476" s="14"/>
      <c r="BZ1476" s="14"/>
      <c r="CA1476" s="14"/>
      <c r="CB1476" s="14"/>
      <c r="CC1476" s="14"/>
      <c r="CD1476" s="14"/>
      <c r="CE1476" s="14"/>
      <c r="CF1476" s="14"/>
      <c r="CG1476" s="4"/>
      <c r="CH1476" s="4"/>
      <c r="CI1476" s="4"/>
      <c r="CJ1476" s="4"/>
      <c r="CK1476" s="4"/>
      <c r="CL1476" s="4"/>
      <c r="CM1476" s="4"/>
      <c r="CN1476" s="4"/>
      <c r="CO1476" s="4"/>
      <c r="CP1476" s="4"/>
      <c r="CQ1476" s="4"/>
      <c r="CR1476" s="4"/>
      <c r="CS1476" s="4"/>
      <c r="CT1476" s="4"/>
      <c r="CU1476" s="4"/>
      <c r="CV1476" s="4"/>
      <c r="CW1476" s="4"/>
      <c r="CX1476" s="4"/>
      <c r="CY1476" s="4"/>
      <c r="CZ1476" s="4"/>
      <c r="DA1476" s="4"/>
      <c r="DB1476" s="4"/>
      <c r="DC1476" s="4"/>
      <c r="DD1476" s="4"/>
      <c r="DE1476" s="4"/>
      <c r="DF1476" s="4"/>
      <c r="DG1476" s="4"/>
      <c r="DH1476" s="4"/>
      <c r="DI1476" s="4"/>
      <c r="DJ1476" s="4"/>
      <c r="DK1476" s="4"/>
      <c r="DL1476" s="4"/>
    </row>
    <row r="1477" spans="1:116" s="15" customFormat="1" x14ac:dyDescent="0.25">
      <c r="A1477" s="16"/>
      <c r="B1477" s="16"/>
      <c r="C1477" s="16"/>
      <c r="D1477" s="98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  <c r="AB1477" s="14"/>
      <c r="AC1477" s="14"/>
      <c r="AD1477" s="14"/>
      <c r="AE1477" s="14"/>
      <c r="AF1477" s="14"/>
      <c r="AG1477" s="14"/>
      <c r="AH1477" s="14"/>
      <c r="AI1477" s="14"/>
      <c r="AJ1477" s="14"/>
      <c r="AK1477" s="14"/>
      <c r="AL1477" s="14"/>
      <c r="AM1477" s="14"/>
      <c r="AN1477" s="14"/>
      <c r="AO1477" s="14"/>
      <c r="AP1477" s="14"/>
      <c r="AQ1477" s="14"/>
      <c r="AR1477" s="14"/>
      <c r="AS1477" s="14"/>
      <c r="AT1477" s="14"/>
      <c r="AU1477" s="14"/>
      <c r="AV1477" s="14"/>
      <c r="AW1477" s="14"/>
      <c r="AX1477" s="14"/>
      <c r="AY1477" s="14"/>
      <c r="AZ1477" s="14"/>
      <c r="BA1477" s="14"/>
      <c r="BB1477" s="14"/>
      <c r="BC1477" s="14"/>
      <c r="BD1477" s="14"/>
      <c r="BE1477" s="14"/>
      <c r="BF1477" s="14"/>
      <c r="BG1477" s="14"/>
      <c r="BH1477" s="14"/>
      <c r="BI1477" s="14"/>
      <c r="BJ1477" s="14"/>
      <c r="BK1477" s="14"/>
      <c r="BL1477" s="14"/>
      <c r="BM1477" s="14"/>
      <c r="BN1477" s="14"/>
      <c r="BO1477" s="14"/>
      <c r="BP1477" s="14"/>
      <c r="BQ1477" s="14"/>
      <c r="BR1477" s="14"/>
      <c r="BS1477" s="14"/>
      <c r="BT1477" s="14"/>
      <c r="BU1477" s="14"/>
      <c r="BV1477" s="14"/>
      <c r="BW1477" s="14"/>
      <c r="BX1477" s="14"/>
      <c r="BY1477" s="14"/>
      <c r="BZ1477" s="14"/>
      <c r="CA1477" s="14"/>
      <c r="CB1477" s="14"/>
      <c r="CC1477" s="14"/>
      <c r="CD1477" s="14"/>
      <c r="CE1477" s="14"/>
      <c r="CF1477" s="14"/>
      <c r="CG1477" s="4"/>
      <c r="CH1477" s="4"/>
      <c r="CI1477" s="4"/>
      <c r="CJ1477" s="4"/>
      <c r="CK1477" s="4"/>
      <c r="CL1477" s="4"/>
      <c r="CM1477" s="4"/>
      <c r="CN1477" s="4"/>
      <c r="CO1477" s="4"/>
      <c r="CP1477" s="4"/>
      <c r="CQ1477" s="4"/>
      <c r="CR1477" s="4"/>
      <c r="CS1477" s="4"/>
      <c r="CT1477" s="4"/>
      <c r="CU1477" s="4"/>
      <c r="CV1477" s="4"/>
      <c r="CW1477" s="4"/>
      <c r="CX1477" s="4"/>
      <c r="CY1477" s="4"/>
      <c r="CZ1477" s="4"/>
      <c r="DA1477" s="4"/>
      <c r="DB1477" s="4"/>
      <c r="DC1477" s="4"/>
      <c r="DD1477" s="4"/>
      <c r="DE1477" s="4"/>
      <c r="DF1477" s="4"/>
      <c r="DG1477" s="4"/>
      <c r="DH1477" s="4"/>
      <c r="DI1477" s="4"/>
      <c r="DJ1477" s="4"/>
      <c r="DK1477" s="4"/>
      <c r="DL1477" s="4"/>
    </row>
    <row r="1478" spans="1:116" s="15" customFormat="1" x14ac:dyDescent="0.25">
      <c r="A1478" s="16"/>
      <c r="B1478" s="16"/>
      <c r="C1478" s="16"/>
      <c r="D1478" s="98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  <c r="AI1478" s="14"/>
      <c r="AJ1478" s="14"/>
      <c r="AK1478" s="14"/>
      <c r="AL1478" s="14"/>
      <c r="AM1478" s="14"/>
      <c r="AN1478" s="14"/>
      <c r="AO1478" s="14"/>
      <c r="AP1478" s="14"/>
      <c r="AQ1478" s="14"/>
      <c r="AR1478" s="14"/>
      <c r="AS1478" s="14"/>
      <c r="AT1478" s="14"/>
      <c r="AU1478" s="14"/>
      <c r="AV1478" s="14"/>
      <c r="AW1478" s="14"/>
      <c r="AX1478" s="14"/>
      <c r="AY1478" s="14"/>
      <c r="AZ1478" s="14"/>
      <c r="BA1478" s="14"/>
      <c r="BB1478" s="14"/>
      <c r="BC1478" s="14"/>
      <c r="BD1478" s="14"/>
      <c r="BE1478" s="14"/>
      <c r="BF1478" s="14"/>
      <c r="BG1478" s="14"/>
      <c r="BH1478" s="14"/>
      <c r="BI1478" s="14"/>
      <c r="BJ1478" s="14"/>
      <c r="BK1478" s="14"/>
      <c r="BL1478" s="14"/>
      <c r="BM1478" s="14"/>
      <c r="BN1478" s="14"/>
      <c r="BO1478" s="14"/>
      <c r="BP1478" s="14"/>
      <c r="BQ1478" s="14"/>
      <c r="BR1478" s="14"/>
      <c r="BS1478" s="14"/>
      <c r="BT1478" s="14"/>
      <c r="BU1478" s="14"/>
      <c r="BV1478" s="14"/>
      <c r="BW1478" s="14"/>
      <c r="BX1478" s="14"/>
      <c r="BY1478" s="14"/>
      <c r="BZ1478" s="14"/>
      <c r="CA1478" s="14"/>
      <c r="CB1478" s="14"/>
      <c r="CC1478" s="14"/>
      <c r="CD1478" s="14"/>
      <c r="CE1478" s="14"/>
      <c r="CF1478" s="14"/>
      <c r="CG1478" s="4"/>
      <c r="CH1478" s="4"/>
      <c r="CI1478" s="4"/>
      <c r="CJ1478" s="4"/>
      <c r="CK1478" s="4"/>
      <c r="CL1478" s="4"/>
      <c r="CM1478" s="4"/>
      <c r="CN1478" s="4"/>
      <c r="CO1478" s="4"/>
      <c r="CP1478" s="4"/>
      <c r="CQ1478" s="4"/>
      <c r="CR1478" s="4"/>
      <c r="CS1478" s="4"/>
      <c r="CT1478" s="4"/>
      <c r="CU1478" s="4"/>
      <c r="CV1478" s="4"/>
      <c r="CW1478" s="4"/>
      <c r="CX1478" s="4"/>
      <c r="CY1478" s="4"/>
      <c r="CZ1478" s="4"/>
      <c r="DA1478" s="4"/>
      <c r="DB1478" s="4"/>
      <c r="DC1478" s="4"/>
      <c r="DD1478" s="4"/>
      <c r="DE1478" s="4"/>
      <c r="DF1478" s="4"/>
      <c r="DG1478" s="4"/>
      <c r="DH1478" s="4"/>
      <c r="DI1478" s="4"/>
      <c r="DJ1478" s="4"/>
      <c r="DK1478" s="4"/>
      <c r="DL1478" s="4"/>
    </row>
    <row r="1479" spans="1:116" s="15" customFormat="1" x14ac:dyDescent="0.25">
      <c r="A1479" s="16"/>
      <c r="B1479" s="16"/>
      <c r="C1479" s="16"/>
      <c r="D1479" s="98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  <c r="AI1479" s="14"/>
      <c r="AJ1479" s="14"/>
      <c r="AK1479" s="14"/>
      <c r="AL1479" s="14"/>
      <c r="AM1479" s="14"/>
      <c r="AN1479" s="14"/>
      <c r="AO1479" s="14"/>
      <c r="AP1479" s="14"/>
      <c r="AQ1479" s="14"/>
      <c r="AR1479" s="14"/>
      <c r="AS1479" s="14"/>
      <c r="AT1479" s="14"/>
      <c r="AU1479" s="14"/>
      <c r="AV1479" s="14"/>
      <c r="AW1479" s="14"/>
      <c r="AX1479" s="14"/>
      <c r="AY1479" s="14"/>
      <c r="AZ1479" s="14"/>
      <c r="BA1479" s="14"/>
      <c r="BB1479" s="14"/>
      <c r="BC1479" s="14"/>
      <c r="BD1479" s="14"/>
      <c r="BE1479" s="14"/>
      <c r="BF1479" s="14"/>
      <c r="BG1479" s="14"/>
      <c r="BH1479" s="14"/>
      <c r="BI1479" s="14"/>
      <c r="BJ1479" s="14"/>
      <c r="BK1479" s="14"/>
      <c r="BL1479" s="14"/>
      <c r="BM1479" s="14"/>
      <c r="BN1479" s="14"/>
      <c r="BO1479" s="14"/>
      <c r="BP1479" s="14"/>
      <c r="BQ1479" s="14"/>
      <c r="BR1479" s="14"/>
      <c r="BS1479" s="14"/>
      <c r="BT1479" s="14"/>
      <c r="BU1479" s="14"/>
      <c r="BV1479" s="14"/>
      <c r="BW1479" s="14"/>
      <c r="BX1479" s="14"/>
      <c r="BY1479" s="14"/>
      <c r="BZ1479" s="14"/>
      <c r="CA1479" s="14"/>
      <c r="CB1479" s="14"/>
      <c r="CC1479" s="14"/>
      <c r="CD1479" s="14"/>
      <c r="CE1479" s="14"/>
      <c r="CF1479" s="14"/>
      <c r="CG1479" s="4"/>
      <c r="CH1479" s="4"/>
      <c r="CI1479" s="4"/>
      <c r="CJ1479" s="4"/>
      <c r="CK1479" s="4"/>
      <c r="CL1479" s="4"/>
      <c r="CM1479" s="4"/>
      <c r="CN1479" s="4"/>
      <c r="CO1479" s="4"/>
      <c r="CP1479" s="4"/>
      <c r="CQ1479" s="4"/>
      <c r="CR1479" s="4"/>
      <c r="CS1479" s="4"/>
      <c r="CT1479" s="4"/>
      <c r="CU1479" s="4"/>
      <c r="CV1479" s="4"/>
      <c r="CW1479" s="4"/>
      <c r="CX1479" s="4"/>
      <c r="CY1479" s="4"/>
      <c r="CZ1479" s="4"/>
      <c r="DA1479" s="4"/>
      <c r="DB1479" s="4"/>
      <c r="DC1479" s="4"/>
      <c r="DD1479" s="4"/>
      <c r="DE1479" s="4"/>
      <c r="DF1479" s="4"/>
      <c r="DG1479" s="4"/>
      <c r="DH1479" s="4"/>
      <c r="DI1479" s="4"/>
      <c r="DJ1479" s="4"/>
      <c r="DK1479" s="4"/>
      <c r="DL1479" s="4"/>
    </row>
    <row r="1480" spans="1:116" s="15" customFormat="1" x14ac:dyDescent="0.25">
      <c r="A1480" s="16"/>
      <c r="B1480" s="16"/>
      <c r="C1480" s="16"/>
      <c r="D1480" s="98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  <c r="AI1480" s="14"/>
      <c r="AJ1480" s="14"/>
      <c r="AK1480" s="14"/>
      <c r="AL1480" s="14"/>
      <c r="AM1480" s="14"/>
      <c r="AN1480" s="14"/>
      <c r="AO1480" s="14"/>
      <c r="AP1480" s="14"/>
      <c r="AQ1480" s="14"/>
      <c r="AR1480" s="14"/>
      <c r="AS1480" s="14"/>
      <c r="AT1480" s="14"/>
      <c r="AU1480" s="14"/>
      <c r="AV1480" s="14"/>
      <c r="AW1480" s="14"/>
      <c r="AX1480" s="14"/>
      <c r="AY1480" s="14"/>
      <c r="AZ1480" s="14"/>
      <c r="BA1480" s="14"/>
      <c r="BB1480" s="14"/>
      <c r="BC1480" s="14"/>
      <c r="BD1480" s="14"/>
      <c r="BE1480" s="14"/>
      <c r="BF1480" s="14"/>
      <c r="BG1480" s="14"/>
      <c r="BH1480" s="14"/>
      <c r="BI1480" s="14"/>
      <c r="BJ1480" s="14"/>
      <c r="BK1480" s="14"/>
      <c r="BL1480" s="14"/>
      <c r="BM1480" s="14"/>
      <c r="BN1480" s="14"/>
      <c r="BO1480" s="14"/>
      <c r="BP1480" s="14"/>
      <c r="BQ1480" s="14"/>
      <c r="BR1480" s="14"/>
      <c r="BS1480" s="14"/>
      <c r="BT1480" s="14"/>
      <c r="BU1480" s="14"/>
      <c r="BV1480" s="14"/>
      <c r="BW1480" s="14"/>
      <c r="BX1480" s="14"/>
      <c r="BY1480" s="14"/>
      <c r="BZ1480" s="14"/>
      <c r="CA1480" s="14"/>
      <c r="CB1480" s="14"/>
      <c r="CC1480" s="14"/>
      <c r="CD1480" s="14"/>
      <c r="CE1480" s="14"/>
      <c r="CF1480" s="14"/>
      <c r="CG1480" s="4"/>
      <c r="CH1480" s="4"/>
      <c r="CI1480" s="4"/>
      <c r="CJ1480" s="4"/>
      <c r="CK1480" s="4"/>
      <c r="CL1480" s="4"/>
      <c r="CM1480" s="4"/>
      <c r="CN1480" s="4"/>
      <c r="CO1480" s="4"/>
      <c r="CP1480" s="4"/>
      <c r="CQ1480" s="4"/>
      <c r="CR1480" s="4"/>
      <c r="CS1480" s="4"/>
      <c r="CT1480" s="4"/>
      <c r="CU1480" s="4"/>
      <c r="CV1480" s="4"/>
      <c r="CW1480" s="4"/>
      <c r="CX1480" s="4"/>
      <c r="CY1480" s="4"/>
      <c r="CZ1480" s="4"/>
      <c r="DA1480" s="4"/>
      <c r="DB1480" s="4"/>
      <c r="DC1480" s="4"/>
      <c r="DD1480" s="4"/>
      <c r="DE1480" s="4"/>
      <c r="DF1480" s="4"/>
      <c r="DG1480" s="4"/>
      <c r="DH1480" s="4"/>
      <c r="DI1480" s="4"/>
      <c r="DJ1480" s="4"/>
      <c r="DK1480" s="4"/>
      <c r="DL1480" s="4"/>
    </row>
    <row r="1481" spans="1:116" s="15" customFormat="1" x14ac:dyDescent="0.25">
      <c r="A1481" s="16"/>
      <c r="B1481" s="16"/>
      <c r="C1481" s="16"/>
      <c r="D1481" s="98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  <c r="AI1481" s="14"/>
      <c r="AJ1481" s="14"/>
      <c r="AK1481" s="14"/>
      <c r="AL1481" s="14"/>
      <c r="AM1481" s="14"/>
      <c r="AN1481" s="14"/>
      <c r="AO1481" s="14"/>
      <c r="AP1481" s="14"/>
      <c r="AQ1481" s="14"/>
      <c r="AR1481" s="14"/>
      <c r="AS1481" s="14"/>
      <c r="AT1481" s="14"/>
      <c r="AU1481" s="14"/>
      <c r="AV1481" s="14"/>
      <c r="AW1481" s="14"/>
      <c r="AX1481" s="14"/>
      <c r="AY1481" s="14"/>
      <c r="AZ1481" s="14"/>
      <c r="BA1481" s="14"/>
      <c r="BB1481" s="14"/>
      <c r="BC1481" s="14"/>
      <c r="BD1481" s="14"/>
      <c r="BE1481" s="14"/>
      <c r="BF1481" s="14"/>
      <c r="BG1481" s="14"/>
      <c r="BH1481" s="14"/>
      <c r="BI1481" s="14"/>
      <c r="BJ1481" s="14"/>
      <c r="BK1481" s="14"/>
      <c r="BL1481" s="14"/>
      <c r="BM1481" s="14"/>
      <c r="BN1481" s="14"/>
      <c r="BO1481" s="14"/>
      <c r="BP1481" s="14"/>
      <c r="BQ1481" s="14"/>
      <c r="BR1481" s="14"/>
      <c r="BS1481" s="14"/>
      <c r="BT1481" s="14"/>
      <c r="BU1481" s="14"/>
      <c r="BV1481" s="14"/>
      <c r="BW1481" s="14"/>
      <c r="BX1481" s="14"/>
      <c r="BY1481" s="14"/>
      <c r="BZ1481" s="14"/>
      <c r="CA1481" s="14"/>
      <c r="CB1481" s="14"/>
      <c r="CC1481" s="14"/>
      <c r="CD1481" s="14"/>
      <c r="CE1481" s="14"/>
      <c r="CF1481" s="14"/>
      <c r="CG1481" s="4"/>
      <c r="CH1481" s="4"/>
      <c r="CI1481" s="4"/>
      <c r="CJ1481" s="4"/>
      <c r="CK1481" s="4"/>
      <c r="CL1481" s="4"/>
      <c r="CM1481" s="4"/>
      <c r="CN1481" s="4"/>
      <c r="CO1481" s="4"/>
      <c r="CP1481" s="4"/>
      <c r="CQ1481" s="4"/>
      <c r="CR1481" s="4"/>
      <c r="CS1481" s="4"/>
      <c r="CT1481" s="4"/>
      <c r="CU1481" s="4"/>
      <c r="CV1481" s="4"/>
      <c r="CW1481" s="4"/>
      <c r="CX1481" s="4"/>
      <c r="CY1481" s="4"/>
      <c r="CZ1481" s="4"/>
      <c r="DA1481" s="4"/>
      <c r="DB1481" s="4"/>
      <c r="DC1481" s="4"/>
      <c r="DD1481" s="4"/>
      <c r="DE1481" s="4"/>
      <c r="DF1481" s="4"/>
      <c r="DG1481" s="4"/>
      <c r="DH1481" s="4"/>
      <c r="DI1481" s="4"/>
      <c r="DJ1481" s="4"/>
      <c r="DK1481" s="4"/>
      <c r="DL1481" s="4"/>
    </row>
    <row r="1482" spans="1:116" s="15" customFormat="1" x14ac:dyDescent="0.25">
      <c r="A1482" s="16"/>
      <c r="B1482" s="16"/>
      <c r="C1482" s="16"/>
      <c r="D1482" s="98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  <c r="AI1482" s="14"/>
      <c r="AJ1482" s="14"/>
      <c r="AK1482" s="14"/>
      <c r="AL1482" s="14"/>
      <c r="AM1482" s="14"/>
      <c r="AN1482" s="14"/>
      <c r="AO1482" s="14"/>
      <c r="AP1482" s="14"/>
      <c r="AQ1482" s="14"/>
      <c r="AR1482" s="14"/>
      <c r="AS1482" s="14"/>
      <c r="AT1482" s="14"/>
      <c r="AU1482" s="14"/>
      <c r="AV1482" s="14"/>
      <c r="AW1482" s="14"/>
      <c r="AX1482" s="14"/>
      <c r="AY1482" s="14"/>
      <c r="AZ1482" s="14"/>
      <c r="BA1482" s="14"/>
      <c r="BB1482" s="14"/>
      <c r="BC1482" s="14"/>
      <c r="BD1482" s="14"/>
      <c r="BE1482" s="14"/>
      <c r="BF1482" s="14"/>
      <c r="BG1482" s="14"/>
      <c r="BH1482" s="14"/>
      <c r="BI1482" s="14"/>
      <c r="BJ1482" s="14"/>
      <c r="BK1482" s="14"/>
      <c r="BL1482" s="14"/>
      <c r="BM1482" s="14"/>
      <c r="BN1482" s="14"/>
      <c r="BO1482" s="14"/>
      <c r="BP1482" s="14"/>
      <c r="BQ1482" s="14"/>
      <c r="BR1482" s="14"/>
      <c r="BS1482" s="14"/>
      <c r="BT1482" s="14"/>
      <c r="BU1482" s="14"/>
      <c r="BV1482" s="14"/>
      <c r="BW1482" s="14"/>
      <c r="BX1482" s="14"/>
      <c r="BY1482" s="14"/>
      <c r="BZ1482" s="14"/>
      <c r="CA1482" s="14"/>
      <c r="CB1482" s="14"/>
      <c r="CC1482" s="14"/>
      <c r="CD1482" s="14"/>
      <c r="CE1482" s="14"/>
      <c r="CF1482" s="14"/>
      <c r="CG1482" s="4"/>
      <c r="CH1482" s="4"/>
      <c r="CI1482" s="4"/>
      <c r="CJ1482" s="4"/>
      <c r="CK1482" s="4"/>
      <c r="CL1482" s="4"/>
      <c r="CM1482" s="4"/>
      <c r="CN1482" s="4"/>
      <c r="CO1482" s="4"/>
      <c r="CP1482" s="4"/>
      <c r="CQ1482" s="4"/>
      <c r="CR1482" s="4"/>
      <c r="CS1482" s="4"/>
      <c r="CT1482" s="4"/>
      <c r="CU1482" s="4"/>
      <c r="CV1482" s="4"/>
      <c r="CW1482" s="4"/>
      <c r="CX1482" s="4"/>
      <c r="CY1482" s="4"/>
      <c r="CZ1482" s="4"/>
      <c r="DA1482" s="4"/>
      <c r="DB1482" s="4"/>
      <c r="DC1482" s="4"/>
      <c r="DD1482" s="4"/>
      <c r="DE1482" s="4"/>
      <c r="DF1482" s="4"/>
      <c r="DG1482" s="4"/>
      <c r="DH1482" s="4"/>
      <c r="DI1482" s="4"/>
      <c r="DJ1482" s="4"/>
      <c r="DK1482" s="4"/>
      <c r="DL1482" s="4"/>
    </row>
    <row r="1483" spans="1:116" s="15" customFormat="1" x14ac:dyDescent="0.25">
      <c r="A1483" s="16"/>
      <c r="B1483" s="16"/>
      <c r="C1483" s="16"/>
      <c r="D1483" s="98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  <c r="AI1483" s="14"/>
      <c r="AJ1483" s="14"/>
      <c r="AK1483" s="14"/>
      <c r="AL1483" s="14"/>
      <c r="AM1483" s="14"/>
      <c r="AN1483" s="14"/>
      <c r="AO1483" s="14"/>
      <c r="AP1483" s="14"/>
      <c r="AQ1483" s="14"/>
      <c r="AR1483" s="14"/>
      <c r="AS1483" s="14"/>
      <c r="AT1483" s="14"/>
      <c r="AU1483" s="14"/>
      <c r="AV1483" s="14"/>
      <c r="AW1483" s="14"/>
      <c r="AX1483" s="14"/>
      <c r="AY1483" s="14"/>
      <c r="AZ1483" s="14"/>
      <c r="BA1483" s="14"/>
      <c r="BB1483" s="14"/>
      <c r="BC1483" s="14"/>
      <c r="BD1483" s="14"/>
      <c r="BE1483" s="14"/>
      <c r="BF1483" s="14"/>
      <c r="BG1483" s="14"/>
      <c r="BH1483" s="14"/>
      <c r="BI1483" s="14"/>
      <c r="BJ1483" s="14"/>
      <c r="BK1483" s="14"/>
      <c r="BL1483" s="14"/>
      <c r="BM1483" s="14"/>
      <c r="BN1483" s="14"/>
      <c r="BO1483" s="14"/>
      <c r="BP1483" s="14"/>
      <c r="BQ1483" s="14"/>
      <c r="BR1483" s="14"/>
      <c r="BS1483" s="14"/>
      <c r="BT1483" s="14"/>
      <c r="BU1483" s="14"/>
      <c r="BV1483" s="14"/>
      <c r="BW1483" s="14"/>
      <c r="BX1483" s="14"/>
      <c r="BY1483" s="14"/>
      <c r="BZ1483" s="14"/>
      <c r="CA1483" s="14"/>
      <c r="CB1483" s="14"/>
      <c r="CC1483" s="14"/>
      <c r="CD1483" s="14"/>
      <c r="CE1483" s="14"/>
      <c r="CF1483" s="14"/>
      <c r="CG1483" s="4"/>
      <c r="CH1483" s="4"/>
      <c r="CI1483" s="4"/>
      <c r="CJ1483" s="4"/>
      <c r="CK1483" s="4"/>
      <c r="CL1483" s="4"/>
      <c r="CM1483" s="4"/>
      <c r="CN1483" s="4"/>
      <c r="CO1483" s="4"/>
      <c r="CP1483" s="4"/>
      <c r="CQ1483" s="4"/>
      <c r="CR1483" s="4"/>
      <c r="CS1483" s="4"/>
      <c r="CT1483" s="4"/>
      <c r="CU1483" s="4"/>
      <c r="CV1483" s="4"/>
      <c r="CW1483" s="4"/>
      <c r="CX1483" s="4"/>
      <c r="CY1483" s="4"/>
      <c r="CZ1483" s="4"/>
      <c r="DA1483" s="4"/>
      <c r="DB1483" s="4"/>
      <c r="DC1483" s="4"/>
      <c r="DD1483" s="4"/>
      <c r="DE1483" s="4"/>
      <c r="DF1483" s="4"/>
      <c r="DG1483" s="4"/>
      <c r="DH1483" s="4"/>
      <c r="DI1483" s="4"/>
      <c r="DJ1483" s="4"/>
      <c r="DK1483" s="4"/>
      <c r="DL1483" s="4"/>
    </row>
    <row r="1484" spans="1:116" s="15" customFormat="1" x14ac:dyDescent="0.25">
      <c r="A1484" s="16"/>
      <c r="B1484" s="16"/>
      <c r="C1484" s="16"/>
      <c r="D1484" s="98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  <c r="AB1484" s="14"/>
      <c r="AC1484" s="14"/>
      <c r="AD1484" s="14"/>
      <c r="AE1484" s="14"/>
      <c r="AF1484" s="14"/>
      <c r="AG1484" s="14"/>
      <c r="AH1484" s="14"/>
      <c r="AI1484" s="14"/>
      <c r="AJ1484" s="14"/>
      <c r="AK1484" s="14"/>
      <c r="AL1484" s="14"/>
      <c r="AM1484" s="14"/>
      <c r="AN1484" s="14"/>
      <c r="AO1484" s="14"/>
      <c r="AP1484" s="14"/>
      <c r="AQ1484" s="14"/>
      <c r="AR1484" s="14"/>
      <c r="AS1484" s="14"/>
      <c r="AT1484" s="14"/>
      <c r="AU1484" s="14"/>
      <c r="AV1484" s="14"/>
      <c r="AW1484" s="14"/>
      <c r="AX1484" s="14"/>
      <c r="AY1484" s="14"/>
      <c r="AZ1484" s="14"/>
      <c r="BA1484" s="14"/>
      <c r="BB1484" s="14"/>
      <c r="BC1484" s="14"/>
      <c r="BD1484" s="14"/>
      <c r="BE1484" s="14"/>
      <c r="BF1484" s="14"/>
      <c r="BG1484" s="14"/>
      <c r="BH1484" s="14"/>
      <c r="BI1484" s="14"/>
      <c r="BJ1484" s="14"/>
      <c r="BK1484" s="14"/>
      <c r="BL1484" s="14"/>
      <c r="BM1484" s="14"/>
      <c r="BN1484" s="14"/>
      <c r="BO1484" s="14"/>
      <c r="BP1484" s="14"/>
      <c r="BQ1484" s="14"/>
      <c r="BR1484" s="14"/>
      <c r="BS1484" s="14"/>
      <c r="BT1484" s="14"/>
      <c r="BU1484" s="14"/>
      <c r="BV1484" s="14"/>
      <c r="BW1484" s="14"/>
      <c r="BX1484" s="14"/>
      <c r="BY1484" s="14"/>
      <c r="BZ1484" s="14"/>
      <c r="CA1484" s="14"/>
      <c r="CB1484" s="14"/>
      <c r="CC1484" s="14"/>
      <c r="CD1484" s="14"/>
      <c r="CE1484" s="14"/>
      <c r="CF1484" s="14"/>
      <c r="CG1484" s="4"/>
      <c r="CH1484" s="4"/>
      <c r="CI1484" s="4"/>
      <c r="CJ1484" s="4"/>
      <c r="CK1484" s="4"/>
      <c r="CL1484" s="4"/>
      <c r="CM1484" s="4"/>
      <c r="CN1484" s="4"/>
      <c r="CO1484" s="4"/>
      <c r="CP1484" s="4"/>
      <c r="CQ1484" s="4"/>
      <c r="CR1484" s="4"/>
      <c r="CS1484" s="4"/>
      <c r="CT1484" s="4"/>
      <c r="CU1484" s="4"/>
      <c r="CV1484" s="4"/>
      <c r="CW1484" s="4"/>
      <c r="CX1484" s="4"/>
      <c r="CY1484" s="4"/>
      <c r="CZ1484" s="4"/>
      <c r="DA1484" s="4"/>
      <c r="DB1484" s="4"/>
      <c r="DC1484" s="4"/>
      <c r="DD1484" s="4"/>
      <c r="DE1484" s="4"/>
      <c r="DF1484" s="4"/>
      <c r="DG1484" s="4"/>
      <c r="DH1484" s="4"/>
      <c r="DI1484" s="4"/>
      <c r="DJ1484" s="4"/>
      <c r="DK1484" s="4"/>
      <c r="DL1484" s="4"/>
    </row>
    <row r="1485" spans="1:116" s="15" customFormat="1" x14ac:dyDescent="0.25">
      <c r="A1485" s="16"/>
      <c r="B1485" s="16"/>
      <c r="C1485" s="16"/>
      <c r="D1485" s="98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  <c r="AI1485" s="14"/>
      <c r="AJ1485" s="14"/>
      <c r="AK1485" s="14"/>
      <c r="AL1485" s="14"/>
      <c r="AM1485" s="14"/>
      <c r="AN1485" s="14"/>
      <c r="AO1485" s="14"/>
      <c r="AP1485" s="14"/>
      <c r="AQ1485" s="14"/>
      <c r="AR1485" s="14"/>
      <c r="AS1485" s="14"/>
      <c r="AT1485" s="14"/>
      <c r="AU1485" s="14"/>
      <c r="AV1485" s="14"/>
      <c r="AW1485" s="14"/>
      <c r="AX1485" s="14"/>
      <c r="AY1485" s="14"/>
      <c r="AZ1485" s="14"/>
      <c r="BA1485" s="14"/>
      <c r="BB1485" s="14"/>
      <c r="BC1485" s="14"/>
      <c r="BD1485" s="14"/>
      <c r="BE1485" s="14"/>
      <c r="BF1485" s="14"/>
      <c r="BG1485" s="14"/>
      <c r="BH1485" s="14"/>
      <c r="BI1485" s="14"/>
      <c r="BJ1485" s="14"/>
      <c r="BK1485" s="14"/>
      <c r="BL1485" s="14"/>
      <c r="BM1485" s="14"/>
      <c r="BN1485" s="14"/>
      <c r="BO1485" s="14"/>
      <c r="BP1485" s="14"/>
      <c r="BQ1485" s="14"/>
      <c r="BR1485" s="14"/>
      <c r="BS1485" s="14"/>
      <c r="BT1485" s="14"/>
      <c r="BU1485" s="14"/>
      <c r="BV1485" s="14"/>
      <c r="BW1485" s="14"/>
      <c r="BX1485" s="14"/>
      <c r="BY1485" s="14"/>
      <c r="BZ1485" s="14"/>
      <c r="CA1485" s="14"/>
      <c r="CB1485" s="14"/>
      <c r="CC1485" s="14"/>
      <c r="CD1485" s="14"/>
      <c r="CE1485" s="14"/>
      <c r="CF1485" s="14"/>
      <c r="CG1485" s="4"/>
      <c r="CH1485" s="4"/>
      <c r="CI1485" s="4"/>
      <c r="CJ1485" s="4"/>
      <c r="CK1485" s="4"/>
      <c r="CL1485" s="4"/>
      <c r="CM1485" s="4"/>
      <c r="CN1485" s="4"/>
      <c r="CO1485" s="4"/>
      <c r="CP1485" s="4"/>
      <c r="CQ1485" s="4"/>
      <c r="CR1485" s="4"/>
      <c r="CS1485" s="4"/>
      <c r="CT1485" s="4"/>
      <c r="CU1485" s="4"/>
      <c r="CV1485" s="4"/>
      <c r="CW1485" s="4"/>
      <c r="CX1485" s="4"/>
      <c r="CY1485" s="4"/>
      <c r="CZ1485" s="4"/>
      <c r="DA1485" s="4"/>
      <c r="DB1485" s="4"/>
      <c r="DC1485" s="4"/>
      <c r="DD1485" s="4"/>
      <c r="DE1485" s="4"/>
      <c r="DF1485" s="4"/>
      <c r="DG1485" s="4"/>
      <c r="DH1485" s="4"/>
      <c r="DI1485" s="4"/>
      <c r="DJ1485" s="4"/>
      <c r="DK1485" s="4"/>
      <c r="DL1485" s="4"/>
    </row>
    <row r="1486" spans="1:116" s="15" customFormat="1" x14ac:dyDescent="0.25">
      <c r="A1486" s="16"/>
      <c r="B1486" s="16"/>
      <c r="C1486" s="16"/>
      <c r="D1486" s="98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  <c r="AB1486" s="14"/>
      <c r="AC1486" s="14"/>
      <c r="AD1486" s="14"/>
      <c r="AE1486" s="14"/>
      <c r="AF1486" s="14"/>
      <c r="AG1486" s="14"/>
      <c r="AH1486" s="14"/>
      <c r="AI1486" s="14"/>
      <c r="AJ1486" s="14"/>
      <c r="AK1486" s="14"/>
      <c r="AL1486" s="14"/>
      <c r="AM1486" s="14"/>
      <c r="AN1486" s="14"/>
      <c r="AO1486" s="14"/>
      <c r="AP1486" s="14"/>
      <c r="AQ1486" s="14"/>
      <c r="AR1486" s="14"/>
      <c r="AS1486" s="14"/>
      <c r="AT1486" s="14"/>
      <c r="AU1486" s="14"/>
      <c r="AV1486" s="14"/>
      <c r="AW1486" s="14"/>
      <c r="AX1486" s="14"/>
      <c r="AY1486" s="14"/>
      <c r="AZ1486" s="14"/>
      <c r="BA1486" s="14"/>
      <c r="BB1486" s="14"/>
      <c r="BC1486" s="14"/>
      <c r="BD1486" s="14"/>
      <c r="BE1486" s="14"/>
      <c r="BF1486" s="14"/>
      <c r="BG1486" s="14"/>
      <c r="BH1486" s="14"/>
      <c r="BI1486" s="14"/>
      <c r="BJ1486" s="14"/>
      <c r="BK1486" s="14"/>
      <c r="BL1486" s="14"/>
      <c r="BM1486" s="14"/>
      <c r="BN1486" s="14"/>
      <c r="BO1486" s="14"/>
      <c r="BP1486" s="14"/>
      <c r="BQ1486" s="14"/>
      <c r="BR1486" s="14"/>
      <c r="BS1486" s="14"/>
      <c r="BT1486" s="14"/>
      <c r="BU1486" s="14"/>
      <c r="BV1486" s="14"/>
      <c r="BW1486" s="14"/>
      <c r="BX1486" s="14"/>
      <c r="BY1486" s="14"/>
      <c r="BZ1486" s="14"/>
      <c r="CA1486" s="14"/>
      <c r="CB1486" s="14"/>
      <c r="CC1486" s="14"/>
      <c r="CD1486" s="14"/>
      <c r="CE1486" s="14"/>
      <c r="CF1486" s="14"/>
      <c r="CG1486" s="4"/>
      <c r="CH1486" s="4"/>
      <c r="CI1486" s="4"/>
      <c r="CJ1486" s="4"/>
      <c r="CK1486" s="4"/>
      <c r="CL1486" s="4"/>
      <c r="CM1486" s="4"/>
      <c r="CN1486" s="4"/>
      <c r="CO1486" s="4"/>
      <c r="CP1486" s="4"/>
      <c r="CQ1486" s="4"/>
      <c r="CR1486" s="4"/>
      <c r="CS1486" s="4"/>
      <c r="CT1486" s="4"/>
      <c r="CU1486" s="4"/>
      <c r="CV1486" s="4"/>
      <c r="CW1486" s="4"/>
      <c r="CX1486" s="4"/>
      <c r="CY1486" s="4"/>
      <c r="CZ1486" s="4"/>
      <c r="DA1486" s="4"/>
      <c r="DB1486" s="4"/>
      <c r="DC1486" s="4"/>
      <c r="DD1486" s="4"/>
      <c r="DE1486" s="4"/>
      <c r="DF1486" s="4"/>
      <c r="DG1486" s="4"/>
      <c r="DH1486" s="4"/>
      <c r="DI1486" s="4"/>
      <c r="DJ1486" s="4"/>
      <c r="DK1486" s="4"/>
      <c r="DL1486" s="4"/>
    </row>
    <row r="1487" spans="1:116" s="15" customFormat="1" x14ac:dyDescent="0.25">
      <c r="A1487" s="16"/>
      <c r="B1487" s="16"/>
      <c r="C1487" s="16"/>
      <c r="D1487" s="98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  <c r="AI1487" s="14"/>
      <c r="AJ1487" s="14"/>
      <c r="AK1487" s="14"/>
      <c r="AL1487" s="14"/>
      <c r="AM1487" s="14"/>
      <c r="AN1487" s="14"/>
      <c r="AO1487" s="14"/>
      <c r="AP1487" s="14"/>
      <c r="AQ1487" s="14"/>
      <c r="AR1487" s="14"/>
      <c r="AS1487" s="14"/>
      <c r="AT1487" s="14"/>
      <c r="AU1487" s="14"/>
      <c r="AV1487" s="14"/>
      <c r="AW1487" s="14"/>
      <c r="AX1487" s="14"/>
      <c r="AY1487" s="14"/>
      <c r="AZ1487" s="14"/>
      <c r="BA1487" s="14"/>
      <c r="BB1487" s="14"/>
      <c r="BC1487" s="14"/>
      <c r="BD1487" s="14"/>
      <c r="BE1487" s="14"/>
      <c r="BF1487" s="14"/>
      <c r="BG1487" s="14"/>
      <c r="BH1487" s="14"/>
      <c r="BI1487" s="14"/>
      <c r="BJ1487" s="14"/>
      <c r="BK1487" s="14"/>
      <c r="BL1487" s="14"/>
      <c r="BM1487" s="14"/>
      <c r="BN1487" s="14"/>
      <c r="BO1487" s="14"/>
      <c r="BP1487" s="14"/>
      <c r="BQ1487" s="14"/>
      <c r="BR1487" s="14"/>
      <c r="BS1487" s="14"/>
      <c r="BT1487" s="14"/>
      <c r="BU1487" s="14"/>
      <c r="BV1487" s="14"/>
      <c r="BW1487" s="14"/>
      <c r="BX1487" s="14"/>
      <c r="BY1487" s="14"/>
      <c r="BZ1487" s="14"/>
      <c r="CA1487" s="14"/>
      <c r="CB1487" s="14"/>
      <c r="CC1487" s="14"/>
      <c r="CD1487" s="14"/>
      <c r="CE1487" s="14"/>
      <c r="CF1487" s="14"/>
      <c r="CG1487" s="4"/>
      <c r="CH1487" s="4"/>
      <c r="CI1487" s="4"/>
      <c r="CJ1487" s="4"/>
      <c r="CK1487" s="4"/>
      <c r="CL1487" s="4"/>
      <c r="CM1487" s="4"/>
      <c r="CN1487" s="4"/>
      <c r="CO1487" s="4"/>
      <c r="CP1487" s="4"/>
      <c r="CQ1487" s="4"/>
      <c r="CR1487" s="4"/>
      <c r="CS1487" s="4"/>
      <c r="CT1487" s="4"/>
      <c r="CU1487" s="4"/>
      <c r="CV1487" s="4"/>
      <c r="CW1487" s="4"/>
      <c r="CX1487" s="4"/>
      <c r="CY1487" s="4"/>
      <c r="CZ1487" s="4"/>
      <c r="DA1487" s="4"/>
      <c r="DB1487" s="4"/>
      <c r="DC1487" s="4"/>
      <c r="DD1487" s="4"/>
      <c r="DE1487" s="4"/>
      <c r="DF1487" s="4"/>
      <c r="DG1487" s="4"/>
      <c r="DH1487" s="4"/>
      <c r="DI1487" s="4"/>
      <c r="DJ1487" s="4"/>
      <c r="DK1487" s="4"/>
      <c r="DL1487" s="4"/>
    </row>
    <row r="1488" spans="1:116" s="15" customFormat="1" x14ac:dyDescent="0.25">
      <c r="A1488" s="16"/>
      <c r="B1488" s="16"/>
      <c r="C1488" s="16"/>
      <c r="D1488" s="98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  <c r="AI1488" s="14"/>
      <c r="AJ1488" s="14"/>
      <c r="AK1488" s="14"/>
      <c r="AL1488" s="14"/>
      <c r="AM1488" s="14"/>
      <c r="AN1488" s="14"/>
      <c r="AO1488" s="14"/>
      <c r="AP1488" s="14"/>
      <c r="AQ1488" s="14"/>
      <c r="AR1488" s="14"/>
      <c r="AS1488" s="14"/>
      <c r="AT1488" s="14"/>
      <c r="AU1488" s="14"/>
      <c r="AV1488" s="14"/>
      <c r="AW1488" s="14"/>
      <c r="AX1488" s="14"/>
      <c r="AY1488" s="14"/>
      <c r="AZ1488" s="14"/>
      <c r="BA1488" s="14"/>
      <c r="BB1488" s="14"/>
      <c r="BC1488" s="14"/>
      <c r="BD1488" s="14"/>
      <c r="BE1488" s="14"/>
      <c r="BF1488" s="14"/>
      <c r="BG1488" s="14"/>
      <c r="BH1488" s="14"/>
      <c r="BI1488" s="14"/>
      <c r="BJ1488" s="14"/>
      <c r="BK1488" s="14"/>
      <c r="BL1488" s="14"/>
      <c r="BM1488" s="14"/>
      <c r="BN1488" s="14"/>
      <c r="BO1488" s="14"/>
      <c r="BP1488" s="14"/>
      <c r="BQ1488" s="14"/>
      <c r="BR1488" s="14"/>
      <c r="BS1488" s="14"/>
      <c r="BT1488" s="14"/>
      <c r="BU1488" s="14"/>
      <c r="BV1488" s="14"/>
      <c r="BW1488" s="14"/>
      <c r="BX1488" s="14"/>
      <c r="BY1488" s="14"/>
      <c r="BZ1488" s="14"/>
      <c r="CA1488" s="14"/>
      <c r="CB1488" s="14"/>
      <c r="CC1488" s="14"/>
      <c r="CD1488" s="14"/>
      <c r="CE1488" s="14"/>
      <c r="CF1488" s="14"/>
      <c r="CG1488" s="4"/>
      <c r="CH1488" s="4"/>
      <c r="CI1488" s="4"/>
      <c r="CJ1488" s="4"/>
      <c r="CK1488" s="4"/>
      <c r="CL1488" s="4"/>
      <c r="CM1488" s="4"/>
      <c r="CN1488" s="4"/>
      <c r="CO1488" s="4"/>
      <c r="CP1488" s="4"/>
      <c r="CQ1488" s="4"/>
      <c r="CR1488" s="4"/>
      <c r="CS1488" s="4"/>
      <c r="CT1488" s="4"/>
      <c r="CU1488" s="4"/>
      <c r="CV1488" s="4"/>
      <c r="CW1488" s="4"/>
      <c r="CX1488" s="4"/>
      <c r="CY1488" s="4"/>
      <c r="CZ1488" s="4"/>
      <c r="DA1488" s="4"/>
      <c r="DB1488" s="4"/>
      <c r="DC1488" s="4"/>
      <c r="DD1488" s="4"/>
      <c r="DE1488" s="4"/>
      <c r="DF1488" s="4"/>
      <c r="DG1488" s="4"/>
      <c r="DH1488" s="4"/>
      <c r="DI1488" s="4"/>
      <c r="DJ1488" s="4"/>
      <c r="DK1488" s="4"/>
      <c r="DL1488" s="4"/>
    </row>
    <row r="1489" spans="1:116" s="15" customFormat="1" x14ac:dyDescent="0.25">
      <c r="A1489" s="16"/>
      <c r="B1489" s="16"/>
      <c r="C1489" s="16"/>
      <c r="D1489" s="98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  <c r="AI1489" s="14"/>
      <c r="AJ1489" s="14"/>
      <c r="AK1489" s="14"/>
      <c r="AL1489" s="14"/>
      <c r="AM1489" s="14"/>
      <c r="AN1489" s="14"/>
      <c r="AO1489" s="14"/>
      <c r="AP1489" s="14"/>
      <c r="AQ1489" s="14"/>
      <c r="AR1489" s="14"/>
      <c r="AS1489" s="14"/>
      <c r="AT1489" s="14"/>
      <c r="AU1489" s="14"/>
      <c r="AV1489" s="14"/>
      <c r="AW1489" s="14"/>
      <c r="AX1489" s="14"/>
      <c r="AY1489" s="14"/>
      <c r="AZ1489" s="14"/>
      <c r="BA1489" s="14"/>
      <c r="BB1489" s="14"/>
      <c r="BC1489" s="14"/>
      <c r="BD1489" s="14"/>
      <c r="BE1489" s="14"/>
      <c r="BF1489" s="14"/>
      <c r="BG1489" s="14"/>
      <c r="BH1489" s="14"/>
      <c r="BI1489" s="14"/>
      <c r="BJ1489" s="14"/>
      <c r="BK1489" s="14"/>
      <c r="BL1489" s="14"/>
      <c r="BM1489" s="14"/>
      <c r="BN1489" s="14"/>
      <c r="BO1489" s="14"/>
      <c r="BP1489" s="14"/>
      <c r="BQ1489" s="14"/>
      <c r="BR1489" s="14"/>
      <c r="BS1489" s="14"/>
      <c r="BT1489" s="14"/>
      <c r="BU1489" s="14"/>
      <c r="BV1489" s="14"/>
      <c r="BW1489" s="14"/>
      <c r="BX1489" s="14"/>
      <c r="BY1489" s="14"/>
      <c r="BZ1489" s="14"/>
      <c r="CA1489" s="14"/>
      <c r="CB1489" s="14"/>
      <c r="CC1489" s="14"/>
      <c r="CD1489" s="14"/>
      <c r="CE1489" s="14"/>
      <c r="CF1489" s="14"/>
      <c r="CG1489" s="4"/>
      <c r="CH1489" s="4"/>
      <c r="CI1489" s="4"/>
      <c r="CJ1489" s="4"/>
      <c r="CK1489" s="4"/>
      <c r="CL1489" s="4"/>
      <c r="CM1489" s="4"/>
      <c r="CN1489" s="4"/>
      <c r="CO1489" s="4"/>
      <c r="CP1489" s="4"/>
      <c r="CQ1489" s="4"/>
      <c r="CR1489" s="4"/>
      <c r="CS1489" s="4"/>
      <c r="CT1489" s="4"/>
      <c r="CU1489" s="4"/>
      <c r="CV1489" s="4"/>
      <c r="CW1489" s="4"/>
      <c r="CX1489" s="4"/>
      <c r="CY1489" s="4"/>
      <c r="CZ1489" s="4"/>
      <c r="DA1489" s="4"/>
      <c r="DB1489" s="4"/>
      <c r="DC1489" s="4"/>
      <c r="DD1489" s="4"/>
      <c r="DE1489" s="4"/>
      <c r="DF1489" s="4"/>
      <c r="DG1489" s="4"/>
      <c r="DH1489" s="4"/>
      <c r="DI1489" s="4"/>
      <c r="DJ1489" s="4"/>
      <c r="DK1489" s="4"/>
      <c r="DL1489" s="4"/>
    </row>
    <row r="1490" spans="1:116" s="15" customFormat="1" x14ac:dyDescent="0.25">
      <c r="A1490" s="16"/>
      <c r="B1490" s="16"/>
      <c r="C1490" s="16"/>
      <c r="D1490" s="98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  <c r="AI1490" s="14"/>
      <c r="AJ1490" s="14"/>
      <c r="AK1490" s="14"/>
      <c r="AL1490" s="14"/>
      <c r="AM1490" s="14"/>
      <c r="AN1490" s="14"/>
      <c r="AO1490" s="14"/>
      <c r="AP1490" s="14"/>
      <c r="AQ1490" s="14"/>
      <c r="AR1490" s="14"/>
      <c r="AS1490" s="14"/>
      <c r="AT1490" s="14"/>
      <c r="AU1490" s="14"/>
      <c r="AV1490" s="14"/>
      <c r="AW1490" s="14"/>
      <c r="AX1490" s="14"/>
      <c r="AY1490" s="14"/>
      <c r="AZ1490" s="14"/>
      <c r="BA1490" s="14"/>
      <c r="BB1490" s="14"/>
      <c r="BC1490" s="14"/>
      <c r="BD1490" s="14"/>
      <c r="BE1490" s="14"/>
      <c r="BF1490" s="14"/>
      <c r="BG1490" s="14"/>
      <c r="BH1490" s="14"/>
      <c r="BI1490" s="14"/>
      <c r="BJ1490" s="14"/>
      <c r="BK1490" s="14"/>
      <c r="BL1490" s="14"/>
      <c r="BM1490" s="14"/>
      <c r="BN1490" s="14"/>
      <c r="BO1490" s="14"/>
      <c r="BP1490" s="14"/>
      <c r="BQ1490" s="14"/>
      <c r="BR1490" s="14"/>
      <c r="BS1490" s="14"/>
      <c r="BT1490" s="14"/>
      <c r="BU1490" s="14"/>
      <c r="BV1490" s="14"/>
      <c r="BW1490" s="14"/>
      <c r="BX1490" s="14"/>
      <c r="BY1490" s="14"/>
      <c r="BZ1490" s="14"/>
      <c r="CA1490" s="14"/>
      <c r="CB1490" s="14"/>
      <c r="CC1490" s="14"/>
      <c r="CD1490" s="14"/>
      <c r="CE1490" s="14"/>
      <c r="CF1490" s="14"/>
      <c r="CG1490" s="4"/>
      <c r="CH1490" s="4"/>
      <c r="CI1490" s="4"/>
      <c r="CJ1490" s="4"/>
      <c r="CK1490" s="4"/>
      <c r="CL1490" s="4"/>
      <c r="CM1490" s="4"/>
      <c r="CN1490" s="4"/>
      <c r="CO1490" s="4"/>
      <c r="CP1490" s="4"/>
      <c r="CQ1490" s="4"/>
      <c r="CR1490" s="4"/>
      <c r="CS1490" s="4"/>
      <c r="CT1490" s="4"/>
      <c r="CU1490" s="4"/>
      <c r="CV1490" s="4"/>
      <c r="CW1490" s="4"/>
      <c r="CX1490" s="4"/>
      <c r="CY1490" s="4"/>
      <c r="CZ1490" s="4"/>
      <c r="DA1490" s="4"/>
      <c r="DB1490" s="4"/>
      <c r="DC1490" s="4"/>
      <c r="DD1490" s="4"/>
      <c r="DE1490" s="4"/>
      <c r="DF1490" s="4"/>
      <c r="DG1490" s="4"/>
      <c r="DH1490" s="4"/>
      <c r="DI1490" s="4"/>
      <c r="DJ1490" s="4"/>
      <c r="DK1490" s="4"/>
      <c r="DL1490" s="4"/>
    </row>
    <row r="1491" spans="1:116" s="15" customFormat="1" x14ac:dyDescent="0.25">
      <c r="A1491" s="16"/>
      <c r="B1491" s="16"/>
      <c r="C1491" s="16"/>
      <c r="D1491" s="98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  <c r="AB1491" s="14"/>
      <c r="AC1491" s="14"/>
      <c r="AD1491" s="14"/>
      <c r="AE1491" s="14"/>
      <c r="AF1491" s="14"/>
      <c r="AG1491" s="14"/>
      <c r="AH1491" s="14"/>
      <c r="AI1491" s="14"/>
      <c r="AJ1491" s="14"/>
      <c r="AK1491" s="14"/>
      <c r="AL1491" s="14"/>
      <c r="AM1491" s="14"/>
      <c r="AN1491" s="14"/>
      <c r="AO1491" s="14"/>
      <c r="AP1491" s="14"/>
      <c r="AQ1491" s="14"/>
      <c r="AR1491" s="14"/>
      <c r="AS1491" s="14"/>
      <c r="AT1491" s="14"/>
      <c r="AU1491" s="14"/>
      <c r="AV1491" s="14"/>
      <c r="AW1491" s="14"/>
      <c r="AX1491" s="14"/>
      <c r="AY1491" s="14"/>
      <c r="AZ1491" s="14"/>
      <c r="BA1491" s="14"/>
      <c r="BB1491" s="14"/>
      <c r="BC1491" s="14"/>
      <c r="BD1491" s="14"/>
      <c r="BE1491" s="14"/>
      <c r="BF1491" s="14"/>
      <c r="BG1491" s="14"/>
      <c r="BH1491" s="14"/>
      <c r="BI1491" s="14"/>
      <c r="BJ1491" s="14"/>
      <c r="BK1491" s="14"/>
      <c r="BL1491" s="14"/>
      <c r="BM1491" s="14"/>
      <c r="BN1491" s="14"/>
      <c r="BO1491" s="14"/>
      <c r="BP1491" s="14"/>
      <c r="BQ1491" s="14"/>
      <c r="BR1491" s="14"/>
      <c r="BS1491" s="14"/>
      <c r="BT1491" s="14"/>
      <c r="BU1491" s="14"/>
      <c r="BV1491" s="14"/>
      <c r="BW1491" s="14"/>
      <c r="BX1491" s="14"/>
      <c r="BY1491" s="14"/>
      <c r="BZ1491" s="14"/>
      <c r="CA1491" s="14"/>
      <c r="CB1491" s="14"/>
      <c r="CC1491" s="14"/>
      <c r="CD1491" s="14"/>
      <c r="CE1491" s="14"/>
      <c r="CF1491" s="14"/>
      <c r="CG1491" s="4"/>
      <c r="CH1491" s="4"/>
      <c r="CI1491" s="4"/>
      <c r="CJ1491" s="4"/>
      <c r="CK1491" s="4"/>
      <c r="CL1491" s="4"/>
      <c r="CM1491" s="4"/>
      <c r="CN1491" s="4"/>
      <c r="CO1491" s="4"/>
      <c r="CP1491" s="4"/>
      <c r="CQ1491" s="4"/>
      <c r="CR1491" s="4"/>
      <c r="CS1491" s="4"/>
      <c r="CT1491" s="4"/>
      <c r="CU1491" s="4"/>
      <c r="CV1491" s="4"/>
      <c r="CW1491" s="4"/>
      <c r="CX1491" s="4"/>
      <c r="CY1491" s="4"/>
      <c r="CZ1491" s="4"/>
      <c r="DA1491" s="4"/>
      <c r="DB1491" s="4"/>
      <c r="DC1491" s="4"/>
      <c r="DD1491" s="4"/>
      <c r="DE1491" s="4"/>
      <c r="DF1491" s="4"/>
      <c r="DG1491" s="4"/>
      <c r="DH1491" s="4"/>
      <c r="DI1491" s="4"/>
      <c r="DJ1491" s="4"/>
      <c r="DK1491" s="4"/>
      <c r="DL1491" s="4"/>
    </row>
    <row r="1492" spans="1:116" s="15" customFormat="1" x14ac:dyDescent="0.25">
      <c r="A1492" s="16"/>
      <c r="B1492" s="16"/>
      <c r="C1492" s="16"/>
      <c r="D1492" s="98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  <c r="AI1492" s="14"/>
      <c r="AJ1492" s="14"/>
      <c r="AK1492" s="14"/>
      <c r="AL1492" s="14"/>
      <c r="AM1492" s="14"/>
      <c r="AN1492" s="14"/>
      <c r="AO1492" s="14"/>
      <c r="AP1492" s="14"/>
      <c r="AQ1492" s="14"/>
      <c r="AR1492" s="14"/>
      <c r="AS1492" s="14"/>
      <c r="AT1492" s="14"/>
      <c r="AU1492" s="14"/>
      <c r="AV1492" s="14"/>
      <c r="AW1492" s="14"/>
      <c r="AX1492" s="14"/>
      <c r="AY1492" s="14"/>
      <c r="AZ1492" s="14"/>
      <c r="BA1492" s="14"/>
      <c r="BB1492" s="14"/>
      <c r="BC1492" s="14"/>
      <c r="BD1492" s="14"/>
      <c r="BE1492" s="14"/>
      <c r="BF1492" s="14"/>
      <c r="BG1492" s="14"/>
      <c r="BH1492" s="14"/>
      <c r="BI1492" s="14"/>
      <c r="BJ1492" s="14"/>
      <c r="BK1492" s="14"/>
      <c r="BL1492" s="14"/>
      <c r="BM1492" s="14"/>
      <c r="BN1492" s="14"/>
      <c r="BO1492" s="14"/>
      <c r="BP1492" s="14"/>
      <c r="BQ1492" s="14"/>
      <c r="BR1492" s="14"/>
      <c r="BS1492" s="14"/>
      <c r="BT1492" s="14"/>
      <c r="BU1492" s="14"/>
      <c r="BV1492" s="14"/>
      <c r="BW1492" s="14"/>
      <c r="BX1492" s="14"/>
      <c r="BY1492" s="14"/>
      <c r="BZ1492" s="14"/>
      <c r="CA1492" s="14"/>
      <c r="CB1492" s="14"/>
      <c r="CC1492" s="14"/>
      <c r="CD1492" s="14"/>
      <c r="CE1492" s="14"/>
      <c r="CF1492" s="14"/>
      <c r="CG1492" s="4"/>
      <c r="CH1492" s="4"/>
      <c r="CI1492" s="4"/>
      <c r="CJ1492" s="4"/>
      <c r="CK1492" s="4"/>
      <c r="CL1492" s="4"/>
      <c r="CM1492" s="4"/>
      <c r="CN1492" s="4"/>
      <c r="CO1492" s="4"/>
      <c r="CP1492" s="4"/>
      <c r="CQ1492" s="4"/>
      <c r="CR1492" s="4"/>
      <c r="CS1492" s="4"/>
      <c r="CT1492" s="4"/>
      <c r="CU1492" s="4"/>
      <c r="CV1492" s="4"/>
      <c r="CW1492" s="4"/>
      <c r="CX1492" s="4"/>
      <c r="CY1492" s="4"/>
      <c r="CZ1492" s="4"/>
      <c r="DA1492" s="4"/>
      <c r="DB1492" s="4"/>
      <c r="DC1492" s="4"/>
      <c r="DD1492" s="4"/>
      <c r="DE1492" s="4"/>
      <c r="DF1492" s="4"/>
      <c r="DG1492" s="4"/>
      <c r="DH1492" s="4"/>
      <c r="DI1492" s="4"/>
      <c r="DJ1492" s="4"/>
      <c r="DK1492" s="4"/>
      <c r="DL1492" s="4"/>
    </row>
    <row r="1493" spans="1:116" s="15" customFormat="1" x14ac:dyDescent="0.25">
      <c r="A1493" s="16"/>
      <c r="B1493" s="16"/>
      <c r="C1493" s="16"/>
      <c r="D1493" s="98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  <c r="AI1493" s="14"/>
      <c r="AJ1493" s="14"/>
      <c r="AK1493" s="14"/>
      <c r="AL1493" s="14"/>
      <c r="AM1493" s="14"/>
      <c r="AN1493" s="14"/>
      <c r="AO1493" s="14"/>
      <c r="AP1493" s="14"/>
      <c r="AQ1493" s="14"/>
      <c r="AR1493" s="14"/>
      <c r="AS1493" s="14"/>
      <c r="AT1493" s="14"/>
      <c r="AU1493" s="14"/>
      <c r="AV1493" s="14"/>
      <c r="AW1493" s="14"/>
      <c r="AX1493" s="14"/>
      <c r="AY1493" s="14"/>
      <c r="AZ1493" s="14"/>
      <c r="BA1493" s="14"/>
      <c r="BB1493" s="14"/>
      <c r="BC1493" s="14"/>
      <c r="BD1493" s="14"/>
      <c r="BE1493" s="14"/>
      <c r="BF1493" s="14"/>
      <c r="BG1493" s="14"/>
      <c r="BH1493" s="14"/>
      <c r="BI1493" s="14"/>
      <c r="BJ1493" s="14"/>
      <c r="BK1493" s="14"/>
      <c r="BL1493" s="14"/>
      <c r="BM1493" s="14"/>
      <c r="BN1493" s="14"/>
      <c r="BO1493" s="14"/>
      <c r="BP1493" s="14"/>
      <c r="BQ1493" s="14"/>
      <c r="BR1493" s="14"/>
      <c r="BS1493" s="14"/>
      <c r="BT1493" s="14"/>
      <c r="BU1493" s="14"/>
      <c r="BV1493" s="14"/>
      <c r="BW1493" s="14"/>
      <c r="BX1493" s="14"/>
      <c r="BY1493" s="14"/>
      <c r="BZ1493" s="14"/>
      <c r="CA1493" s="14"/>
      <c r="CB1493" s="14"/>
      <c r="CC1493" s="14"/>
      <c r="CD1493" s="14"/>
      <c r="CE1493" s="14"/>
      <c r="CF1493" s="14"/>
      <c r="CG1493" s="4"/>
      <c r="CH1493" s="4"/>
      <c r="CI1493" s="4"/>
      <c r="CJ1493" s="4"/>
      <c r="CK1493" s="4"/>
      <c r="CL1493" s="4"/>
      <c r="CM1493" s="4"/>
      <c r="CN1493" s="4"/>
      <c r="CO1493" s="4"/>
      <c r="CP1493" s="4"/>
      <c r="CQ1493" s="4"/>
      <c r="CR1493" s="4"/>
      <c r="CS1493" s="4"/>
      <c r="CT1493" s="4"/>
      <c r="CU1493" s="4"/>
      <c r="CV1493" s="4"/>
      <c r="CW1493" s="4"/>
      <c r="CX1493" s="4"/>
      <c r="CY1493" s="4"/>
      <c r="CZ1493" s="4"/>
      <c r="DA1493" s="4"/>
      <c r="DB1493" s="4"/>
      <c r="DC1493" s="4"/>
      <c r="DD1493" s="4"/>
      <c r="DE1493" s="4"/>
      <c r="DF1493" s="4"/>
      <c r="DG1493" s="4"/>
      <c r="DH1493" s="4"/>
      <c r="DI1493" s="4"/>
      <c r="DJ1493" s="4"/>
      <c r="DK1493" s="4"/>
      <c r="DL1493" s="4"/>
    </row>
    <row r="1494" spans="1:116" s="15" customFormat="1" x14ac:dyDescent="0.25">
      <c r="A1494" s="16"/>
      <c r="B1494" s="16"/>
      <c r="C1494" s="16"/>
      <c r="D1494" s="98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  <c r="AI1494" s="14"/>
      <c r="AJ1494" s="14"/>
      <c r="AK1494" s="14"/>
      <c r="AL1494" s="14"/>
      <c r="AM1494" s="14"/>
      <c r="AN1494" s="14"/>
      <c r="AO1494" s="14"/>
      <c r="AP1494" s="14"/>
      <c r="AQ1494" s="14"/>
      <c r="AR1494" s="14"/>
      <c r="AS1494" s="14"/>
      <c r="AT1494" s="14"/>
      <c r="AU1494" s="14"/>
      <c r="AV1494" s="14"/>
      <c r="AW1494" s="14"/>
      <c r="AX1494" s="14"/>
      <c r="AY1494" s="14"/>
      <c r="AZ1494" s="14"/>
      <c r="BA1494" s="14"/>
      <c r="BB1494" s="14"/>
      <c r="BC1494" s="14"/>
      <c r="BD1494" s="14"/>
      <c r="BE1494" s="14"/>
      <c r="BF1494" s="14"/>
      <c r="BG1494" s="14"/>
      <c r="BH1494" s="14"/>
      <c r="BI1494" s="14"/>
      <c r="BJ1494" s="14"/>
      <c r="BK1494" s="14"/>
      <c r="BL1494" s="14"/>
      <c r="BM1494" s="14"/>
      <c r="BN1494" s="14"/>
      <c r="BO1494" s="14"/>
      <c r="BP1494" s="14"/>
      <c r="BQ1494" s="14"/>
      <c r="BR1494" s="14"/>
      <c r="BS1494" s="14"/>
      <c r="BT1494" s="14"/>
      <c r="BU1494" s="14"/>
      <c r="BV1494" s="14"/>
      <c r="BW1494" s="14"/>
      <c r="BX1494" s="14"/>
      <c r="BY1494" s="14"/>
      <c r="BZ1494" s="14"/>
      <c r="CA1494" s="14"/>
      <c r="CB1494" s="14"/>
      <c r="CC1494" s="14"/>
      <c r="CD1494" s="14"/>
      <c r="CE1494" s="14"/>
      <c r="CF1494" s="14"/>
      <c r="CG1494" s="4"/>
      <c r="CH1494" s="4"/>
      <c r="CI1494" s="4"/>
      <c r="CJ1494" s="4"/>
      <c r="CK1494" s="4"/>
      <c r="CL1494" s="4"/>
      <c r="CM1494" s="4"/>
      <c r="CN1494" s="4"/>
      <c r="CO1494" s="4"/>
      <c r="CP1494" s="4"/>
      <c r="CQ1494" s="4"/>
      <c r="CR1494" s="4"/>
      <c r="CS1494" s="4"/>
      <c r="CT1494" s="4"/>
      <c r="CU1494" s="4"/>
      <c r="CV1494" s="4"/>
      <c r="CW1494" s="4"/>
      <c r="CX1494" s="4"/>
      <c r="CY1494" s="4"/>
      <c r="CZ1494" s="4"/>
      <c r="DA1494" s="4"/>
      <c r="DB1494" s="4"/>
      <c r="DC1494" s="4"/>
      <c r="DD1494" s="4"/>
      <c r="DE1494" s="4"/>
      <c r="DF1494" s="4"/>
      <c r="DG1494" s="4"/>
      <c r="DH1494" s="4"/>
      <c r="DI1494" s="4"/>
      <c r="DJ1494" s="4"/>
      <c r="DK1494" s="4"/>
      <c r="DL1494" s="4"/>
    </row>
    <row r="1495" spans="1:116" s="15" customFormat="1" x14ac:dyDescent="0.25">
      <c r="A1495" s="16"/>
      <c r="B1495" s="16"/>
      <c r="C1495" s="16"/>
      <c r="D1495" s="98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  <c r="AB1495" s="14"/>
      <c r="AC1495" s="14"/>
      <c r="AD1495" s="14"/>
      <c r="AE1495" s="14"/>
      <c r="AF1495" s="14"/>
      <c r="AG1495" s="14"/>
      <c r="AH1495" s="14"/>
      <c r="AI1495" s="14"/>
      <c r="AJ1495" s="14"/>
      <c r="AK1495" s="14"/>
      <c r="AL1495" s="14"/>
      <c r="AM1495" s="14"/>
      <c r="AN1495" s="14"/>
      <c r="AO1495" s="14"/>
      <c r="AP1495" s="14"/>
      <c r="AQ1495" s="14"/>
      <c r="AR1495" s="14"/>
      <c r="AS1495" s="14"/>
      <c r="AT1495" s="14"/>
      <c r="AU1495" s="14"/>
      <c r="AV1495" s="14"/>
      <c r="AW1495" s="14"/>
      <c r="AX1495" s="14"/>
      <c r="AY1495" s="14"/>
      <c r="AZ1495" s="14"/>
      <c r="BA1495" s="14"/>
      <c r="BB1495" s="14"/>
      <c r="BC1495" s="14"/>
      <c r="BD1495" s="14"/>
      <c r="BE1495" s="14"/>
      <c r="BF1495" s="14"/>
      <c r="BG1495" s="14"/>
      <c r="BH1495" s="14"/>
      <c r="BI1495" s="14"/>
      <c r="BJ1495" s="14"/>
      <c r="BK1495" s="14"/>
      <c r="BL1495" s="14"/>
      <c r="BM1495" s="14"/>
      <c r="BN1495" s="14"/>
      <c r="BO1495" s="14"/>
      <c r="BP1495" s="14"/>
      <c r="BQ1495" s="14"/>
      <c r="BR1495" s="14"/>
      <c r="BS1495" s="14"/>
      <c r="BT1495" s="14"/>
      <c r="BU1495" s="14"/>
      <c r="BV1495" s="14"/>
      <c r="BW1495" s="14"/>
      <c r="BX1495" s="14"/>
      <c r="BY1495" s="14"/>
      <c r="BZ1495" s="14"/>
      <c r="CA1495" s="14"/>
      <c r="CB1495" s="14"/>
      <c r="CC1495" s="14"/>
      <c r="CD1495" s="14"/>
      <c r="CE1495" s="14"/>
      <c r="CF1495" s="14"/>
      <c r="CG1495" s="4"/>
      <c r="CH1495" s="4"/>
      <c r="CI1495" s="4"/>
      <c r="CJ1495" s="4"/>
      <c r="CK1495" s="4"/>
      <c r="CL1495" s="4"/>
      <c r="CM1495" s="4"/>
      <c r="CN1495" s="4"/>
      <c r="CO1495" s="4"/>
      <c r="CP1495" s="4"/>
      <c r="CQ1495" s="4"/>
      <c r="CR1495" s="4"/>
      <c r="CS1495" s="4"/>
      <c r="CT1495" s="4"/>
      <c r="CU1495" s="4"/>
      <c r="CV1495" s="4"/>
      <c r="CW1495" s="4"/>
      <c r="CX1495" s="4"/>
      <c r="CY1495" s="4"/>
      <c r="CZ1495" s="4"/>
      <c r="DA1495" s="4"/>
      <c r="DB1495" s="4"/>
      <c r="DC1495" s="4"/>
      <c r="DD1495" s="4"/>
      <c r="DE1495" s="4"/>
      <c r="DF1495" s="4"/>
      <c r="DG1495" s="4"/>
      <c r="DH1495" s="4"/>
      <c r="DI1495" s="4"/>
      <c r="DJ1495" s="4"/>
      <c r="DK1495" s="4"/>
      <c r="DL1495" s="4"/>
    </row>
    <row r="1496" spans="1:116" s="15" customFormat="1" x14ac:dyDescent="0.25">
      <c r="A1496" s="16"/>
      <c r="B1496" s="16"/>
      <c r="C1496" s="16"/>
      <c r="D1496" s="98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  <c r="AB1496" s="14"/>
      <c r="AC1496" s="14"/>
      <c r="AD1496" s="14"/>
      <c r="AE1496" s="14"/>
      <c r="AF1496" s="14"/>
      <c r="AG1496" s="14"/>
      <c r="AH1496" s="14"/>
      <c r="AI1496" s="14"/>
      <c r="AJ1496" s="14"/>
      <c r="AK1496" s="14"/>
      <c r="AL1496" s="14"/>
      <c r="AM1496" s="14"/>
      <c r="AN1496" s="14"/>
      <c r="AO1496" s="14"/>
      <c r="AP1496" s="14"/>
      <c r="AQ1496" s="14"/>
      <c r="AR1496" s="14"/>
      <c r="AS1496" s="14"/>
      <c r="AT1496" s="14"/>
      <c r="AU1496" s="14"/>
      <c r="AV1496" s="14"/>
      <c r="AW1496" s="14"/>
      <c r="AX1496" s="14"/>
      <c r="AY1496" s="14"/>
      <c r="AZ1496" s="14"/>
      <c r="BA1496" s="14"/>
      <c r="BB1496" s="14"/>
      <c r="BC1496" s="14"/>
      <c r="BD1496" s="14"/>
      <c r="BE1496" s="14"/>
      <c r="BF1496" s="14"/>
      <c r="BG1496" s="14"/>
      <c r="BH1496" s="14"/>
      <c r="BI1496" s="14"/>
      <c r="BJ1496" s="14"/>
      <c r="BK1496" s="14"/>
      <c r="BL1496" s="14"/>
      <c r="BM1496" s="14"/>
      <c r="BN1496" s="14"/>
      <c r="BO1496" s="14"/>
      <c r="BP1496" s="14"/>
      <c r="BQ1496" s="14"/>
      <c r="BR1496" s="14"/>
      <c r="BS1496" s="14"/>
      <c r="BT1496" s="14"/>
      <c r="BU1496" s="14"/>
      <c r="BV1496" s="14"/>
      <c r="BW1496" s="14"/>
      <c r="BX1496" s="14"/>
      <c r="BY1496" s="14"/>
      <c r="BZ1496" s="14"/>
      <c r="CA1496" s="14"/>
      <c r="CB1496" s="14"/>
      <c r="CC1496" s="14"/>
      <c r="CD1496" s="14"/>
      <c r="CE1496" s="14"/>
      <c r="CF1496" s="14"/>
      <c r="CG1496" s="4"/>
      <c r="CH1496" s="4"/>
      <c r="CI1496" s="4"/>
      <c r="CJ1496" s="4"/>
      <c r="CK1496" s="4"/>
      <c r="CL1496" s="4"/>
      <c r="CM1496" s="4"/>
      <c r="CN1496" s="4"/>
      <c r="CO1496" s="4"/>
      <c r="CP1496" s="4"/>
      <c r="CQ1496" s="4"/>
      <c r="CR1496" s="4"/>
      <c r="CS1496" s="4"/>
      <c r="CT1496" s="4"/>
      <c r="CU1496" s="4"/>
      <c r="CV1496" s="4"/>
      <c r="CW1496" s="4"/>
      <c r="CX1496" s="4"/>
      <c r="CY1496" s="4"/>
      <c r="CZ1496" s="4"/>
      <c r="DA1496" s="4"/>
      <c r="DB1496" s="4"/>
      <c r="DC1496" s="4"/>
      <c r="DD1496" s="4"/>
      <c r="DE1496" s="4"/>
      <c r="DF1496" s="4"/>
      <c r="DG1496" s="4"/>
      <c r="DH1496" s="4"/>
      <c r="DI1496" s="4"/>
      <c r="DJ1496" s="4"/>
      <c r="DK1496" s="4"/>
      <c r="DL1496" s="4"/>
    </row>
    <row r="1497" spans="1:116" s="15" customFormat="1" x14ac:dyDescent="0.25">
      <c r="A1497" s="16"/>
      <c r="B1497" s="16"/>
      <c r="C1497" s="16"/>
      <c r="D1497" s="98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  <c r="AI1497" s="14"/>
      <c r="AJ1497" s="14"/>
      <c r="AK1497" s="14"/>
      <c r="AL1497" s="14"/>
      <c r="AM1497" s="14"/>
      <c r="AN1497" s="14"/>
      <c r="AO1497" s="14"/>
      <c r="AP1497" s="14"/>
      <c r="AQ1497" s="14"/>
      <c r="AR1497" s="14"/>
      <c r="AS1497" s="14"/>
      <c r="AT1497" s="14"/>
      <c r="AU1497" s="14"/>
      <c r="AV1497" s="14"/>
      <c r="AW1497" s="14"/>
      <c r="AX1497" s="14"/>
      <c r="AY1497" s="14"/>
      <c r="AZ1497" s="14"/>
      <c r="BA1497" s="14"/>
      <c r="BB1497" s="14"/>
      <c r="BC1497" s="14"/>
      <c r="BD1497" s="14"/>
      <c r="BE1497" s="14"/>
      <c r="BF1497" s="14"/>
      <c r="BG1497" s="14"/>
      <c r="BH1497" s="14"/>
      <c r="BI1497" s="14"/>
      <c r="BJ1497" s="14"/>
      <c r="BK1497" s="14"/>
      <c r="BL1497" s="14"/>
      <c r="BM1497" s="14"/>
      <c r="BN1497" s="14"/>
      <c r="BO1497" s="14"/>
      <c r="BP1497" s="14"/>
      <c r="BQ1497" s="14"/>
      <c r="BR1497" s="14"/>
      <c r="BS1497" s="14"/>
      <c r="BT1497" s="14"/>
      <c r="BU1497" s="14"/>
      <c r="BV1497" s="14"/>
      <c r="BW1497" s="14"/>
      <c r="BX1497" s="14"/>
      <c r="BY1497" s="14"/>
      <c r="BZ1497" s="14"/>
      <c r="CA1497" s="14"/>
      <c r="CB1497" s="14"/>
      <c r="CC1497" s="14"/>
      <c r="CD1497" s="14"/>
      <c r="CE1497" s="14"/>
      <c r="CF1497" s="14"/>
      <c r="CG1497" s="4"/>
      <c r="CH1497" s="4"/>
      <c r="CI1497" s="4"/>
      <c r="CJ1497" s="4"/>
      <c r="CK1497" s="4"/>
      <c r="CL1497" s="4"/>
      <c r="CM1497" s="4"/>
      <c r="CN1497" s="4"/>
      <c r="CO1497" s="4"/>
      <c r="CP1497" s="4"/>
      <c r="CQ1497" s="4"/>
      <c r="CR1497" s="4"/>
      <c r="CS1497" s="4"/>
      <c r="CT1497" s="4"/>
      <c r="CU1497" s="4"/>
      <c r="CV1497" s="4"/>
      <c r="CW1497" s="4"/>
      <c r="CX1497" s="4"/>
      <c r="CY1497" s="4"/>
      <c r="CZ1497" s="4"/>
      <c r="DA1497" s="4"/>
      <c r="DB1497" s="4"/>
      <c r="DC1497" s="4"/>
      <c r="DD1497" s="4"/>
      <c r="DE1497" s="4"/>
      <c r="DF1497" s="4"/>
      <c r="DG1497" s="4"/>
      <c r="DH1497" s="4"/>
      <c r="DI1497" s="4"/>
      <c r="DJ1497" s="4"/>
      <c r="DK1497" s="4"/>
      <c r="DL1497" s="4"/>
    </row>
    <row r="1498" spans="1:116" s="15" customFormat="1" x14ac:dyDescent="0.25">
      <c r="A1498" s="16"/>
      <c r="B1498" s="16"/>
      <c r="C1498" s="16"/>
      <c r="D1498" s="98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  <c r="AI1498" s="14"/>
      <c r="AJ1498" s="14"/>
      <c r="AK1498" s="14"/>
      <c r="AL1498" s="14"/>
      <c r="AM1498" s="14"/>
      <c r="AN1498" s="14"/>
      <c r="AO1498" s="14"/>
      <c r="AP1498" s="14"/>
      <c r="AQ1498" s="14"/>
      <c r="AR1498" s="14"/>
      <c r="AS1498" s="14"/>
      <c r="AT1498" s="14"/>
      <c r="AU1498" s="14"/>
      <c r="AV1498" s="14"/>
      <c r="AW1498" s="14"/>
      <c r="AX1498" s="14"/>
      <c r="AY1498" s="14"/>
      <c r="AZ1498" s="14"/>
      <c r="BA1498" s="14"/>
      <c r="BB1498" s="14"/>
      <c r="BC1498" s="14"/>
      <c r="BD1498" s="14"/>
      <c r="BE1498" s="14"/>
      <c r="BF1498" s="14"/>
      <c r="BG1498" s="14"/>
      <c r="BH1498" s="14"/>
      <c r="BI1498" s="14"/>
      <c r="BJ1498" s="14"/>
      <c r="BK1498" s="14"/>
      <c r="BL1498" s="14"/>
      <c r="BM1498" s="14"/>
      <c r="BN1498" s="14"/>
      <c r="BO1498" s="14"/>
      <c r="BP1498" s="14"/>
      <c r="BQ1498" s="14"/>
      <c r="BR1498" s="14"/>
      <c r="BS1498" s="14"/>
      <c r="BT1498" s="14"/>
      <c r="BU1498" s="14"/>
      <c r="BV1498" s="14"/>
      <c r="BW1498" s="14"/>
      <c r="BX1498" s="14"/>
      <c r="BY1498" s="14"/>
      <c r="BZ1498" s="14"/>
      <c r="CA1498" s="14"/>
      <c r="CB1498" s="14"/>
      <c r="CC1498" s="14"/>
      <c r="CD1498" s="14"/>
      <c r="CE1498" s="14"/>
      <c r="CF1498" s="14"/>
      <c r="CG1498" s="4"/>
      <c r="CH1498" s="4"/>
      <c r="CI1498" s="4"/>
      <c r="CJ1498" s="4"/>
      <c r="CK1498" s="4"/>
      <c r="CL1498" s="4"/>
      <c r="CM1498" s="4"/>
      <c r="CN1498" s="4"/>
      <c r="CO1498" s="4"/>
      <c r="CP1498" s="4"/>
      <c r="CQ1498" s="4"/>
      <c r="CR1498" s="4"/>
      <c r="CS1498" s="4"/>
      <c r="CT1498" s="4"/>
      <c r="CU1498" s="4"/>
      <c r="CV1498" s="4"/>
      <c r="CW1498" s="4"/>
      <c r="CX1498" s="4"/>
      <c r="CY1498" s="4"/>
      <c r="CZ1498" s="4"/>
      <c r="DA1498" s="4"/>
      <c r="DB1498" s="4"/>
      <c r="DC1498" s="4"/>
      <c r="DD1498" s="4"/>
      <c r="DE1498" s="4"/>
      <c r="DF1498" s="4"/>
      <c r="DG1498" s="4"/>
      <c r="DH1498" s="4"/>
      <c r="DI1498" s="4"/>
      <c r="DJ1498" s="4"/>
      <c r="DK1498" s="4"/>
      <c r="DL1498" s="4"/>
    </row>
    <row r="1499" spans="1:116" s="15" customFormat="1" x14ac:dyDescent="0.25">
      <c r="A1499" s="16"/>
      <c r="B1499" s="16"/>
      <c r="C1499" s="16"/>
      <c r="D1499" s="98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  <c r="AI1499" s="14"/>
      <c r="AJ1499" s="14"/>
      <c r="AK1499" s="14"/>
      <c r="AL1499" s="14"/>
      <c r="AM1499" s="14"/>
      <c r="AN1499" s="14"/>
      <c r="AO1499" s="14"/>
      <c r="AP1499" s="14"/>
      <c r="AQ1499" s="14"/>
      <c r="AR1499" s="14"/>
      <c r="AS1499" s="14"/>
      <c r="AT1499" s="14"/>
      <c r="AU1499" s="14"/>
      <c r="AV1499" s="14"/>
      <c r="AW1499" s="14"/>
      <c r="AX1499" s="14"/>
      <c r="AY1499" s="14"/>
      <c r="AZ1499" s="14"/>
      <c r="BA1499" s="14"/>
      <c r="BB1499" s="14"/>
      <c r="BC1499" s="14"/>
      <c r="BD1499" s="14"/>
      <c r="BE1499" s="14"/>
      <c r="BF1499" s="14"/>
      <c r="BG1499" s="14"/>
      <c r="BH1499" s="14"/>
      <c r="BI1499" s="14"/>
      <c r="BJ1499" s="14"/>
      <c r="BK1499" s="14"/>
      <c r="BL1499" s="14"/>
      <c r="BM1499" s="14"/>
      <c r="BN1499" s="14"/>
      <c r="BO1499" s="14"/>
      <c r="BP1499" s="14"/>
      <c r="BQ1499" s="14"/>
      <c r="BR1499" s="14"/>
      <c r="BS1499" s="14"/>
      <c r="BT1499" s="14"/>
      <c r="BU1499" s="14"/>
      <c r="BV1499" s="14"/>
      <c r="BW1499" s="14"/>
      <c r="BX1499" s="14"/>
      <c r="BY1499" s="14"/>
      <c r="BZ1499" s="14"/>
      <c r="CA1499" s="14"/>
      <c r="CB1499" s="14"/>
      <c r="CC1499" s="14"/>
      <c r="CD1499" s="14"/>
      <c r="CE1499" s="14"/>
      <c r="CF1499" s="14"/>
      <c r="CG1499" s="4"/>
      <c r="CH1499" s="4"/>
      <c r="CI1499" s="4"/>
      <c r="CJ1499" s="4"/>
      <c r="CK1499" s="4"/>
      <c r="CL1499" s="4"/>
      <c r="CM1499" s="4"/>
      <c r="CN1499" s="4"/>
      <c r="CO1499" s="4"/>
      <c r="CP1499" s="4"/>
      <c r="CQ1499" s="4"/>
      <c r="CR1499" s="4"/>
      <c r="CS1499" s="4"/>
      <c r="CT1499" s="4"/>
      <c r="CU1499" s="4"/>
      <c r="CV1499" s="4"/>
      <c r="CW1499" s="4"/>
      <c r="CX1499" s="4"/>
      <c r="CY1499" s="4"/>
      <c r="CZ1499" s="4"/>
      <c r="DA1499" s="4"/>
      <c r="DB1499" s="4"/>
      <c r="DC1499" s="4"/>
      <c r="DD1499" s="4"/>
      <c r="DE1499" s="4"/>
      <c r="DF1499" s="4"/>
      <c r="DG1499" s="4"/>
      <c r="DH1499" s="4"/>
      <c r="DI1499" s="4"/>
      <c r="DJ1499" s="4"/>
      <c r="DK1499" s="4"/>
      <c r="DL1499" s="4"/>
    </row>
    <row r="1500" spans="1:116" s="15" customFormat="1" x14ac:dyDescent="0.25">
      <c r="A1500" s="16"/>
      <c r="B1500" s="16"/>
      <c r="C1500" s="16"/>
      <c r="D1500" s="98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  <c r="AI1500" s="14"/>
      <c r="AJ1500" s="14"/>
      <c r="AK1500" s="14"/>
      <c r="AL1500" s="14"/>
      <c r="AM1500" s="14"/>
      <c r="AN1500" s="14"/>
      <c r="AO1500" s="14"/>
      <c r="AP1500" s="14"/>
      <c r="AQ1500" s="14"/>
      <c r="AR1500" s="14"/>
      <c r="AS1500" s="14"/>
      <c r="AT1500" s="14"/>
      <c r="AU1500" s="14"/>
      <c r="AV1500" s="14"/>
      <c r="AW1500" s="14"/>
      <c r="AX1500" s="14"/>
      <c r="AY1500" s="14"/>
      <c r="AZ1500" s="14"/>
      <c r="BA1500" s="14"/>
      <c r="BB1500" s="14"/>
      <c r="BC1500" s="14"/>
      <c r="BD1500" s="14"/>
      <c r="BE1500" s="14"/>
      <c r="BF1500" s="14"/>
      <c r="BG1500" s="14"/>
      <c r="BH1500" s="14"/>
      <c r="BI1500" s="14"/>
      <c r="BJ1500" s="14"/>
      <c r="BK1500" s="14"/>
      <c r="BL1500" s="14"/>
      <c r="BM1500" s="14"/>
      <c r="BN1500" s="14"/>
      <c r="BO1500" s="14"/>
      <c r="BP1500" s="14"/>
      <c r="BQ1500" s="14"/>
      <c r="BR1500" s="14"/>
      <c r="BS1500" s="14"/>
      <c r="BT1500" s="14"/>
      <c r="BU1500" s="14"/>
      <c r="BV1500" s="14"/>
      <c r="BW1500" s="14"/>
      <c r="BX1500" s="14"/>
      <c r="BY1500" s="14"/>
      <c r="BZ1500" s="14"/>
      <c r="CA1500" s="14"/>
      <c r="CB1500" s="14"/>
      <c r="CC1500" s="14"/>
      <c r="CD1500" s="14"/>
      <c r="CE1500" s="14"/>
      <c r="CF1500" s="14"/>
      <c r="CG1500" s="4"/>
      <c r="CH1500" s="4"/>
      <c r="CI1500" s="4"/>
      <c r="CJ1500" s="4"/>
      <c r="CK1500" s="4"/>
      <c r="CL1500" s="4"/>
      <c r="CM1500" s="4"/>
      <c r="CN1500" s="4"/>
      <c r="CO1500" s="4"/>
      <c r="CP1500" s="4"/>
      <c r="CQ1500" s="4"/>
      <c r="CR1500" s="4"/>
      <c r="CS1500" s="4"/>
      <c r="CT1500" s="4"/>
      <c r="CU1500" s="4"/>
      <c r="CV1500" s="4"/>
      <c r="CW1500" s="4"/>
      <c r="CX1500" s="4"/>
      <c r="CY1500" s="4"/>
      <c r="CZ1500" s="4"/>
      <c r="DA1500" s="4"/>
      <c r="DB1500" s="4"/>
      <c r="DC1500" s="4"/>
      <c r="DD1500" s="4"/>
      <c r="DE1500" s="4"/>
      <c r="DF1500" s="4"/>
      <c r="DG1500" s="4"/>
      <c r="DH1500" s="4"/>
      <c r="DI1500" s="4"/>
      <c r="DJ1500" s="4"/>
      <c r="DK1500" s="4"/>
      <c r="DL1500" s="4"/>
    </row>
    <row r="1501" spans="1:116" s="15" customFormat="1" x14ac:dyDescent="0.25">
      <c r="A1501" s="16"/>
      <c r="B1501" s="16"/>
      <c r="C1501" s="16"/>
      <c r="D1501" s="98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/>
      <c r="AG1501" s="14"/>
      <c r="AH1501" s="14"/>
      <c r="AI1501" s="14"/>
      <c r="AJ1501" s="14"/>
      <c r="AK1501" s="14"/>
      <c r="AL1501" s="14"/>
      <c r="AM1501" s="14"/>
      <c r="AN1501" s="14"/>
      <c r="AO1501" s="14"/>
      <c r="AP1501" s="14"/>
      <c r="AQ1501" s="14"/>
      <c r="AR1501" s="14"/>
      <c r="AS1501" s="14"/>
      <c r="AT1501" s="14"/>
      <c r="AU1501" s="14"/>
      <c r="AV1501" s="14"/>
      <c r="AW1501" s="14"/>
      <c r="AX1501" s="14"/>
      <c r="AY1501" s="14"/>
      <c r="AZ1501" s="14"/>
      <c r="BA1501" s="14"/>
      <c r="BB1501" s="14"/>
      <c r="BC1501" s="14"/>
      <c r="BD1501" s="14"/>
      <c r="BE1501" s="14"/>
      <c r="BF1501" s="14"/>
      <c r="BG1501" s="14"/>
      <c r="BH1501" s="14"/>
      <c r="BI1501" s="14"/>
      <c r="BJ1501" s="14"/>
      <c r="BK1501" s="14"/>
      <c r="BL1501" s="14"/>
      <c r="BM1501" s="14"/>
      <c r="BN1501" s="14"/>
      <c r="BO1501" s="14"/>
      <c r="BP1501" s="14"/>
      <c r="BQ1501" s="14"/>
      <c r="BR1501" s="14"/>
      <c r="BS1501" s="14"/>
      <c r="BT1501" s="14"/>
      <c r="BU1501" s="14"/>
      <c r="BV1501" s="14"/>
      <c r="BW1501" s="14"/>
      <c r="BX1501" s="14"/>
      <c r="BY1501" s="14"/>
      <c r="BZ1501" s="14"/>
      <c r="CA1501" s="14"/>
      <c r="CB1501" s="14"/>
      <c r="CC1501" s="14"/>
      <c r="CD1501" s="14"/>
      <c r="CE1501" s="14"/>
      <c r="CF1501" s="14"/>
      <c r="CG1501" s="4"/>
      <c r="CH1501" s="4"/>
      <c r="CI1501" s="4"/>
      <c r="CJ1501" s="4"/>
      <c r="CK1501" s="4"/>
      <c r="CL1501" s="4"/>
      <c r="CM1501" s="4"/>
      <c r="CN1501" s="4"/>
      <c r="CO1501" s="4"/>
      <c r="CP1501" s="4"/>
      <c r="CQ1501" s="4"/>
      <c r="CR1501" s="4"/>
      <c r="CS1501" s="4"/>
      <c r="CT1501" s="4"/>
      <c r="CU1501" s="4"/>
      <c r="CV1501" s="4"/>
      <c r="CW1501" s="4"/>
      <c r="CX1501" s="4"/>
      <c r="CY1501" s="4"/>
      <c r="CZ1501" s="4"/>
      <c r="DA1501" s="4"/>
      <c r="DB1501" s="4"/>
      <c r="DC1501" s="4"/>
      <c r="DD1501" s="4"/>
      <c r="DE1501" s="4"/>
      <c r="DF1501" s="4"/>
      <c r="DG1501" s="4"/>
      <c r="DH1501" s="4"/>
      <c r="DI1501" s="4"/>
      <c r="DJ1501" s="4"/>
      <c r="DK1501" s="4"/>
      <c r="DL1501" s="4"/>
    </row>
    <row r="1502" spans="1:116" s="15" customFormat="1" x14ac:dyDescent="0.25">
      <c r="A1502" s="16"/>
      <c r="B1502" s="16"/>
      <c r="C1502" s="16"/>
      <c r="D1502" s="98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  <c r="AB1502" s="14"/>
      <c r="AC1502" s="14"/>
      <c r="AD1502" s="14"/>
      <c r="AE1502" s="14"/>
      <c r="AF1502" s="14"/>
      <c r="AG1502" s="14"/>
      <c r="AH1502" s="14"/>
      <c r="AI1502" s="14"/>
      <c r="AJ1502" s="14"/>
      <c r="AK1502" s="14"/>
      <c r="AL1502" s="14"/>
      <c r="AM1502" s="14"/>
      <c r="AN1502" s="14"/>
      <c r="AO1502" s="14"/>
      <c r="AP1502" s="14"/>
      <c r="AQ1502" s="14"/>
      <c r="AR1502" s="14"/>
      <c r="AS1502" s="14"/>
      <c r="AT1502" s="14"/>
      <c r="AU1502" s="14"/>
      <c r="AV1502" s="14"/>
      <c r="AW1502" s="14"/>
      <c r="AX1502" s="14"/>
      <c r="AY1502" s="14"/>
      <c r="AZ1502" s="14"/>
      <c r="BA1502" s="14"/>
      <c r="BB1502" s="14"/>
      <c r="BC1502" s="14"/>
      <c r="BD1502" s="14"/>
      <c r="BE1502" s="14"/>
      <c r="BF1502" s="14"/>
      <c r="BG1502" s="14"/>
      <c r="BH1502" s="14"/>
      <c r="BI1502" s="14"/>
      <c r="BJ1502" s="14"/>
      <c r="BK1502" s="14"/>
      <c r="BL1502" s="14"/>
      <c r="BM1502" s="14"/>
      <c r="BN1502" s="14"/>
      <c r="BO1502" s="14"/>
      <c r="BP1502" s="14"/>
      <c r="BQ1502" s="14"/>
      <c r="BR1502" s="14"/>
      <c r="BS1502" s="14"/>
      <c r="BT1502" s="14"/>
      <c r="BU1502" s="14"/>
      <c r="BV1502" s="14"/>
      <c r="BW1502" s="14"/>
      <c r="BX1502" s="14"/>
      <c r="BY1502" s="14"/>
      <c r="BZ1502" s="14"/>
      <c r="CA1502" s="14"/>
      <c r="CB1502" s="14"/>
      <c r="CC1502" s="14"/>
      <c r="CD1502" s="14"/>
      <c r="CE1502" s="14"/>
      <c r="CF1502" s="14"/>
      <c r="CG1502" s="4"/>
      <c r="CH1502" s="4"/>
      <c r="CI1502" s="4"/>
      <c r="CJ1502" s="4"/>
      <c r="CK1502" s="4"/>
      <c r="CL1502" s="4"/>
      <c r="CM1502" s="4"/>
      <c r="CN1502" s="4"/>
      <c r="CO1502" s="4"/>
      <c r="CP1502" s="4"/>
      <c r="CQ1502" s="4"/>
      <c r="CR1502" s="4"/>
      <c r="CS1502" s="4"/>
      <c r="CT1502" s="4"/>
      <c r="CU1502" s="4"/>
      <c r="CV1502" s="4"/>
      <c r="CW1502" s="4"/>
      <c r="CX1502" s="4"/>
      <c r="CY1502" s="4"/>
      <c r="CZ1502" s="4"/>
      <c r="DA1502" s="4"/>
      <c r="DB1502" s="4"/>
      <c r="DC1502" s="4"/>
      <c r="DD1502" s="4"/>
      <c r="DE1502" s="4"/>
      <c r="DF1502" s="4"/>
      <c r="DG1502" s="4"/>
      <c r="DH1502" s="4"/>
      <c r="DI1502" s="4"/>
      <c r="DJ1502" s="4"/>
      <c r="DK1502" s="4"/>
      <c r="DL1502" s="4"/>
    </row>
    <row r="1503" spans="1:116" s="15" customFormat="1" x14ac:dyDescent="0.25">
      <c r="A1503" s="16"/>
      <c r="B1503" s="16"/>
      <c r="C1503" s="16"/>
      <c r="D1503" s="98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  <c r="AB1503" s="14"/>
      <c r="AC1503" s="14"/>
      <c r="AD1503" s="14"/>
      <c r="AE1503" s="14"/>
      <c r="AF1503" s="14"/>
      <c r="AG1503" s="14"/>
      <c r="AH1503" s="14"/>
      <c r="AI1503" s="14"/>
      <c r="AJ1503" s="14"/>
      <c r="AK1503" s="14"/>
      <c r="AL1503" s="14"/>
      <c r="AM1503" s="14"/>
      <c r="AN1503" s="14"/>
      <c r="AO1503" s="14"/>
      <c r="AP1503" s="14"/>
      <c r="AQ1503" s="14"/>
      <c r="AR1503" s="14"/>
      <c r="AS1503" s="14"/>
      <c r="AT1503" s="14"/>
      <c r="AU1503" s="14"/>
      <c r="AV1503" s="14"/>
      <c r="AW1503" s="14"/>
      <c r="AX1503" s="14"/>
      <c r="AY1503" s="14"/>
      <c r="AZ1503" s="14"/>
      <c r="BA1503" s="14"/>
      <c r="BB1503" s="14"/>
      <c r="BC1503" s="14"/>
      <c r="BD1503" s="14"/>
      <c r="BE1503" s="14"/>
      <c r="BF1503" s="14"/>
      <c r="BG1503" s="14"/>
      <c r="BH1503" s="14"/>
      <c r="BI1503" s="14"/>
      <c r="BJ1503" s="14"/>
      <c r="BK1503" s="14"/>
      <c r="BL1503" s="14"/>
      <c r="BM1503" s="14"/>
      <c r="BN1503" s="14"/>
      <c r="BO1503" s="14"/>
      <c r="BP1503" s="14"/>
      <c r="BQ1503" s="14"/>
      <c r="BR1503" s="14"/>
      <c r="BS1503" s="14"/>
      <c r="BT1503" s="14"/>
      <c r="BU1503" s="14"/>
      <c r="BV1503" s="14"/>
      <c r="BW1503" s="14"/>
      <c r="BX1503" s="14"/>
      <c r="BY1503" s="14"/>
      <c r="BZ1503" s="14"/>
      <c r="CA1503" s="14"/>
      <c r="CB1503" s="14"/>
      <c r="CC1503" s="14"/>
      <c r="CD1503" s="14"/>
      <c r="CE1503" s="14"/>
      <c r="CF1503" s="14"/>
      <c r="CG1503" s="4"/>
      <c r="CH1503" s="4"/>
      <c r="CI1503" s="4"/>
      <c r="CJ1503" s="4"/>
      <c r="CK1503" s="4"/>
      <c r="CL1503" s="4"/>
      <c r="CM1503" s="4"/>
      <c r="CN1503" s="4"/>
      <c r="CO1503" s="4"/>
      <c r="CP1503" s="4"/>
      <c r="CQ1503" s="4"/>
      <c r="CR1503" s="4"/>
      <c r="CS1503" s="4"/>
      <c r="CT1503" s="4"/>
      <c r="CU1503" s="4"/>
      <c r="CV1503" s="4"/>
      <c r="CW1503" s="4"/>
      <c r="CX1503" s="4"/>
      <c r="CY1503" s="4"/>
      <c r="CZ1503" s="4"/>
      <c r="DA1503" s="4"/>
      <c r="DB1503" s="4"/>
      <c r="DC1503" s="4"/>
      <c r="DD1503" s="4"/>
      <c r="DE1503" s="4"/>
      <c r="DF1503" s="4"/>
      <c r="DG1503" s="4"/>
      <c r="DH1503" s="4"/>
      <c r="DI1503" s="4"/>
      <c r="DJ1503" s="4"/>
      <c r="DK1503" s="4"/>
      <c r="DL1503" s="4"/>
    </row>
    <row r="1504" spans="1:116" s="15" customFormat="1" x14ac:dyDescent="0.25">
      <c r="A1504" s="16"/>
      <c r="B1504" s="16"/>
      <c r="C1504" s="16"/>
      <c r="D1504" s="98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  <c r="AB1504" s="14"/>
      <c r="AC1504" s="14"/>
      <c r="AD1504" s="14"/>
      <c r="AE1504" s="14"/>
      <c r="AF1504" s="14"/>
      <c r="AG1504" s="14"/>
      <c r="AH1504" s="14"/>
      <c r="AI1504" s="14"/>
      <c r="AJ1504" s="14"/>
      <c r="AK1504" s="14"/>
      <c r="AL1504" s="14"/>
      <c r="AM1504" s="14"/>
      <c r="AN1504" s="14"/>
      <c r="AO1504" s="14"/>
      <c r="AP1504" s="14"/>
      <c r="AQ1504" s="14"/>
      <c r="AR1504" s="14"/>
      <c r="AS1504" s="14"/>
      <c r="AT1504" s="14"/>
      <c r="AU1504" s="14"/>
      <c r="AV1504" s="14"/>
      <c r="AW1504" s="14"/>
      <c r="AX1504" s="14"/>
      <c r="AY1504" s="14"/>
      <c r="AZ1504" s="14"/>
      <c r="BA1504" s="14"/>
      <c r="BB1504" s="14"/>
      <c r="BC1504" s="14"/>
      <c r="BD1504" s="14"/>
      <c r="BE1504" s="14"/>
      <c r="BF1504" s="14"/>
      <c r="BG1504" s="14"/>
      <c r="BH1504" s="14"/>
      <c r="BI1504" s="14"/>
      <c r="BJ1504" s="14"/>
      <c r="BK1504" s="14"/>
      <c r="BL1504" s="14"/>
      <c r="BM1504" s="14"/>
      <c r="BN1504" s="14"/>
      <c r="BO1504" s="14"/>
      <c r="BP1504" s="14"/>
      <c r="BQ1504" s="14"/>
      <c r="BR1504" s="14"/>
      <c r="BS1504" s="14"/>
      <c r="BT1504" s="14"/>
      <c r="BU1504" s="14"/>
      <c r="BV1504" s="14"/>
      <c r="BW1504" s="14"/>
      <c r="BX1504" s="14"/>
      <c r="BY1504" s="14"/>
      <c r="BZ1504" s="14"/>
      <c r="CA1504" s="14"/>
      <c r="CB1504" s="14"/>
      <c r="CC1504" s="14"/>
      <c r="CD1504" s="14"/>
      <c r="CE1504" s="14"/>
      <c r="CF1504" s="14"/>
      <c r="CG1504" s="4"/>
      <c r="CH1504" s="4"/>
      <c r="CI1504" s="4"/>
      <c r="CJ1504" s="4"/>
      <c r="CK1504" s="4"/>
      <c r="CL1504" s="4"/>
      <c r="CM1504" s="4"/>
      <c r="CN1504" s="4"/>
      <c r="CO1504" s="4"/>
      <c r="CP1504" s="4"/>
      <c r="CQ1504" s="4"/>
      <c r="CR1504" s="4"/>
      <c r="CS1504" s="4"/>
      <c r="CT1504" s="4"/>
      <c r="CU1504" s="4"/>
      <c r="CV1504" s="4"/>
      <c r="CW1504" s="4"/>
      <c r="CX1504" s="4"/>
      <c r="CY1504" s="4"/>
      <c r="CZ1504" s="4"/>
      <c r="DA1504" s="4"/>
      <c r="DB1504" s="4"/>
      <c r="DC1504" s="4"/>
      <c r="DD1504" s="4"/>
      <c r="DE1504" s="4"/>
      <c r="DF1504" s="4"/>
      <c r="DG1504" s="4"/>
      <c r="DH1504" s="4"/>
      <c r="DI1504" s="4"/>
      <c r="DJ1504" s="4"/>
      <c r="DK1504" s="4"/>
      <c r="DL1504" s="4"/>
    </row>
    <row r="1505" spans="1:124" s="4" customFormat="1" x14ac:dyDescent="0.25">
      <c r="A1505" s="2"/>
      <c r="B1505" s="2"/>
      <c r="C1505" s="2"/>
      <c r="D1505" s="98"/>
      <c r="E1505" s="15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  <c r="AB1505" s="14"/>
      <c r="AC1505" s="14"/>
      <c r="AD1505" s="14"/>
      <c r="AE1505" s="14"/>
      <c r="AF1505" s="14"/>
      <c r="AG1505" s="14"/>
      <c r="AH1505" s="14"/>
      <c r="AI1505" s="14"/>
      <c r="AJ1505" s="14"/>
      <c r="AK1505" s="14"/>
      <c r="AL1505" s="14"/>
      <c r="AM1505" s="14"/>
      <c r="AN1505" s="14"/>
      <c r="AO1505" s="14"/>
      <c r="AP1505" s="14"/>
      <c r="AQ1505" s="14"/>
      <c r="AR1505" s="14"/>
      <c r="AS1505" s="14"/>
      <c r="AT1505" s="14"/>
      <c r="AU1505" s="14"/>
      <c r="AV1505" s="14"/>
      <c r="AW1505" s="14"/>
      <c r="AX1505" s="14"/>
      <c r="AY1505" s="14"/>
      <c r="AZ1505" s="14"/>
      <c r="BA1505" s="14"/>
      <c r="BB1505" s="14"/>
      <c r="BC1505" s="14"/>
      <c r="BD1505" s="14"/>
      <c r="BE1505" s="14"/>
      <c r="BF1505" s="14"/>
      <c r="BG1505" s="14"/>
      <c r="BH1505" s="14"/>
      <c r="BI1505" s="14"/>
      <c r="BJ1505" s="14"/>
      <c r="BK1505" s="14"/>
      <c r="BL1505" s="14"/>
      <c r="BM1505" s="14"/>
      <c r="BN1505" s="14"/>
      <c r="BO1505" s="14"/>
      <c r="BP1505" s="14"/>
      <c r="BQ1505" s="14"/>
      <c r="BR1505" s="14"/>
      <c r="BS1505" s="14"/>
      <c r="BT1505" s="14"/>
      <c r="BU1505" s="14"/>
      <c r="BV1505" s="14"/>
      <c r="BW1505" s="14"/>
      <c r="BX1505" s="14"/>
      <c r="BY1505" s="14"/>
      <c r="BZ1505" s="14"/>
      <c r="CA1505" s="14"/>
      <c r="CB1505" s="14"/>
      <c r="CC1505" s="14"/>
      <c r="CD1505" s="14"/>
      <c r="CE1505" s="14"/>
      <c r="CF1505" s="14"/>
      <c r="DM1505" s="15"/>
      <c r="DN1505" s="15"/>
      <c r="DO1505" s="15"/>
      <c r="DP1505" s="15"/>
      <c r="DQ1505" s="15"/>
      <c r="DR1505" s="15"/>
      <c r="DS1505" s="15"/>
      <c r="DT1505" s="15"/>
    </row>
    <row r="1506" spans="1:124" s="4" customFormat="1" x14ac:dyDescent="0.25">
      <c r="A1506" s="2"/>
      <c r="B1506" s="2"/>
      <c r="C1506" s="2"/>
      <c r="D1506" s="98"/>
      <c r="E1506" s="15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  <c r="AB1506" s="14"/>
      <c r="AC1506" s="14"/>
      <c r="AD1506" s="14"/>
      <c r="AE1506" s="14"/>
      <c r="AF1506" s="14"/>
      <c r="AG1506" s="14"/>
      <c r="AH1506" s="14"/>
      <c r="AI1506" s="14"/>
      <c r="AJ1506" s="14"/>
      <c r="AK1506" s="14"/>
      <c r="AL1506" s="14"/>
      <c r="AM1506" s="14"/>
      <c r="AN1506" s="14"/>
      <c r="AO1506" s="14"/>
      <c r="AP1506" s="14"/>
      <c r="AQ1506" s="14"/>
      <c r="AR1506" s="14"/>
      <c r="AS1506" s="14"/>
      <c r="AT1506" s="14"/>
      <c r="AU1506" s="14"/>
      <c r="AV1506" s="14"/>
      <c r="AW1506" s="14"/>
      <c r="AX1506" s="14"/>
      <c r="AY1506" s="14"/>
      <c r="AZ1506" s="14"/>
      <c r="BA1506" s="14"/>
      <c r="BB1506" s="14"/>
      <c r="BC1506" s="14"/>
      <c r="BD1506" s="14"/>
      <c r="BE1506" s="14"/>
      <c r="BF1506" s="14"/>
      <c r="BG1506" s="14"/>
      <c r="BH1506" s="14"/>
      <c r="BI1506" s="14"/>
      <c r="BJ1506" s="14"/>
      <c r="BK1506" s="14"/>
      <c r="BL1506" s="14"/>
      <c r="BM1506" s="14"/>
      <c r="BN1506" s="14"/>
      <c r="BO1506" s="14"/>
      <c r="BP1506" s="14"/>
      <c r="BQ1506" s="14"/>
      <c r="BR1506" s="14"/>
      <c r="BS1506" s="14"/>
      <c r="BT1506" s="14"/>
      <c r="BU1506" s="14"/>
      <c r="BV1506" s="14"/>
      <c r="BW1506" s="14"/>
      <c r="BX1506" s="14"/>
      <c r="BY1506" s="14"/>
      <c r="BZ1506" s="14"/>
      <c r="CA1506" s="14"/>
      <c r="CB1506" s="14"/>
      <c r="CC1506" s="14"/>
      <c r="CD1506" s="14"/>
      <c r="CE1506" s="14"/>
      <c r="CF1506" s="14"/>
      <c r="DM1506" s="15"/>
      <c r="DN1506" s="15"/>
      <c r="DO1506" s="15"/>
      <c r="DP1506" s="15"/>
      <c r="DQ1506" s="15"/>
      <c r="DR1506" s="15"/>
      <c r="DS1506" s="15"/>
      <c r="DT1506" s="15"/>
    </row>
    <row r="1507" spans="1:124" s="4" customFormat="1" x14ac:dyDescent="0.25">
      <c r="A1507" s="2"/>
      <c r="B1507" s="2"/>
      <c r="C1507" s="2"/>
      <c r="D1507" s="98"/>
      <c r="E1507" s="15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  <c r="AB1507" s="14"/>
      <c r="AC1507" s="14"/>
      <c r="AD1507" s="14"/>
      <c r="AE1507" s="14"/>
      <c r="AF1507" s="14"/>
      <c r="AG1507" s="14"/>
      <c r="AH1507" s="14"/>
      <c r="AI1507" s="14"/>
      <c r="AJ1507" s="14"/>
      <c r="AK1507" s="14"/>
      <c r="AL1507" s="14"/>
      <c r="AM1507" s="14"/>
      <c r="AN1507" s="14"/>
      <c r="AO1507" s="14"/>
      <c r="AP1507" s="14"/>
      <c r="AQ1507" s="14"/>
      <c r="AR1507" s="14"/>
      <c r="AS1507" s="14"/>
      <c r="AT1507" s="14"/>
      <c r="AU1507" s="14"/>
      <c r="AV1507" s="14"/>
      <c r="AW1507" s="14"/>
      <c r="AX1507" s="14"/>
      <c r="AY1507" s="14"/>
      <c r="AZ1507" s="14"/>
      <c r="BA1507" s="14"/>
      <c r="BB1507" s="14"/>
      <c r="BC1507" s="14"/>
      <c r="BD1507" s="14"/>
      <c r="BE1507" s="14"/>
      <c r="BF1507" s="14"/>
      <c r="BG1507" s="14"/>
      <c r="BH1507" s="14"/>
      <c r="BI1507" s="14"/>
      <c r="BJ1507" s="14"/>
      <c r="BK1507" s="14"/>
      <c r="BL1507" s="14"/>
      <c r="BM1507" s="14"/>
      <c r="BN1507" s="14"/>
      <c r="BO1507" s="14"/>
      <c r="BP1507" s="14"/>
      <c r="BQ1507" s="14"/>
      <c r="BR1507" s="14"/>
      <c r="BS1507" s="14"/>
      <c r="BT1507" s="14"/>
      <c r="BU1507" s="14"/>
      <c r="BV1507" s="14"/>
      <c r="BW1507" s="14"/>
      <c r="BX1507" s="14"/>
      <c r="BY1507" s="14"/>
      <c r="BZ1507" s="14"/>
      <c r="CA1507" s="14"/>
      <c r="CB1507" s="14"/>
      <c r="CC1507" s="14"/>
      <c r="CD1507" s="14"/>
      <c r="CE1507" s="14"/>
      <c r="CF1507" s="14"/>
      <c r="DM1507" s="15"/>
      <c r="DN1507" s="15"/>
      <c r="DO1507" s="15"/>
      <c r="DP1507" s="15"/>
      <c r="DQ1507" s="15"/>
      <c r="DR1507" s="15"/>
      <c r="DS1507" s="15"/>
      <c r="DT1507" s="15"/>
    </row>
    <row r="1508" spans="1:124" s="4" customFormat="1" x14ac:dyDescent="0.25">
      <c r="A1508" s="2"/>
      <c r="B1508" s="2"/>
      <c r="C1508" s="2"/>
      <c r="D1508" s="98"/>
      <c r="E1508" s="15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  <c r="AB1508" s="14"/>
      <c r="AC1508" s="14"/>
      <c r="AD1508" s="14"/>
      <c r="AE1508" s="14"/>
      <c r="AF1508" s="14"/>
      <c r="AG1508" s="14"/>
      <c r="AH1508" s="14"/>
      <c r="AI1508" s="14"/>
      <c r="AJ1508" s="14"/>
      <c r="AK1508" s="14"/>
      <c r="AL1508" s="14"/>
      <c r="AM1508" s="14"/>
      <c r="AN1508" s="14"/>
      <c r="AO1508" s="14"/>
      <c r="AP1508" s="14"/>
      <c r="AQ1508" s="14"/>
      <c r="AR1508" s="14"/>
      <c r="AS1508" s="14"/>
      <c r="AT1508" s="14"/>
      <c r="AU1508" s="14"/>
      <c r="AV1508" s="14"/>
      <c r="AW1508" s="14"/>
      <c r="AX1508" s="14"/>
      <c r="AY1508" s="14"/>
      <c r="AZ1508" s="14"/>
      <c r="BA1508" s="14"/>
      <c r="BB1508" s="14"/>
      <c r="BC1508" s="14"/>
      <c r="BD1508" s="14"/>
      <c r="BE1508" s="14"/>
      <c r="BF1508" s="14"/>
      <c r="BG1508" s="14"/>
      <c r="BH1508" s="14"/>
      <c r="BI1508" s="14"/>
      <c r="BJ1508" s="14"/>
      <c r="BK1508" s="14"/>
      <c r="BL1508" s="14"/>
      <c r="BM1508" s="14"/>
      <c r="BN1508" s="14"/>
      <c r="BO1508" s="14"/>
      <c r="BP1508" s="14"/>
      <c r="BQ1508" s="14"/>
      <c r="BR1508" s="14"/>
      <c r="BS1508" s="14"/>
      <c r="BT1508" s="14"/>
      <c r="BU1508" s="14"/>
      <c r="BV1508" s="14"/>
      <c r="BW1508" s="14"/>
      <c r="BX1508" s="14"/>
      <c r="BY1508" s="14"/>
      <c r="BZ1508" s="14"/>
      <c r="CA1508" s="14"/>
      <c r="CB1508" s="14"/>
      <c r="CC1508" s="14"/>
      <c r="CD1508" s="14"/>
      <c r="CE1508" s="14"/>
      <c r="CF1508" s="14"/>
      <c r="DM1508" s="15"/>
      <c r="DN1508" s="15"/>
      <c r="DO1508" s="15"/>
      <c r="DP1508" s="15"/>
      <c r="DQ1508" s="15"/>
      <c r="DR1508" s="15"/>
      <c r="DS1508" s="15"/>
      <c r="DT1508" s="15"/>
    </row>
    <row r="1509" spans="1:124" s="4" customFormat="1" x14ac:dyDescent="0.25">
      <c r="A1509" s="2"/>
      <c r="B1509" s="2"/>
      <c r="C1509" s="2"/>
      <c r="D1509" s="98"/>
      <c r="E1509" s="15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  <c r="AB1509" s="14"/>
      <c r="AC1509" s="14"/>
      <c r="AD1509" s="14"/>
      <c r="AE1509" s="14"/>
      <c r="AF1509" s="14"/>
      <c r="AG1509" s="14"/>
      <c r="AH1509" s="14"/>
      <c r="AI1509" s="14"/>
      <c r="AJ1509" s="14"/>
      <c r="AK1509" s="14"/>
      <c r="AL1509" s="14"/>
      <c r="AM1509" s="14"/>
      <c r="AN1509" s="14"/>
      <c r="AO1509" s="14"/>
      <c r="AP1509" s="14"/>
      <c r="AQ1509" s="14"/>
      <c r="AR1509" s="14"/>
      <c r="AS1509" s="14"/>
      <c r="AT1509" s="14"/>
      <c r="AU1509" s="14"/>
      <c r="AV1509" s="14"/>
      <c r="AW1509" s="14"/>
      <c r="AX1509" s="14"/>
      <c r="AY1509" s="14"/>
      <c r="AZ1509" s="14"/>
      <c r="BA1509" s="14"/>
      <c r="BB1509" s="14"/>
      <c r="BC1509" s="14"/>
      <c r="BD1509" s="14"/>
      <c r="BE1509" s="14"/>
      <c r="BF1509" s="14"/>
      <c r="BG1509" s="14"/>
      <c r="BH1509" s="14"/>
      <c r="BI1509" s="14"/>
      <c r="BJ1509" s="14"/>
      <c r="BK1509" s="14"/>
      <c r="BL1509" s="14"/>
      <c r="BM1509" s="14"/>
      <c r="BN1509" s="14"/>
      <c r="BO1509" s="14"/>
      <c r="BP1509" s="14"/>
      <c r="BQ1509" s="14"/>
      <c r="BR1509" s="14"/>
      <c r="BS1509" s="14"/>
      <c r="BT1509" s="14"/>
      <c r="BU1509" s="14"/>
      <c r="BV1509" s="14"/>
      <c r="BW1509" s="14"/>
      <c r="BX1509" s="14"/>
      <c r="BY1509" s="14"/>
      <c r="BZ1509" s="14"/>
      <c r="CA1509" s="14"/>
      <c r="CB1509" s="14"/>
      <c r="CC1509" s="14"/>
      <c r="CD1509" s="14"/>
      <c r="CE1509" s="14"/>
      <c r="CF1509" s="14"/>
      <c r="DM1509" s="15"/>
      <c r="DN1509" s="15"/>
      <c r="DO1509" s="15"/>
      <c r="DP1509" s="15"/>
      <c r="DQ1509" s="15"/>
      <c r="DR1509" s="15"/>
      <c r="DS1509" s="15"/>
      <c r="DT1509" s="15"/>
    </row>
    <row r="1510" spans="1:124" s="4" customFormat="1" x14ac:dyDescent="0.25">
      <c r="A1510" s="2"/>
      <c r="B1510" s="2"/>
      <c r="C1510" s="2"/>
      <c r="D1510" s="98"/>
      <c r="E1510" s="15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  <c r="AB1510" s="14"/>
      <c r="AC1510" s="14"/>
      <c r="AD1510" s="14"/>
      <c r="AE1510" s="14"/>
      <c r="AF1510" s="14"/>
      <c r="AG1510" s="14"/>
      <c r="AH1510" s="14"/>
      <c r="AI1510" s="14"/>
      <c r="AJ1510" s="14"/>
      <c r="AK1510" s="14"/>
      <c r="AL1510" s="14"/>
      <c r="AM1510" s="14"/>
      <c r="AN1510" s="14"/>
      <c r="AO1510" s="14"/>
      <c r="AP1510" s="14"/>
      <c r="AQ1510" s="14"/>
      <c r="AR1510" s="14"/>
      <c r="AS1510" s="14"/>
      <c r="AT1510" s="14"/>
      <c r="AU1510" s="14"/>
      <c r="AV1510" s="14"/>
      <c r="AW1510" s="14"/>
      <c r="AX1510" s="14"/>
      <c r="AY1510" s="14"/>
      <c r="AZ1510" s="14"/>
      <c r="BA1510" s="14"/>
      <c r="BB1510" s="14"/>
      <c r="BC1510" s="14"/>
      <c r="BD1510" s="14"/>
      <c r="BE1510" s="14"/>
      <c r="BF1510" s="14"/>
      <c r="BG1510" s="14"/>
      <c r="BH1510" s="14"/>
      <c r="BI1510" s="14"/>
      <c r="BJ1510" s="14"/>
      <c r="BK1510" s="14"/>
      <c r="BL1510" s="14"/>
      <c r="BM1510" s="14"/>
      <c r="BN1510" s="14"/>
      <c r="BO1510" s="14"/>
      <c r="BP1510" s="14"/>
      <c r="BQ1510" s="14"/>
      <c r="BR1510" s="14"/>
      <c r="BS1510" s="14"/>
      <c r="BT1510" s="14"/>
      <c r="BU1510" s="14"/>
      <c r="BV1510" s="14"/>
      <c r="BW1510" s="14"/>
      <c r="BX1510" s="14"/>
      <c r="BY1510" s="14"/>
      <c r="BZ1510" s="14"/>
      <c r="CA1510" s="14"/>
      <c r="CB1510" s="14"/>
      <c r="CC1510" s="14"/>
      <c r="CD1510" s="14"/>
      <c r="CE1510" s="14"/>
      <c r="CF1510" s="14"/>
      <c r="DM1510" s="15"/>
      <c r="DN1510" s="15"/>
      <c r="DO1510" s="15"/>
      <c r="DP1510" s="15"/>
      <c r="DQ1510" s="15"/>
      <c r="DR1510" s="15"/>
      <c r="DS1510" s="15"/>
      <c r="DT1510" s="15"/>
    </row>
    <row r="1511" spans="1:124" s="4" customFormat="1" x14ac:dyDescent="0.25">
      <c r="A1511" s="2"/>
      <c r="B1511" s="2"/>
      <c r="C1511" s="2"/>
      <c r="D1511" s="98"/>
      <c r="E1511" s="15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  <c r="AB1511" s="14"/>
      <c r="AC1511" s="14"/>
      <c r="AD1511" s="14"/>
      <c r="AE1511" s="14"/>
      <c r="AF1511" s="14"/>
      <c r="AG1511" s="14"/>
      <c r="AH1511" s="14"/>
      <c r="AI1511" s="14"/>
      <c r="AJ1511" s="14"/>
      <c r="AK1511" s="14"/>
      <c r="AL1511" s="14"/>
      <c r="AM1511" s="14"/>
      <c r="AN1511" s="14"/>
      <c r="AO1511" s="14"/>
      <c r="AP1511" s="14"/>
      <c r="AQ1511" s="14"/>
      <c r="AR1511" s="14"/>
      <c r="AS1511" s="14"/>
      <c r="AT1511" s="14"/>
      <c r="AU1511" s="14"/>
      <c r="AV1511" s="14"/>
      <c r="AW1511" s="14"/>
      <c r="AX1511" s="14"/>
      <c r="AY1511" s="14"/>
      <c r="AZ1511" s="14"/>
      <c r="BA1511" s="14"/>
      <c r="BB1511" s="14"/>
      <c r="BC1511" s="14"/>
      <c r="BD1511" s="14"/>
      <c r="BE1511" s="14"/>
      <c r="BF1511" s="14"/>
      <c r="BG1511" s="14"/>
      <c r="BH1511" s="14"/>
      <c r="BI1511" s="14"/>
      <c r="BJ1511" s="14"/>
      <c r="BK1511" s="14"/>
      <c r="BL1511" s="14"/>
      <c r="BM1511" s="14"/>
      <c r="BN1511" s="14"/>
      <c r="BO1511" s="14"/>
      <c r="BP1511" s="14"/>
      <c r="BQ1511" s="14"/>
      <c r="BR1511" s="14"/>
      <c r="BS1511" s="14"/>
      <c r="BT1511" s="14"/>
      <c r="BU1511" s="14"/>
      <c r="BV1511" s="14"/>
      <c r="BW1511" s="14"/>
      <c r="BX1511" s="14"/>
      <c r="BY1511" s="14"/>
      <c r="BZ1511" s="14"/>
      <c r="CA1511" s="14"/>
      <c r="CB1511" s="14"/>
      <c r="CC1511" s="14"/>
      <c r="CD1511" s="14"/>
      <c r="CE1511" s="14"/>
      <c r="CF1511" s="14"/>
      <c r="DM1511" s="15"/>
      <c r="DN1511" s="15"/>
      <c r="DO1511" s="15"/>
      <c r="DP1511" s="15"/>
      <c r="DQ1511" s="15"/>
      <c r="DR1511" s="15"/>
      <c r="DS1511" s="15"/>
      <c r="DT1511" s="15"/>
    </row>
    <row r="1512" spans="1:124" s="4" customFormat="1" x14ac:dyDescent="0.25">
      <c r="A1512" s="2"/>
      <c r="B1512" s="2"/>
      <c r="C1512" s="2"/>
      <c r="D1512" s="98"/>
      <c r="E1512" s="15"/>
      <c r="F1512" s="5"/>
      <c r="G1512" s="5"/>
      <c r="H1512" s="5"/>
      <c r="I1512" s="5"/>
      <c r="J1512" s="5"/>
      <c r="K1512" s="5"/>
      <c r="M1512" s="5"/>
      <c r="N1512" s="5"/>
      <c r="O1512" s="5"/>
      <c r="P1512" s="5"/>
      <c r="Q1512" s="5"/>
      <c r="R1512" s="5"/>
      <c r="S1512" s="7"/>
      <c r="T1512" s="7"/>
      <c r="U1512" s="7"/>
      <c r="Y1512" s="5"/>
      <c r="Z1512" s="5"/>
      <c r="AA1512" s="5"/>
      <c r="AB1512" s="5"/>
      <c r="AC1512" s="5"/>
      <c r="AD1512" s="5"/>
      <c r="AE1512" s="5"/>
      <c r="AF1512" s="5"/>
      <c r="AG1512" s="5"/>
      <c r="AH1512" s="5"/>
      <c r="AI1512" s="5"/>
      <c r="AJ1512" s="5"/>
      <c r="AO1512" s="5"/>
      <c r="BM1512" s="5"/>
      <c r="BN1512" s="5"/>
      <c r="BO1512" s="5"/>
      <c r="BP1512" s="14"/>
      <c r="BQ1512" s="5"/>
      <c r="BZ1512" s="14"/>
      <c r="CA1512" s="14"/>
      <c r="DM1512" s="15"/>
      <c r="DN1512" s="15"/>
      <c r="DO1512" s="15"/>
      <c r="DP1512" s="15"/>
      <c r="DQ1512" s="15"/>
      <c r="DR1512" s="15"/>
      <c r="DS1512" s="15"/>
      <c r="DT1512" s="15"/>
    </row>
    <row r="1513" spans="1:124" s="4" customFormat="1" x14ac:dyDescent="0.25">
      <c r="A1513" s="2"/>
      <c r="B1513" s="2"/>
      <c r="C1513" s="2"/>
      <c r="D1513" s="98"/>
      <c r="E1513" s="15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  <c r="AB1513" s="14"/>
      <c r="AC1513" s="14"/>
      <c r="AD1513" s="14"/>
      <c r="AE1513" s="14"/>
      <c r="AF1513" s="14"/>
      <c r="AG1513" s="14"/>
      <c r="AH1513" s="14"/>
      <c r="AI1513" s="14"/>
      <c r="AJ1513" s="14"/>
      <c r="AK1513" s="14"/>
      <c r="AL1513" s="14"/>
      <c r="AM1513" s="14"/>
      <c r="AN1513" s="14"/>
      <c r="AO1513" s="14"/>
      <c r="AP1513" s="14"/>
      <c r="AQ1513" s="14"/>
      <c r="AR1513" s="14"/>
      <c r="AS1513" s="14"/>
      <c r="AT1513" s="14"/>
      <c r="AU1513" s="14"/>
      <c r="AV1513" s="14"/>
      <c r="AW1513" s="14"/>
      <c r="AX1513" s="14"/>
      <c r="AY1513" s="14"/>
      <c r="AZ1513" s="14"/>
      <c r="BA1513" s="14"/>
      <c r="BB1513" s="14"/>
      <c r="BC1513" s="14"/>
      <c r="BD1513" s="14"/>
      <c r="BE1513" s="14"/>
      <c r="BF1513" s="14"/>
      <c r="BG1513" s="14"/>
      <c r="BH1513" s="14"/>
      <c r="BI1513" s="14"/>
      <c r="BJ1513" s="14"/>
      <c r="BK1513" s="14"/>
      <c r="BL1513" s="14"/>
      <c r="BM1513" s="14"/>
      <c r="BN1513" s="14"/>
      <c r="BO1513" s="14"/>
      <c r="BP1513" s="14"/>
      <c r="BQ1513" s="14"/>
      <c r="BR1513" s="14"/>
      <c r="BS1513" s="14"/>
      <c r="BT1513" s="14"/>
      <c r="BU1513" s="14"/>
      <c r="BV1513" s="14"/>
      <c r="BW1513" s="14"/>
      <c r="BX1513" s="14"/>
      <c r="BY1513" s="14"/>
      <c r="BZ1513" s="14"/>
      <c r="CA1513" s="14"/>
      <c r="CB1513" s="14"/>
      <c r="CC1513" s="14"/>
      <c r="CD1513" s="14"/>
      <c r="CE1513" s="14"/>
      <c r="CF1513" s="14"/>
      <c r="DM1513" s="15"/>
      <c r="DN1513" s="15"/>
      <c r="DO1513" s="15"/>
      <c r="DP1513" s="15"/>
      <c r="DQ1513" s="15"/>
      <c r="DR1513" s="15"/>
      <c r="DS1513" s="15"/>
      <c r="DT1513" s="15"/>
    </row>
    <row r="1514" spans="1:124" s="4" customFormat="1" x14ac:dyDescent="0.25">
      <c r="A1514" s="2"/>
      <c r="B1514" s="2"/>
      <c r="C1514" s="2"/>
      <c r="D1514" s="98"/>
      <c r="E1514" s="15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  <c r="AB1514" s="14"/>
      <c r="AC1514" s="14"/>
      <c r="AD1514" s="14"/>
      <c r="AE1514" s="14"/>
      <c r="AF1514" s="14"/>
      <c r="AG1514" s="14"/>
      <c r="AH1514" s="14"/>
      <c r="AI1514" s="14"/>
      <c r="AJ1514" s="14"/>
      <c r="AK1514" s="14"/>
      <c r="AL1514" s="14"/>
      <c r="AM1514" s="14"/>
      <c r="AN1514" s="14"/>
      <c r="AO1514" s="14"/>
      <c r="AP1514" s="14"/>
      <c r="AQ1514" s="14"/>
      <c r="AR1514" s="14"/>
      <c r="AS1514" s="14"/>
      <c r="AT1514" s="14"/>
      <c r="AU1514" s="14"/>
      <c r="AV1514" s="14"/>
      <c r="AW1514" s="14"/>
      <c r="AX1514" s="14"/>
      <c r="AY1514" s="14"/>
      <c r="AZ1514" s="14"/>
      <c r="BA1514" s="14"/>
      <c r="BB1514" s="14"/>
      <c r="BC1514" s="14"/>
      <c r="BD1514" s="14"/>
      <c r="BE1514" s="14"/>
      <c r="BF1514" s="14"/>
      <c r="BG1514" s="14"/>
      <c r="BH1514" s="14"/>
      <c r="BI1514" s="14"/>
      <c r="BJ1514" s="14"/>
      <c r="BK1514" s="14"/>
      <c r="BL1514" s="14"/>
      <c r="BM1514" s="14"/>
      <c r="BN1514" s="14"/>
      <c r="BO1514" s="14"/>
      <c r="BP1514" s="14"/>
      <c r="BQ1514" s="14"/>
      <c r="BR1514" s="14"/>
      <c r="BS1514" s="14"/>
      <c r="BT1514" s="14"/>
      <c r="BU1514" s="14"/>
      <c r="BV1514" s="14"/>
      <c r="BW1514" s="14"/>
      <c r="BX1514" s="14"/>
      <c r="BY1514" s="14"/>
      <c r="BZ1514" s="14"/>
      <c r="CA1514" s="14"/>
      <c r="CB1514" s="14"/>
      <c r="CC1514" s="14"/>
      <c r="CD1514" s="14"/>
      <c r="CE1514" s="14"/>
      <c r="CF1514" s="14"/>
      <c r="DM1514" s="15"/>
      <c r="DN1514" s="15"/>
      <c r="DO1514" s="15"/>
      <c r="DP1514" s="15"/>
      <c r="DQ1514" s="15"/>
      <c r="DR1514" s="15"/>
      <c r="DS1514" s="15"/>
      <c r="DT1514" s="15"/>
    </row>
    <row r="1515" spans="1:124" s="4" customFormat="1" x14ac:dyDescent="0.25">
      <c r="A1515" s="2"/>
      <c r="B1515" s="2"/>
      <c r="C1515" s="2"/>
      <c r="D1515" s="98"/>
      <c r="E1515" s="15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  <c r="AB1515" s="14"/>
      <c r="AC1515" s="14"/>
      <c r="AD1515" s="14"/>
      <c r="AE1515" s="14"/>
      <c r="AF1515" s="14"/>
      <c r="AG1515" s="14"/>
      <c r="AH1515" s="14"/>
      <c r="AI1515" s="14"/>
      <c r="AJ1515" s="14"/>
      <c r="AK1515" s="14"/>
      <c r="AL1515" s="14"/>
      <c r="AM1515" s="14"/>
      <c r="AN1515" s="14"/>
      <c r="AO1515" s="14"/>
      <c r="AP1515" s="14"/>
      <c r="AQ1515" s="14"/>
      <c r="AR1515" s="14"/>
      <c r="AS1515" s="14"/>
      <c r="AT1515" s="14"/>
      <c r="AU1515" s="14"/>
      <c r="AV1515" s="14"/>
      <c r="AW1515" s="14"/>
      <c r="AX1515" s="14"/>
      <c r="AY1515" s="14"/>
      <c r="AZ1515" s="14"/>
      <c r="BA1515" s="14"/>
      <c r="BB1515" s="14"/>
      <c r="BC1515" s="14"/>
      <c r="BD1515" s="14"/>
      <c r="BE1515" s="14"/>
      <c r="BF1515" s="14"/>
      <c r="BG1515" s="14"/>
      <c r="BH1515" s="14"/>
      <c r="BI1515" s="14"/>
      <c r="BJ1515" s="14"/>
      <c r="BK1515" s="14"/>
      <c r="BL1515" s="14"/>
      <c r="BM1515" s="14"/>
      <c r="BN1515" s="14"/>
      <c r="BO1515" s="14"/>
      <c r="BP1515" s="14"/>
      <c r="BQ1515" s="14"/>
      <c r="BR1515" s="14"/>
      <c r="BS1515" s="14"/>
      <c r="BT1515" s="14"/>
      <c r="BU1515" s="14"/>
      <c r="BV1515" s="14"/>
      <c r="BW1515" s="14"/>
      <c r="BX1515" s="14"/>
      <c r="BY1515" s="14"/>
      <c r="BZ1515" s="14"/>
      <c r="CA1515" s="14"/>
      <c r="CB1515" s="14"/>
      <c r="CC1515" s="14"/>
      <c r="CD1515" s="14"/>
      <c r="CE1515" s="14"/>
      <c r="CF1515" s="14"/>
      <c r="DM1515" s="15"/>
      <c r="DN1515" s="15"/>
      <c r="DO1515" s="15"/>
      <c r="DP1515" s="15"/>
      <c r="DQ1515" s="15"/>
      <c r="DR1515" s="15"/>
      <c r="DS1515" s="15"/>
      <c r="DT1515" s="15"/>
    </row>
    <row r="1516" spans="1:124" s="4" customFormat="1" x14ac:dyDescent="0.25">
      <c r="A1516" s="2"/>
      <c r="B1516" s="2"/>
      <c r="C1516" s="2"/>
      <c r="D1516" s="98"/>
      <c r="E1516" s="15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  <c r="AB1516" s="14"/>
      <c r="AC1516" s="14"/>
      <c r="AD1516" s="14"/>
      <c r="AE1516" s="14"/>
      <c r="AF1516" s="14"/>
      <c r="AG1516" s="14"/>
      <c r="AH1516" s="14"/>
      <c r="AI1516" s="14"/>
      <c r="AJ1516" s="14"/>
      <c r="AK1516" s="14"/>
      <c r="AL1516" s="14"/>
      <c r="AM1516" s="14"/>
      <c r="AN1516" s="14"/>
      <c r="AO1516" s="14"/>
      <c r="AP1516" s="14"/>
      <c r="AQ1516" s="14"/>
      <c r="AR1516" s="14"/>
      <c r="AS1516" s="14"/>
      <c r="AT1516" s="14"/>
      <c r="AU1516" s="14"/>
      <c r="AV1516" s="14"/>
      <c r="AW1516" s="14"/>
      <c r="AX1516" s="14"/>
      <c r="AY1516" s="14"/>
      <c r="AZ1516" s="14"/>
      <c r="BA1516" s="14"/>
      <c r="BB1516" s="14"/>
      <c r="BC1516" s="14"/>
      <c r="BD1516" s="14"/>
      <c r="BE1516" s="14"/>
      <c r="BF1516" s="14"/>
      <c r="BG1516" s="14"/>
      <c r="BH1516" s="14"/>
      <c r="BI1516" s="14"/>
      <c r="BJ1516" s="14"/>
      <c r="BK1516" s="14"/>
      <c r="BL1516" s="14"/>
      <c r="BM1516" s="14"/>
      <c r="BN1516" s="14"/>
      <c r="BO1516" s="14"/>
      <c r="BP1516" s="14"/>
      <c r="BQ1516" s="14"/>
      <c r="BR1516" s="14"/>
      <c r="BS1516" s="14"/>
      <c r="BT1516" s="14"/>
      <c r="BU1516" s="14"/>
      <c r="BV1516" s="14"/>
      <c r="BW1516" s="14"/>
      <c r="BX1516" s="14"/>
      <c r="BY1516" s="14"/>
      <c r="BZ1516" s="14"/>
      <c r="CA1516" s="14"/>
      <c r="CB1516" s="14"/>
      <c r="CC1516" s="14"/>
      <c r="CD1516" s="14"/>
      <c r="CE1516" s="14"/>
      <c r="CF1516" s="14"/>
      <c r="DM1516" s="15"/>
      <c r="DN1516" s="15"/>
      <c r="DO1516" s="15"/>
      <c r="DP1516" s="15"/>
      <c r="DQ1516" s="15"/>
      <c r="DR1516" s="15"/>
      <c r="DS1516" s="15"/>
      <c r="DT1516" s="15"/>
    </row>
    <row r="1517" spans="1:124" s="4" customFormat="1" x14ac:dyDescent="0.25">
      <c r="A1517" s="2"/>
      <c r="B1517" s="2"/>
      <c r="C1517" s="2"/>
      <c r="D1517" s="98"/>
      <c r="E1517" s="15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  <c r="AB1517" s="14"/>
      <c r="AC1517" s="14"/>
      <c r="AD1517" s="14"/>
      <c r="AE1517" s="14"/>
      <c r="AF1517" s="14"/>
      <c r="AG1517" s="14"/>
      <c r="AH1517" s="14"/>
      <c r="AI1517" s="14"/>
      <c r="AJ1517" s="14"/>
      <c r="AK1517" s="14"/>
      <c r="AL1517" s="14"/>
      <c r="AM1517" s="14"/>
      <c r="AN1517" s="14"/>
      <c r="AO1517" s="14"/>
      <c r="AP1517" s="14"/>
      <c r="AQ1517" s="14"/>
      <c r="AR1517" s="14"/>
      <c r="AS1517" s="14"/>
      <c r="AT1517" s="14"/>
      <c r="AU1517" s="14"/>
      <c r="AV1517" s="14"/>
      <c r="AW1517" s="14"/>
      <c r="AX1517" s="14"/>
      <c r="AY1517" s="14"/>
      <c r="AZ1517" s="14"/>
      <c r="BA1517" s="14"/>
      <c r="BB1517" s="14"/>
      <c r="BC1517" s="14"/>
      <c r="BD1517" s="14"/>
      <c r="BE1517" s="14"/>
      <c r="BF1517" s="14"/>
      <c r="BG1517" s="14"/>
      <c r="BH1517" s="14"/>
      <c r="BI1517" s="14"/>
      <c r="BJ1517" s="14"/>
      <c r="BK1517" s="14"/>
      <c r="BL1517" s="14"/>
      <c r="BM1517" s="14"/>
      <c r="BN1517" s="14"/>
      <c r="BO1517" s="14"/>
      <c r="BP1517" s="14"/>
      <c r="BQ1517" s="14"/>
      <c r="BR1517" s="14"/>
      <c r="BS1517" s="14"/>
      <c r="BT1517" s="14"/>
      <c r="BU1517" s="14"/>
      <c r="BV1517" s="14"/>
      <c r="BW1517" s="14"/>
      <c r="BX1517" s="14"/>
      <c r="BY1517" s="14"/>
      <c r="BZ1517" s="14"/>
      <c r="CA1517" s="14"/>
      <c r="CB1517" s="14"/>
      <c r="CC1517" s="14"/>
      <c r="CD1517" s="14"/>
      <c r="CE1517" s="14"/>
      <c r="CF1517" s="14"/>
      <c r="DM1517" s="15"/>
      <c r="DN1517" s="15"/>
      <c r="DO1517" s="15"/>
      <c r="DP1517" s="15"/>
      <c r="DQ1517" s="15"/>
      <c r="DR1517" s="15"/>
      <c r="DS1517" s="15"/>
      <c r="DT1517" s="15"/>
    </row>
    <row r="1518" spans="1:124" s="4" customFormat="1" x14ac:dyDescent="0.25">
      <c r="A1518" s="2"/>
      <c r="B1518" s="2"/>
      <c r="C1518" s="2"/>
      <c r="D1518" s="98"/>
      <c r="E1518" s="15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  <c r="AI1518" s="14"/>
      <c r="AJ1518" s="14"/>
      <c r="AK1518" s="14"/>
      <c r="AL1518" s="14"/>
      <c r="AM1518" s="14"/>
      <c r="AN1518" s="14"/>
      <c r="AO1518" s="14"/>
      <c r="AP1518" s="14"/>
      <c r="AQ1518" s="14"/>
      <c r="AR1518" s="14"/>
      <c r="AS1518" s="14"/>
      <c r="AT1518" s="14"/>
      <c r="AU1518" s="14"/>
      <c r="AV1518" s="14"/>
      <c r="AW1518" s="14"/>
      <c r="AX1518" s="14"/>
      <c r="AY1518" s="14"/>
      <c r="AZ1518" s="14"/>
      <c r="BA1518" s="14"/>
      <c r="BB1518" s="14"/>
      <c r="BC1518" s="14"/>
      <c r="BD1518" s="14"/>
      <c r="BE1518" s="14"/>
      <c r="BF1518" s="14"/>
      <c r="BG1518" s="14"/>
      <c r="BH1518" s="14"/>
      <c r="BI1518" s="14"/>
      <c r="BJ1518" s="14"/>
      <c r="BK1518" s="14"/>
      <c r="BL1518" s="14"/>
      <c r="BM1518" s="14"/>
      <c r="BN1518" s="14"/>
      <c r="BO1518" s="14"/>
      <c r="BP1518" s="14"/>
      <c r="BQ1518" s="14"/>
      <c r="BR1518" s="14"/>
      <c r="BS1518" s="14"/>
      <c r="BT1518" s="14"/>
      <c r="BU1518" s="14"/>
      <c r="BV1518" s="14"/>
      <c r="BW1518" s="14"/>
      <c r="BX1518" s="14"/>
      <c r="BY1518" s="14"/>
      <c r="BZ1518" s="14"/>
      <c r="CA1518" s="14"/>
      <c r="CB1518" s="14"/>
      <c r="CC1518" s="14"/>
      <c r="CD1518" s="14"/>
      <c r="CE1518" s="14"/>
      <c r="CF1518" s="14"/>
      <c r="DM1518" s="15"/>
      <c r="DN1518" s="15"/>
      <c r="DO1518" s="15"/>
      <c r="DP1518" s="15"/>
      <c r="DQ1518" s="15"/>
      <c r="DR1518" s="15"/>
      <c r="DS1518" s="15"/>
      <c r="DT1518" s="15"/>
    </row>
    <row r="1519" spans="1:124" s="4" customFormat="1" x14ac:dyDescent="0.25">
      <c r="A1519" s="2"/>
      <c r="B1519" s="2"/>
      <c r="C1519" s="2"/>
      <c r="D1519" s="98"/>
      <c r="E1519" s="15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  <c r="AB1519" s="14"/>
      <c r="AC1519" s="14"/>
      <c r="AD1519" s="14"/>
      <c r="AE1519" s="14"/>
      <c r="AF1519" s="14"/>
      <c r="AG1519" s="14"/>
      <c r="AH1519" s="14"/>
      <c r="AI1519" s="14"/>
      <c r="AJ1519" s="14"/>
      <c r="AK1519" s="14"/>
      <c r="AL1519" s="14"/>
      <c r="AM1519" s="14"/>
      <c r="AN1519" s="14"/>
      <c r="AO1519" s="14"/>
      <c r="AP1519" s="14"/>
      <c r="AQ1519" s="14"/>
      <c r="AR1519" s="14"/>
      <c r="AS1519" s="14"/>
      <c r="AT1519" s="14"/>
      <c r="AU1519" s="14"/>
      <c r="AV1519" s="14"/>
      <c r="AW1519" s="14"/>
      <c r="AX1519" s="14"/>
      <c r="AY1519" s="14"/>
      <c r="AZ1519" s="14"/>
      <c r="BA1519" s="14"/>
      <c r="BB1519" s="14"/>
      <c r="BC1519" s="14"/>
      <c r="BD1519" s="14"/>
      <c r="BE1519" s="14"/>
      <c r="BF1519" s="14"/>
      <c r="BG1519" s="14"/>
      <c r="BH1519" s="14"/>
      <c r="BI1519" s="14"/>
      <c r="BJ1519" s="14"/>
      <c r="BK1519" s="14"/>
      <c r="BL1519" s="14"/>
      <c r="BM1519" s="14"/>
      <c r="BN1519" s="14"/>
      <c r="BO1519" s="14"/>
      <c r="BP1519" s="14"/>
      <c r="BQ1519" s="14"/>
      <c r="BR1519" s="14"/>
      <c r="BS1519" s="14"/>
      <c r="BT1519" s="14"/>
      <c r="BU1519" s="14"/>
      <c r="BV1519" s="14"/>
      <c r="BW1519" s="14"/>
      <c r="BX1519" s="14"/>
      <c r="BY1519" s="14"/>
      <c r="BZ1519" s="14"/>
      <c r="CA1519" s="14"/>
      <c r="CB1519" s="14"/>
      <c r="CC1519" s="14"/>
      <c r="CD1519" s="14"/>
      <c r="CE1519" s="14"/>
      <c r="CF1519" s="14"/>
      <c r="DM1519" s="15"/>
      <c r="DN1519" s="15"/>
      <c r="DO1519" s="15"/>
      <c r="DP1519" s="15"/>
      <c r="DQ1519" s="15"/>
      <c r="DR1519" s="15"/>
      <c r="DS1519" s="15"/>
      <c r="DT1519" s="15"/>
    </row>
    <row r="1520" spans="1:124" s="4" customFormat="1" x14ac:dyDescent="0.25">
      <c r="A1520" s="2"/>
      <c r="B1520" s="2"/>
      <c r="C1520" s="2"/>
      <c r="D1520" s="98"/>
      <c r="E1520" s="15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  <c r="AI1520" s="14"/>
      <c r="AJ1520" s="14"/>
      <c r="AK1520" s="14"/>
      <c r="AL1520" s="14"/>
      <c r="AM1520" s="14"/>
      <c r="AN1520" s="14"/>
      <c r="AO1520" s="14"/>
      <c r="AP1520" s="14"/>
      <c r="AQ1520" s="14"/>
      <c r="AR1520" s="14"/>
      <c r="AS1520" s="14"/>
      <c r="AT1520" s="14"/>
      <c r="AU1520" s="14"/>
      <c r="AV1520" s="14"/>
      <c r="AW1520" s="14"/>
      <c r="AX1520" s="14"/>
      <c r="AY1520" s="14"/>
      <c r="AZ1520" s="14"/>
      <c r="BA1520" s="14"/>
      <c r="BB1520" s="14"/>
      <c r="BC1520" s="14"/>
      <c r="BD1520" s="14"/>
      <c r="BE1520" s="14"/>
      <c r="BF1520" s="14"/>
      <c r="BG1520" s="14"/>
      <c r="BH1520" s="14"/>
      <c r="BI1520" s="14"/>
      <c r="BJ1520" s="14"/>
      <c r="BK1520" s="14"/>
      <c r="BL1520" s="14"/>
      <c r="BM1520" s="14"/>
      <c r="BN1520" s="14"/>
      <c r="BO1520" s="14"/>
      <c r="BP1520" s="14"/>
      <c r="BQ1520" s="14"/>
      <c r="BR1520" s="14"/>
      <c r="BS1520" s="14"/>
      <c r="BT1520" s="14"/>
      <c r="BU1520" s="14"/>
      <c r="BV1520" s="14"/>
      <c r="BW1520" s="14"/>
      <c r="BX1520" s="14"/>
      <c r="BY1520" s="14"/>
      <c r="BZ1520" s="14"/>
      <c r="CA1520" s="14"/>
      <c r="CB1520" s="14"/>
      <c r="CC1520" s="14"/>
      <c r="CD1520" s="14"/>
      <c r="CE1520" s="14"/>
      <c r="CF1520" s="14"/>
      <c r="DM1520" s="15"/>
      <c r="DN1520" s="15"/>
      <c r="DO1520" s="15"/>
      <c r="DP1520" s="15"/>
      <c r="DQ1520" s="15"/>
      <c r="DR1520" s="15"/>
      <c r="DS1520" s="15"/>
      <c r="DT1520" s="15"/>
    </row>
    <row r="1521" spans="1:116" s="15" customFormat="1" x14ac:dyDescent="0.25">
      <c r="A1521" s="16"/>
      <c r="B1521" s="16"/>
      <c r="C1521" s="16"/>
      <c r="D1521" s="98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  <c r="AB1521" s="14"/>
      <c r="AC1521" s="14"/>
      <c r="AD1521" s="14"/>
      <c r="AE1521" s="14"/>
      <c r="AF1521" s="14"/>
      <c r="AG1521" s="14"/>
      <c r="AH1521" s="14"/>
      <c r="AI1521" s="14"/>
      <c r="AJ1521" s="14"/>
      <c r="AK1521" s="14"/>
      <c r="AL1521" s="14"/>
      <c r="AM1521" s="14"/>
      <c r="AN1521" s="14"/>
      <c r="AO1521" s="14"/>
      <c r="AP1521" s="14"/>
      <c r="AQ1521" s="14"/>
      <c r="AR1521" s="14"/>
      <c r="AS1521" s="14"/>
      <c r="AT1521" s="14"/>
      <c r="AU1521" s="14"/>
      <c r="AV1521" s="14"/>
      <c r="AW1521" s="14"/>
      <c r="AX1521" s="14"/>
      <c r="AY1521" s="14"/>
      <c r="AZ1521" s="14"/>
      <c r="BA1521" s="14"/>
      <c r="BB1521" s="14"/>
      <c r="BC1521" s="14"/>
      <c r="BD1521" s="14"/>
      <c r="BE1521" s="14"/>
      <c r="BF1521" s="14"/>
      <c r="BG1521" s="14"/>
      <c r="BH1521" s="14"/>
      <c r="BI1521" s="14"/>
      <c r="BJ1521" s="14"/>
      <c r="BK1521" s="14"/>
      <c r="BL1521" s="14"/>
      <c r="BM1521" s="14"/>
      <c r="BN1521" s="14"/>
      <c r="BO1521" s="14"/>
      <c r="BP1521" s="14"/>
      <c r="BQ1521" s="14"/>
      <c r="BR1521" s="14"/>
      <c r="BS1521" s="14"/>
      <c r="BT1521" s="14"/>
      <c r="BU1521" s="14"/>
      <c r="BV1521" s="14"/>
      <c r="BW1521" s="14"/>
      <c r="BX1521" s="14"/>
      <c r="BY1521" s="14"/>
      <c r="BZ1521" s="14"/>
      <c r="CA1521" s="14"/>
      <c r="CB1521" s="14"/>
      <c r="CC1521" s="14"/>
      <c r="CD1521" s="14"/>
      <c r="CE1521" s="14"/>
      <c r="CF1521" s="14"/>
      <c r="CG1521" s="4"/>
      <c r="CH1521" s="4"/>
      <c r="CI1521" s="4"/>
      <c r="CJ1521" s="4"/>
      <c r="CK1521" s="4"/>
      <c r="CL1521" s="4"/>
      <c r="CM1521" s="4"/>
      <c r="CN1521" s="4"/>
      <c r="CO1521" s="4"/>
      <c r="CP1521" s="4"/>
      <c r="CQ1521" s="4"/>
      <c r="CR1521" s="4"/>
      <c r="CS1521" s="4"/>
      <c r="CT1521" s="4"/>
      <c r="CU1521" s="4"/>
      <c r="CV1521" s="4"/>
      <c r="CW1521" s="4"/>
      <c r="CX1521" s="4"/>
      <c r="CY1521" s="4"/>
      <c r="CZ1521" s="4"/>
      <c r="DA1521" s="4"/>
      <c r="DB1521" s="4"/>
      <c r="DC1521" s="4"/>
      <c r="DD1521" s="4"/>
      <c r="DE1521" s="4"/>
      <c r="DF1521" s="4"/>
      <c r="DG1521" s="4"/>
      <c r="DH1521" s="4"/>
      <c r="DI1521" s="4"/>
      <c r="DJ1521" s="4"/>
      <c r="DK1521" s="4"/>
      <c r="DL1521" s="4"/>
    </row>
    <row r="1522" spans="1:116" s="15" customFormat="1" x14ac:dyDescent="0.25">
      <c r="A1522" s="16"/>
      <c r="B1522" s="16"/>
      <c r="C1522" s="16"/>
      <c r="D1522" s="98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  <c r="AI1522" s="14"/>
      <c r="AJ1522" s="14"/>
      <c r="AK1522" s="14"/>
      <c r="AL1522" s="14"/>
      <c r="AM1522" s="14"/>
      <c r="AN1522" s="14"/>
      <c r="AO1522" s="14"/>
      <c r="AP1522" s="14"/>
      <c r="AQ1522" s="14"/>
      <c r="AR1522" s="14"/>
      <c r="AS1522" s="14"/>
      <c r="AT1522" s="14"/>
      <c r="AU1522" s="14"/>
      <c r="AV1522" s="14"/>
      <c r="AW1522" s="14"/>
      <c r="AX1522" s="14"/>
      <c r="AY1522" s="14"/>
      <c r="AZ1522" s="14"/>
      <c r="BA1522" s="14"/>
      <c r="BB1522" s="14"/>
      <c r="BC1522" s="14"/>
      <c r="BD1522" s="14"/>
      <c r="BE1522" s="14"/>
      <c r="BF1522" s="14"/>
      <c r="BG1522" s="14"/>
      <c r="BH1522" s="14"/>
      <c r="BI1522" s="14"/>
      <c r="BJ1522" s="14"/>
      <c r="BK1522" s="14"/>
      <c r="BL1522" s="14"/>
      <c r="BM1522" s="14"/>
      <c r="BN1522" s="14"/>
      <c r="BO1522" s="14"/>
      <c r="BP1522" s="14"/>
      <c r="BQ1522" s="14"/>
      <c r="BR1522" s="14"/>
      <c r="BS1522" s="14"/>
      <c r="BT1522" s="14"/>
      <c r="BU1522" s="14"/>
      <c r="BV1522" s="14"/>
      <c r="BW1522" s="14"/>
      <c r="BX1522" s="14"/>
      <c r="BY1522" s="14"/>
      <c r="BZ1522" s="14"/>
      <c r="CA1522" s="14"/>
      <c r="CB1522" s="14"/>
      <c r="CC1522" s="14"/>
      <c r="CD1522" s="14"/>
      <c r="CE1522" s="14"/>
      <c r="CF1522" s="14"/>
      <c r="CG1522" s="4"/>
      <c r="CH1522" s="4"/>
      <c r="CI1522" s="4"/>
      <c r="CJ1522" s="4"/>
      <c r="CK1522" s="4"/>
      <c r="CL1522" s="4"/>
      <c r="CM1522" s="4"/>
      <c r="CN1522" s="4"/>
      <c r="CO1522" s="4"/>
      <c r="CP1522" s="4"/>
      <c r="CQ1522" s="4"/>
      <c r="CR1522" s="4"/>
      <c r="CS1522" s="4"/>
      <c r="CT1522" s="4"/>
      <c r="CU1522" s="4"/>
      <c r="CV1522" s="4"/>
      <c r="CW1522" s="4"/>
      <c r="CX1522" s="4"/>
      <c r="CY1522" s="4"/>
      <c r="CZ1522" s="4"/>
      <c r="DA1522" s="4"/>
      <c r="DB1522" s="4"/>
      <c r="DC1522" s="4"/>
      <c r="DD1522" s="4"/>
      <c r="DE1522" s="4"/>
      <c r="DF1522" s="4"/>
      <c r="DG1522" s="4"/>
      <c r="DH1522" s="4"/>
      <c r="DI1522" s="4"/>
      <c r="DJ1522" s="4"/>
      <c r="DK1522" s="4"/>
      <c r="DL1522" s="4"/>
    </row>
    <row r="1523" spans="1:116" s="15" customFormat="1" x14ac:dyDescent="0.25">
      <c r="A1523" s="16"/>
      <c r="B1523" s="16"/>
      <c r="C1523" s="16"/>
      <c r="D1523" s="98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  <c r="AB1523" s="14"/>
      <c r="AC1523" s="14"/>
      <c r="AD1523" s="14"/>
      <c r="AE1523" s="14"/>
      <c r="AF1523" s="14"/>
      <c r="AG1523" s="14"/>
      <c r="AH1523" s="14"/>
      <c r="AI1523" s="14"/>
      <c r="AJ1523" s="14"/>
      <c r="AK1523" s="14"/>
      <c r="AL1523" s="14"/>
      <c r="AM1523" s="14"/>
      <c r="AN1523" s="14"/>
      <c r="AO1523" s="14"/>
      <c r="AP1523" s="14"/>
      <c r="AQ1523" s="14"/>
      <c r="AR1523" s="14"/>
      <c r="AS1523" s="14"/>
      <c r="AT1523" s="14"/>
      <c r="AU1523" s="14"/>
      <c r="AV1523" s="14"/>
      <c r="AW1523" s="14"/>
      <c r="AX1523" s="14"/>
      <c r="AY1523" s="14"/>
      <c r="AZ1523" s="14"/>
      <c r="BA1523" s="14"/>
      <c r="BB1523" s="14"/>
      <c r="BC1523" s="14"/>
      <c r="BD1523" s="14"/>
      <c r="BE1523" s="14"/>
      <c r="BF1523" s="14"/>
      <c r="BG1523" s="14"/>
      <c r="BH1523" s="14"/>
      <c r="BI1523" s="14"/>
      <c r="BJ1523" s="14"/>
      <c r="BK1523" s="14"/>
      <c r="BL1523" s="14"/>
      <c r="BM1523" s="14"/>
      <c r="BN1523" s="14"/>
      <c r="BO1523" s="14"/>
      <c r="BP1523" s="14"/>
      <c r="BQ1523" s="14"/>
      <c r="BR1523" s="14"/>
      <c r="BS1523" s="14"/>
      <c r="BT1523" s="14"/>
      <c r="BU1523" s="14"/>
      <c r="BV1523" s="14"/>
      <c r="BW1523" s="14"/>
      <c r="BX1523" s="14"/>
      <c r="BY1523" s="14"/>
      <c r="BZ1523" s="14"/>
      <c r="CA1523" s="14"/>
      <c r="CB1523" s="14"/>
      <c r="CC1523" s="14"/>
      <c r="CD1523" s="14"/>
      <c r="CE1523" s="14"/>
      <c r="CF1523" s="14"/>
      <c r="CG1523" s="4"/>
      <c r="CH1523" s="4"/>
      <c r="CI1523" s="4"/>
      <c r="CJ1523" s="4"/>
      <c r="CK1523" s="4"/>
      <c r="CL1523" s="4"/>
      <c r="CM1523" s="4"/>
      <c r="CN1523" s="4"/>
      <c r="CO1523" s="4"/>
      <c r="CP1523" s="4"/>
      <c r="CQ1523" s="4"/>
      <c r="CR1523" s="4"/>
      <c r="CS1523" s="4"/>
      <c r="CT1523" s="4"/>
      <c r="CU1523" s="4"/>
      <c r="CV1523" s="4"/>
      <c r="CW1523" s="4"/>
      <c r="CX1523" s="4"/>
      <c r="CY1523" s="4"/>
      <c r="CZ1523" s="4"/>
      <c r="DA1523" s="4"/>
      <c r="DB1523" s="4"/>
      <c r="DC1523" s="4"/>
      <c r="DD1523" s="4"/>
      <c r="DE1523" s="4"/>
      <c r="DF1523" s="4"/>
      <c r="DG1523" s="4"/>
      <c r="DH1523" s="4"/>
      <c r="DI1523" s="4"/>
      <c r="DJ1523" s="4"/>
      <c r="DK1523" s="4"/>
      <c r="DL1523" s="4"/>
    </row>
    <row r="1524" spans="1:116" s="15" customFormat="1" x14ac:dyDescent="0.25">
      <c r="A1524" s="16"/>
      <c r="B1524" s="16"/>
      <c r="C1524" s="16"/>
      <c r="D1524" s="98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  <c r="AI1524" s="14"/>
      <c r="AJ1524" s="14"/>
      <c r="AK1524" s="14"/>
      <c r="AL1524" s="14"/>
      <c r="AM1524" s="14"/>
      <c r="AN1524" s="14"/>
      <c r="AO1524" s="14"/>
      <c r="AP1524" s="14"/>
      <c r="AQ1524" s="14"/>
      <c r="AR1524" s="14"/>
      <c r="AS1524" s="14"/>
      <c r="AT1524" s="14"/>
      <c r="AU1524" s="14"/>
      <c r="AV1524" s="14"/>
      <c r="AW1524" s="14"/>
      <c r="AX1524" s="14"/>
      <c r="AY1524" s="14"/>
      <c r="AZ1524" s="14"/>
      <c r="BA1524" s="14"/>
      <c r="BB1524" s="14"/>
      <c r="BC1524" s="14"/>
      <c r="BD1524" s="14"/>
      <c r="BE1524" s="14"/>
      <c r="BF1524" s="14"/>
      <c r="BG1524" s="14"/>
      <c r="BH1524" s="14"/>
      <c r="BI1524" s="14"/>
      <c r="BJ1524" s="14"/>
      <c r="BK1524" s="14"/>
      <c r="BL1524" s="14"/>
      <c r="BM1524" s="14"/>
      <c r="BN1524" s="14"/>
      <c r="BO1524" s="14"/>
      <c r="BP1524" s="14"/>
      <c r="BQ1524" s="14"/>
      <c r="BR1524" s="14"/>
      <c r="BS1524" s="14"/>
      <c r="BT1524" s="14"/>
      <c r="BU1524" s="14"/>
      <c r="BV1524" s="14"/>
      <c r="BW1524" s="14"/>
      <c r="BX1524" s="14"/>
      <c r="BY1524" s="14"/>
      <c r="BZ1524" s="14"/>
      <c r="CA1524" s="14"/>
      <c r="CB1524" s="14"/>
      <c r="CC1524" s="14"/>
      <c r="CD1524" s="14"/>
      <c r="CE1524" s="14"/>
      <c r="CF1524" s="14"/>
      <c r="CG1524" s="4"/>
      <c r="CH1524" s="4"/>
      <c r="CI1524" s="4"/>
      <c r="CJ1524" s="4"/>
      <c r="CK1524" s="4"/>
      <c r="CL1524" s="4"/>
      <c r="CM1524" s="4"/>
      <c r="CN1524" s="4"/>
      <c r="CO1524" s="4"/>
      <c r="CP1524" s="4"/>
      <c r="CQ1524" s="4"/>
      <c r="CR1524" s="4"/>
      <c r="CS1524" s="4"/>
      <c r="CT1524" s="4"/>
      <c r="CU1524" s="4"/>
      <c r="CV1524" s="4"/>
      <c r="CW1524" s="4"/>
      <c r="CX1524" s="4"/>
      <c r="CY1524" s="4"/>
      <c r="CZ1524" s="4"/>
      <c r="DA1524" s="4"/>
      <c r="DB1524" s="4"/>
      <c r="DC1524" s="4"/>
      <c r="DD1524" s="4"/>
      <c r="DE1524" s="4"/>
      <c r="DF1524" s="4"/>
      <c r="DG1524" s="4"/>
      <c r="DH1524" s="4"/>
      <c r="DI1524" s="4"/>
      <c r="DJ1524" s="4"/>
      <c r="DK1524" s="4"/>
      <c r="DL1524" s="4"/>
    </row>
    <row r="1525" spans="1:116" s="15" customFormat="1" x14ac:dyDescent="0.25">
      <c r="A1525" s="16"/>
      <c r="B1525" s="16"/>
      <c r="C1525" s="16"/>
      <c r="D1525" s="98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  <c r="AB1525" s="14"/>
      <c r="AC1525" s="14"/>
      <c r="AD1525" s="14"/>
      <c r="AE1525" s="14"/>
      <c r="AF1525" s="14"/>
      <c r="AG1525" s="14"/>
      <c r="AH1525" s="14"/>
      <c r="AI1525" s="14"/>
      <c r="AJ1525" s="14"/>
      <c r="AK1525" s="14"/>
      <c r="AL1525" s="14"/>
      <c r="AM1525" s="14"/>
      <c r="AN1525" s="14"/>
      <c r="AO1525" s="14"/>
      <c r="AP1525" s="14"/>
      <c r="AQ1525" s="14"/>
      <c r="AR1525" s="14"/>
      <c r="AS1525" s="14"/>
      <c r="AT1525" s="14"/>
      <c r="AU1525" s="14"/>
      <c r="AV1525" s="14"/>
      <c r="AW1525" s="14"/>
      <c r="AX1525" s="14"/>
      <c r="AY1525" s="14"/>
      <c r="AZ1525" s="14"/>
      <c r="BA1525" s="14"/>
      <c r="BB1525" s="14"/>
      <c r="BC1525" s="14"/>
      <c r="BD1525" s="14"/>
      <c r="BE1525" s="14"/>
      <c r="BF1525" s="14"/>
      <c r="BG1525" s="14"/>
      <c r="BH1525" s="14"/>
      <c r="BI1525" s="14"/>
      <c r="BJ1525" s="14"/>
      <c r="BK1525" s="14"/>
      <c r="BL1525" s="14"/>
      <c r="BM1525" s="14"/>
      <c r="BN1525" s="14"/>
      <c r="BO1525" s="14"/>
      <c r="BP1525" s="14"/>
      <c r="BQ1525" s="14"/>
      <c r="BR1525" s="14"/>
      <c r="BS1525" s="14"/>
      <c r="BT1525" s="14"/>
      <c r="BU1525" s="14"/>
      <c r="BV1525" s="14"/>
      <c r="BW1525" s="14"/>
      <c r="BX1525" s="14"/>
      <c r="BY1525" s="14"/>
      <c r="BZ1525" s="14"/>
      <c r="CA1525" s="14"/>
      <c r="CB1525" s="14"/>
      <c r="CC1525" s="14"/>
      <c r="CD1525" s="14"/>
      <c r="CE1525" s="14"/>
      <c r="CF1525" s="14"/>
      <c r="CG1525" s="4"/>
      <c r="CH1525" s="4"/>
      <c r="CI1525" s="4"/>
      <c r="CJ1525" s="4"/>
      <c r="CK1525" s="4"/>
      <c r="CL1525" s="4"/>
      <c r="CM1525" s="4"/>
      <c r="CN1525" s="4"/>
      <c r="CO1525" s="4"/>
      <c r="CP1525" s="4"/>
      <c r="CQ1525" s="4"/>
      <c r="CR1525" s="4"/>
      <c r="CS1525" s="4"/>
      <c r="CT1525" s="4"/>
      <c r="CU1525" s="4"/>
      <c r="CV1525" s="4"/>
      <c r="CW1525" s="4"/>
      <c r="CX1525" s="4"/>
      <c r="CY1525" s="4"/>
      <c r="CZ1525" s="4"/>
      <c r="DA1525" s="4"/>
      <c r="DB1525" s="4"/>
      <c r="DC1525" s="4"/>
      <c r="DD1525" s="4"/>
      <c r="DE1525" s="4"/>
      <c r="DF1525" s="4"/>
      <c r="DG1525" s="4"/>
      <c r="DH1525" s="4"/>
      <c r="DI1525" s="4"/>
      <c r="DJ1525" s="4"/>
      <c r="DK1525" s="4"/>
      <c r="DL1525" s="4"/>
    </row>
    <row r="1526" spans="1:116" s="15" customFormat="1" x14ac:dyDescent="0.25">
      <c r="A1526" s="16"/>
      <c r="B1526" s="16"/>
      <c r="C1526" s="16"/>
      <c r="D1526" s="98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  <c r="AI1526" s="14"/>
      <c r="AJ1526" s="14"/>
      <c r="AK1526" s="14"/>
      <c r="AL1526" s="14"/>
      <c r="AM1526" s="14"/>
      <c r="AN1526" s="14"/>
      <c r="AO1526" s="14"/>
      <c r="AP1526" s="14"/>
      <c r="AQ1526" s="14"/>
      <c r="AR1526" s="14"/>
      <c r="AS1526" s="14"/>
      <c r="AT1526" s="14"/>
      <c r="AU1526" s="14"/>
      <c r="AV1526" s="14"/>
      <c r="AW1526" s="14"/>
      <c r="AX1526" s="14"/>
      <c r="AY1526" s="14"/>
      <c r="AZ1526" s="14"/>
      <c r="BA1526" s="14"/>
      <c r="BB1526" s="14"/>
      <c r="BC1526" s="14"/>
      <c r="BD1526" s="14"/>
      <c r="BE1526" s="14"/>
      <c r="BF1526" s="14"/>
      <c r="BG1526" s="14"/>
      <c r="BH1526" s="14"/>
      <c r="BI1526" s="14"/>
      <c r="BJ1526" s="14"/>
      <c r="BK1526" s="14"/>
      <c r="BL1526" s="14"/>
      <c r="BM1526" s="14"/>
      <c r="BN1526" s="14"/>
      <c r="BO1526" s="14"/>
      <c r="BP1526" s="14"/>
      <c r="BQ1526" s="14"/>
      <c r="BR1526" s="14"/>
      <c r="BS1526" s="14"/>
      <c r="BT1526" s="14"/>
      <c r="BU1526" s="14"/>
      <c r="BV1526" s="14"/>
      <c r="BW1526" s="14"/>
      <c r="BX1526" s="14"/>
      <c r="BY1526" s="14"/>
      <c r="BZ1526" s="14"/>
      <c r="CA1526" s="14"/>
      <c r="CB1526" s="14"/>
      <c r="CC1526" s="14"/>
      <c r="CD1526" s="14"/>
      <c r="CE1526" s="14"/>
      <c r="CF1526" s="14"/>
      <c r="CG1526" s="4"/>
      <c r="CH1526" s="4"/>
      <c r="CI1526" s="4"/>
      <c r="CJ1526" s="4"/>
      <c r="CK1526" s="4"/>
      <c r="CL1526" s="4"/>
      <c r="CM1526" s="4"/>
      <c r="CN1526" s="4"/>
      <c r="CO1526" s="4"/>
      <c r="CP1526" s="4"/>
      <c r="CQ1526" s="4"/>
      <c r="CR1526" s="4"/>
      <c r="CS1526" s="4"/>
      <c r="CT1526" s="4"/>
      <c r="CU1526" s="4"/>
      <c r="CV1526" s="4"/>
      <c r="CW1526" s="4"/>
      <c r="CX1526" s="4"/>
      <c r="CY1526" s="4"/>
      <c r="CZ1526" s="4"/>
      <c r="DA1526" s="4"/>
      <c r="DB1526" s="4"/>
      <c r="DC1526" s="4"/>
      <c r="DD1526" s="4"/>
      <c r="DE1526" s="4"/>
      <c r="DF1526" s="4"/>
      <c r="DG1526" s="4"/>
      <c r="DH1526" s="4"/>
      <c r="DI1526" s="4"/>
      <c r="DJ1526" s="4"/>
      <c r="DK1526" s="4"/>
      <c r="DL1526" s="4"/>
    </row>
    <row r="1527" spans="1:116" s="15" customFormat="1" x14ac:dyDescent="0.25">
      <c r="A1527" s="16"/>
      <c r="B1527" s="16"/>
      <c r="C1527" s="16"/>
      <c r="D1527" s="98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  <c r="AB1527" s="14"/>
      <c r="AC1527" s="14"/>
      <c r="AD1527" s="14"/>
      <c r="AE1527" s="14"/>
      <c r="AF1527" s="14"/>
      <c r="AG1527" s="14"/>
      <c r="AH1527" s="14"/>
      <c r="AI1527" s="14"/>
      <c r="AJ1527" s="14"/>
      <c r="AK1527" s="14"/>
      <c r="AL1527" s="14"/>
      <c r="AM1527" s="14"/>
      <c r="AN1527" s="14"/>
      <c r="AO1527" s="14"/>
      <c r="AP1527" s="14"/>
      <c r="AQ1527" s="14"/>
      <c r="AR1527" s="14"/>
      <c r="AS1527" s="14"/>
      <c r="AT1527" s="14"/>
      <c r="AU1527" s="14"/>
      <c r="AV1527" s="14"/>
      <c r="AW1527" s="14"/>
      <c r="AX1527" s="14"/>
      <c r="AY1527" s="14"/>
      <c r="AZ1527" s="14"/>
      <c r="BA1527" s="14"/>
      <c r="BB1527" s="14"/>
      <c r="BC1527" s="14"/>
      <c r="BD1527" s="14"/>
      <c r="BE1527" s="14"/>
      <c r="BF1527" s="14"/>
      <c r="BG1527" s="14"/>
      <c r="BH1527" s="14"/>
      <c r="BI1527" s="14"/>
      <c r="BJ1527" s="14"/>
      <c r="BK1527" s="14"/>
      <c r="BL1527" s="14"/>
      <c r="BM1527" s="14"/>
      <c r="BN1527" s="14"/>
      <c r="BO1527" s="14"/>
      <c r="BP1527" s="14"/>
      <c r="BQ1527" s="14"/>
      <c r="BR1527" s="14"/>
      <c r="BS1527" s="14"/>
      <c r="BT1527" s="14"/>
      <c r="BU1527" s="14"/>
      <c r="BV1527" s="14"/>
      <c r="BW1527" s="14"/>
      <c r="BX1527" s="14"/>
      <c r="BY1527" s="14"/>
      <c r="BZ1527" s="14"/>
      <c r="CA1527" s="14"/>
      <c r="CB1527" s="14"/>
      <c r="CC1527" s="14"/>
      <c r="CD1527" s="14"/>
      <c r="CE1527" s="14"/>
      <c r="CF1527" s="14"/>
      <c r="CG1527" s="4"/>
      <c r="CH1527" s="4"/>
      <c r="CI1527" s="4"/>
      <c r="CJ1527" s="4"/>
      <c r="CK1527" s="4"/>
      <c r="CL1527" s="4"/>
      <c r="CM1527" s="4"/>
      <c r="CN1527" s="4"/>
      <c r="CO1527" s="4"/>
      <c r="CP1527" s="4"/>
      <c r="CQ1527" s="4"/>
      <c r="CR1527" s="4"/>
      <c r="CS1527" s="4"/>
      <c r="CT1527" s="4"/>
      <c r="CU1527" s="4"/>
      <c r="CV1527" s="4"/>
      <c r="CW1527" s="4"/>
      <c r="CX1527" s="4"/>
      <c r="CY1527" s="4"/>
      <c r="CZ1527" s="4"/>
      <c r="DA1527" s="4"/>
      <c r="DB1527" s="4"/>
      <c r="DC1527" s="4"/>
      <c r="DD1527" s="4"/>
      <c r="DE1527" s="4"/>
      <c r="DF1527" s="4"/>
      <c r="DG1527" s="4"/>
      <c r="DH1527" s="4"/>
      <c r="DI1527" s="4"/>
      <c r="DJ1527" s="4"/>
      <c r="DK1527" s="4"/>
      <c r="DL1527" s="4"/>
    </row>
    <row r="1528" spans="1:116" s="15" customFormat="1" x14ac:dyDescent="0.25">
      <c r="A1528" s="16"/>
      <c r="B1528" s="16"/>
      <c r="C1528" s="16"/>
      <c r="D1528" s="98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  <c r="AI1528" s="14"/>
      <c r="AJ1528" s="14"/>
      <c r="AK1528" s="14"/>
      <c r="AL1528" s="14"/>
      <c r="AM1528" s="14"/>
      <c r="AN1528" s="14"/>
      <c r="AO1528" s="14"/>
      <c r="AP1528" s="14"/>
      <c r="AQ1528" s="14"/>
      <c r="AR1528" s="14"/>
      <c r="AS1528" s="14"/>
      <c r="AT1528" s="14"/>
      <c r="AU1528" s="14"/>
      <c r="AV1528" s="14"/>
      <c r="AW1528" s="14"/>
      <c r="AX1528" s="14"/>
      <c r="AY1528" s="14"/>
      <c r="AZ1528" s="14"/>
      <c r="BA1528" s="14"/>
      <c r="BB1528" s="14"/>
      <c r="BC1528" s="14"/>
      <c r="BD1528" s="14"/>
      <c r="BE1528" s="14"/>
      <c r="BF1528" s="14"/>
      <c r="BG1528" s="14"/>
      <c r="BH1528" s="14"/>
      <c r="BI1528" s="14"/>
      <c r="BJ1528" s="14"/>
      <c r="BK1528" s="14"/>
      <c r="BL1528" s="14"/>
      <c r="BM1528" s="14"/>
      <c r="BN1528" s="14"/>
      <c r="BO1528" s="14"/>
      <c r="BP1528" s="14"/>
      <c r="BQ1528" s="14"/>
      <c r="BR1528" s="14"/>
      <c r="BS1528" s="14"/>
      <c r="BT1528" s="14"/>
      <c r="BU1528" s="14"/>
      <c r="BV1528" s="14"/>
      <c r="BW1528" s="14"/>
      <c r="BX1528" s="14"/>
      <c r="BY1528" s="14"/>
      <c r="BZ1528" s="14"/>
      <c r="CA1528" s="14"/>
      <c r="CB1528" s="14"/>
      <c r="CC1528" s="14"/>
      <c r="CD1528" s="14"/>
      <c r="CE1528" s="14"/>
      <c r="CF1528" s="14"/>
      <c r="CG1528" s="4"/>
      <c r="CH1528" s="4"/>
      <c r="CI1528" s="4"/>
      <c r="CJ1528" s="4"/>
      <c r="CK1528" s="4"/>
      <c r="CL1528" s="4"/>
      <c r="CM1528" s="4"/>
      <c r="CN1528" s="4"/>
      <c r="CO1528" s="4"/>
      <c r="CP1528" s="4"/>
      <c r="CQ1528" s="4"/>
      <c r="CR1528" s="4"/>
      <c r="CS1528" s="4"/>
      <c r="CT1528" s="4"/>
      <c r="CU1528" s="4"/>
      <c r="CV1528" s="4"/>
      <c r="CW1528" s="4"/>
      <c r="CX1528" s="4"/>
      <c r="CY1528" s="4"/>
      <c r="CZ1528" s="4"/>
      <c r="DA1528" s="4"/>
      <c r="DB1528" s="4"/>
      <c r="DC1528" s="4"/>
      <c r="DD1528" s="4"/>
      <c r="DE1528" s="4"/>
      <c r="DF1528" s="4"/>
      <c r="DG1528" s="4"/>
      <c r="DH1528" s="4"/>
      <c r="DI1528" s="4"/>
      <c r="DJ1528" s="4"/>
      <c r="DK1528" s="4"/>
      <c r="DL1528" s="4"/>
    </row>
    <row r="1529" spans="1:116" s="15" customFormat="1" x14ac:dyDescent="0.25">
      <c r="A1529" s="16"/>
      <c r="B1529" s="16"/>
      <c r="C1529" s="16"/>
      <c r="D1529" s="98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  <c r="AB1529" s="14"/>
      <c r="AC1529" s="14"/>
      <c r="AD1529" s="14"/>
      <c r="AE1529" s="14"/>
      <c r="AF1529" s="14"/>
      <c r="AG1529" s="14"/>
      <c r="AH1529" s="14"/>
      <c r="AI1529" s="14"/>
      <c r="AJ1529" s="14"/>
      <c r="AK1529" s="14"/>
      <c r="AL1529" s="14"/>
      <c r="AM1529" s="14"/>
      <c r="AN1529" s="14"/>
      <c r="AO1529" s="14"/>
      <c r="AP1529" s="14"/>
      <c r="AQ1529" s="14"/>
      <c r="AR1529" s="14"/>
      <c r="AS1529" s="14"/>
      <c r="AT1529" s="14"/>
      <c r="AU1529" s="14"/>
      <c r="AV1529" s="14"/>
      <c r="AW1529" s="14"/>
      <c r="AX1529" s="14"/>
      <c r="AY1529" s="14"/>
      <c r="AZ1529" s="14"/>
      <c r="BA1529" s="14"/>
      <c r="BB1529" s="14"/>
      <c r="BC1529" s="14"/>
      <c r="BD1529" s="14"/>
      <c r="BE1529" s="14"/>
      <c r="BF1529" s="14"/>
      <c r="BG1529" s="14"/>
      <c r="BH1529" s="14"/>
      <c r="BI1529" s="14"/>
      <c r="BJ1529" s="14"/>
      <c r="BK1529" s="14"/>
      <c r="BL1529" s="14"/>
      <c r="BM1529" s="14"/>
      <c r="BN1529" s="14"/>
      <c r="BO1529" s="14"/>
      <c r="BP1529" s="14"/>
      <c r="BQ1529" s="14"/>
      <c r="BR1529" s="14"/>
      <c r="BS1529" s="14"/>
      <c r="BT1529" s="14"/>
      <c r="BU1529" s="14"/>
      <c r="BV1529" s="14"/>
      <c r="BW1529" s="14"/>
      <c r="BX1529" s="14"/>
      <c r="BY1529" s="14"/>
      <c r="BZ1529" s="14"/>
      <c r="CA1529" s="14"/>
      <c r="CB1529" s="14"/>
      <c r="CC1529" s="14"/>
      <c r="CD1529" s="14"/>
      <c r="CE1529" s="14"/>
      <c r="CF1529" s="14"/>
      <c r="CG1529" s="4"/>
      <c r="CH1529" s="4"/>
      <c r="CI1529" s="4"/>
      <c r="CJ1529" s="4"/>
      <c r="CK1529" s="4"/>
      <c r="CL1529" s="4"/>
      <c r="CM1529" s="4"/>
      <c r="CN1529" s="4"/>
      <c r="CO1529" s="4"/>
      <c r="CP1529" s="4"/>
      <c r="CQ1529" s="4"/>
      <c r="CR1529" s="4"/>
      <c r="CS1529" s="4"/>
      <c r="CT1529" s="4"/>
      <c r="CU1529" s="4"/>
      <c r="CV1529" s="4"/>
      <c r="CW1529" s="4"/>
      <c r="CX1529" s="4"/>
      <c r="CY1529" s="4"/>
      <c r="CZ1529" s="4"/>
      <c r="DA1529" s="4"/>
      <c r="DB1529" s="4"/>
      <c r="DC1529" s="4"/>
      <c r="DD1529" s="4"/>
      <c r="DE1529" s="4"/>
      <c r="DF1529" s="4"/>
      <c r="DG1529" s="4"/>
      <c r="DH1529" s="4"/>
      <c r="DI1529" s="4"/>
      <c r="DJ1529" s="4"/>
      <c r="DK1529" s="4"/>
      <c r="DL1529" s="4"/>
    </row>
    <row r="1530" spans="1:116" s="15" customFormat="1" x14ac:dyDescent="0.25">
      <c r="A1530" s="16"/>
      <c r="B1530" s="16"/>
      <c r="C1530" s="16"/>
      <c r="D1530" s="98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  <c r="AI1530" s="14"/>
      <c r="AJ1530" s="14"/>
      <c r="AK1530" s="14"/>
      <c r="AL1530" s="14"/>
      <c r="AM1530" s="14"/>
      <c r="AN1530" s="14"/>
      <c r="AO1530" s="14"/>
      <c r="AP1530" s="14"/>
      <c r="AQ1530" s="14"/>
      <c r="AR1530" s="14"/>
      <c r="AS1530" s="14"/>
      <c r="AT1530" s="14"/>
      <c r="AU1530" s="14"/>
      <c r="AV1530" s="14"/>
      <c r="AW1530" s="14"/>
      <c r="AX1530" s="14"/>
      <c r="AY1530" s="14"/>
      <c r="AZ1530" s="14"/>
      <c r="BA1530" s="14"/>
      <c r="BB1530" s="14"/>
      <c r="BC1530" s="14"/>
      <c r="BD1530" s="14"/>
      <c r="BE1530" s="14"/>
      <c r="BF1530" s="14"/>
      <c r="BG1530" s="14"/>
      <c r="BH1530" s="14"/>
      <c r="BI1530" s="14"/>
      <c r="BJ1530" s="14"/>
      <c r="BK1530" s="14"/>
      <c r="BL1530" s="14"/>
      <c r="BM1530" s="14"/>
      <c r="BN1530" s="14"/>
      <c r="BO1530" s="14"/>
      <c r="BP1530" s="14"/>
      <c r="BQ1530" s="14"/>
      <c r="BR1530" s="14"/>
      <c r="BS1530" s="14"/>
      <c r="BT1530" s="14"/>
      <c r="BU1530" s="14"/>
      <c r="BV1530" s="14"/>
      <c r="BW1530" s="14"/>
      <c r="BX1530" s="14"/>
      <c r="BY1530" s="14"/>
      <c r="BZ1530" s="14"/>
      <c r="CA1530" s="14"/>
      <c r="CB1530" s="14"/>
      <c r="CC1530" s="14"/>
      <c r="CD1530" s="14"/>
      <c r="CE1530" s="14"/>
      <c r="CF1530" s="14"/>
      <c r="CG1530" s="4"/>
      <c r="CH1530" s="4"/>
      <c r="CI1530" s="4"/>
      <c r="CJ1530" s="4"/>
      <c r="CK1530" s="4"/>
      <c r="CL1530" s="4"/>
      <c r="CM1530" s="4"/>
      <c r="CN1530" s="4"/>
      <c r="CO1530" s="4"/>
      <c r="CP1530" s="4"/>
      <c r="CQ1530" s="4"/>
      <c r="CR1530" s="4"/>
      <c r="CS1530" s="4"/>
      <c r="CT1530" s="4"/>
      <c r="CU1530" s="4"/>
      <c r="CV1530" s="4"/>
      <c r="CW1530" s="4"/>
      <c r="CX1530" s="4"/>
      <c r="CY1530" s="4"/>
      <c r="CZ1530" s="4"/>
      <c r="DA1530" s="4"/>
      <c r="DB1530" s="4"/>
      <c r="DC1530" s="4"/>
      <c r="DD1530" s="4"/>
      <c r="DE1530" s="4"/>
      <c r="DF1530" s="4"/>
      <c r="DG1530" s="4"/>
      <c r="DH1530" s="4"/>
      <c r="DI1530" s="4"/>
      <c r="DJ1530" s="4"/>
      <c r="DK1530" s="4"/>
      <c r="DL1530" s="4"/>
    </row>
    <row r="1531" spans="1:116" s="15" customFormat="1" x14ac:dyDescent="0.25">
      <c r="A1531" s="16"/>
      <c r="B1531" s="16"/>
      <c r="C1531" s="16"/>
      <c r="D1531" s="98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  <c r="AB1531" s="14"/>
      <c r="AC1531" s="14"/>
      <c r="AD1531" s="14"/>
      <c r="AE1531" s="14"/>
      <c r="AF1531" s="14"/>
      <c r="AG1531" s="14"/>
      <c r="AH1531" s="14"/>
      <c r="AI1531" s="14"/>
      <c r="AJ1531" s="14"/>
      <c r="AK1531" s="14"/>
      <c r="AL1531" s="14"/>
      <c r="AM1531" s="14"/>
      <c r="AN1531" s="14"/>
      <c r="AO1531" s="14"/>
      <c r="AP1531" s="14"/>
      <c r="AQ1531" s="14"/>
      <c r="AR1531" s="14"/>
      <c r="AS1531" s="14"/>
      <c r="AT1531" s="14"/>
      <c r="AU1531" s="14"/>
      <c r="AV1531" s="14"/>
      <c r="AW1531" s="14"/>
      <c r="AX1531" s="14"/>
      <c r="AY1531" s="14"/>
      <c r="AZ1531" s="14"/>
      <c r="BA1531" s="14"/>
      <c r="BB1531" s="14"/>
      <c r="BC1531" s="14"/>
      <c r="BD1531" s="14"/>
      <c r="BE1531" s="14"/>
      <c r="BF1531" s="14"/>
      <c r="BG1531" s="14"/>
      <c r="BH1531" s="14"/>
      <c r="BI1531" s="14"/>
      <c r="BJ1531" s="14"/>
      <c r="BK1531" s="14"/>
      <c r="BL1531" s="14"/>
      <c r="BM1531" s="14"/>
      <c r="BN1531" s="14"/>
      <c r="BO1531" s="14"/>
      <c r="BP1531" s="14"/>
      <c r="BQ1531" s="14"/>
      <c r="BR1531" s="14"/>
      <c r="BS1531" s="14"/>
      <c r="BT1531" s="14"/>
      <c r="BU1531" s="14"/>
      <c r="BV1531" s="14"/>
      <c r="BW1531" s="14"/>
      <c r="BX1531" s="14"/>
      <c r="BY1531" s="14"/>
      <c r="BZ1531" s="14"/>
      <c r="CA1531" s="14"/>
      <c r="CB1531" s="14"/>
      <c r="CC1531" s="14"/>
      <c r="CD1531" s="14"/>
      <c r="CE1531" s="14"/>
      <c r="CF1531" s="14"/>
      <c r="CG1531" s="4"/>
      <c r="CH1531" s="4"/>
      <c r="CI1531" s="4"/>
      <c r="CJ1531" s="4"/>
      <c r="CK1531" s="4"/>
      <c r="CL1531" s="4"/>
      <c r="CM1531" s="4"/>
      <c r="CN1531" s="4"/>
      <c r="CO1531" s="4"/>
      <c r="CP1531" s="4"/>
      <c r="CQ1531" s="4"/>
      <c r="CR1531" s="4"/>
      <c r="CS1531" s="4"/>
      <c r="CT1531" s="4"/>
      <c r="CU1531" s="4"/>
      <c r="CV1531" s="4"/>
      <c r="CW1531" s="4"/>
      <c r="CX1531" s="4"/>
      <c r="CY1531" s="4"/>
      <c r="CZ1531" s="4"/>
      <c r="DA1531" s="4"/>
      <c r="DB1531" s="4"/>
      <c r="DC1531" s="4"/>
      <c r="DD1531" s="4"/>
      <c r="DE1531" s="4"/>
      <c r="DF1531" s="4"/>
      <c r="DG1531" s="4"/>
      <c r="DH1531" s="4"/>
      <c r="DI1531" s="4"/>
      <c r="DJ1531" s="4"/>
      <c r="DK1531" s="4"/>
      <c r="DL1531" s="4"/>
    </row>
    <row r="1532" spans="1:116" s="15" customFormat="1" x14ac:dyDescent="0.25">
      <c r="A1532" s="16"/>
      <c r="B1532" s="16"/>
      <c r="C1532" s="16"/>
      <c r="D1532" s="98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  <c r="AI1532" s="14"/>
      <c r="AJ1532" s="14"/>
      <c r="AK1532" s="14"/>
      <c r="AL1532" s="14"/>
      <c r="AM1532" s="14"/>
      <c r="AN1532" s="14"/>
      <c r="AO1532" s="14"/>
      <c r="AP1532" s="14"/>
      <c r="AQ1532" s="14"/>
      <c r="AR1532" s="14"/>
      <c r="AS1532" s="14"/>
      <c r="AT1532" s="14"/>
      <c r="AU1532" s="14"/>
      <c r="AV1532" s="14"/>
      <c r="AW1532" s="14"/>
      <c r="AX1532" s="14"/>
      <c r="AY1532" s="14"/>
      <c r="AZ1532" s="14"/>
      <c r="BA1532" s="14"/>
      <c r="BB1532" s="14"/>
      <c r="BC1532" s="14"/>
      <c r="BD1532" s="14"/>
      <c r="BE1532" s="14"/>
      <c r="BF1532" s="14"/>
      <c r="BG1532" s="14"/>
      <c r="BH1532" s="14"/>
      <c r="BI1532" s="14"/>
      <c r="BJ1532" s="14"/>
      <c r="BK1532" s="14"/>
      <c r="BL1532" s="14"/>
      <c r="BM1532" s="14"/>
      <c r="BN1532" s="14"/>
      <c r="BO1532" s="14"/>
      <c r="BP1532" s="14"/>
      <c r="BQ1532" s="14"/>
      <c r="BR1532" s="14"/>
      <c r="BS1532" s="14"/>
      <c r="BT1532" s="14"/>
      <c r="BU1532" s="14"/>
      <c r="BV1532" s="14"/>
      <c r="BW1532" s="14"/>
      <c r="BX1532" s="14"/>
      <c r="BY1532" s="14"/>
      <c r="BZ1532" s="14"/>
      <c r="CA1532" s="14"/>
      <c r="CB1532" s="14"/>
      <c r="CC1532" s="14"/>
      <c r="CD1532" s="14"/>
      <c r="CE1532" s="14"/>
      <c r="CF1532" s="14"/>
      <c r="CG1532" s="4"/>
      <c r="CH1532" s="4"/>
      <c r="CI1532" s="4"/>
      <c r="CJ1532" s="4"/>
      <c r="CK1532" s="4"/>
      <c r="CL1532" s="4"/>
      <c r="CM1532" s="4"/>
      <c r="CN1532" s="4"/>
      <c r="CO1532" s="4"/>
      <c r="CP1532" s="4"/>
      <c r="CQ1532" s="4"/>
      <c r="CR1532" s="4"/>
      <c r="CS1532" s="4"/>
      <c r="CT1532" s="4"/>
      <c r="CU1532" s="4"/>
      <c r="CV1532" s="4"/>
      <c r="CW1532" s="4"/>
      <c r="CX1532" s="4"/>
      <c r="CY1532" s="4"/>
      <c r="CZ1532" s="4"/>
      <c r="DA1532" s="4"/>
      <c r="DB1532" s="4"/>
      <c r="DC1532" s="4"/>
      <c r="DD1532" s="4"/>
      <c r="DE1532" s="4"/>
      <c r="DF1532" s="4"/>
      <c r="DG1532" s="4"/>
      <c r="DH1532" s="4"/>
      <c r="DI1532" s="4"/>
      <c r="DJ1532" s="4"/>
      <c r="DK1532" s="4"/>
      <c r="DL1532" s="4"/>
    </row>
    <row r="1533" spans="1:116" s="15" customFormat="1" x14ac:dyDescent="0.25">
      <c r="A1533" s="16"/>
      <c r="B1533" s="16"/>
      <c r="C1533" s="16"/>
      <c r="D1533" s="98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  <c r="AB1533" s="14"/>
      <c r="AC1533" s="14"/>
      <c r="AD1533" s="14"/>
      <c r="AE1533" s="14"/>
      <c r="AF1533" s="14"/>
      <c r="AG1533" s="14"/>
      <c r="AH1533" s="14"/>
      <c r="AI1533" s="14"/>
      <c r="AJ1533" s="14"/>
      <c r="AK1533" s="14"/>
      <c r="AL1533" s="14"/>
      <c r="AM1533" s="14"/>
      <c r="AN1533" s="14"/>
      <c r="AO1533" s="14"/>
      <c r="AP1533" s="14"/>
      <c r="AQ1533" s="14"/>
      <c r="AR1533" s="14"/>
      <c r="AS1533" s="14"/>
      <c r="AT1533" s="14"/>
      <c r="AU1533" s="14"/>
      <c r="AV1533" s="14"/>
      <c r="AW1533" s="14"/>
      <c r="AX1533" s="14"/>
      <c r="AY1533" s="14"/>
      <c r="AZ1533" s="14"/>
      <c r="BA1533" s="14"/>
      <c r="BB1533" s="14"/>
      <c r="BC1533" s="14"/>
      <c r="BD1533" s="14"/>
      <c r="BE1533" s="14"/>
      <c r="BF1533" s="14"/>
      <c r="BG1533" s="14"/>
      <c r="BH1533" s="14"/>
      <c r="BI1533" s="14"/>
      <c r="BJ1533" s="14"/>
      <c r="BK1533" s="14"/>
      <c r="BL1533" s="14"/>
      <c r="BM1533" s="14"/>
      <c r="BN1533" s="14"/>
      <c r="BO1533" s="14"/>
      <c r="BP1533" s="14"/>
      <c r="BQ1533" s="14"/>
      <c r="BR1533" s="14"/>
      <c r="BS1533" s="14"/>
      <c r="BT1533" s="14"/>
      <c r="BU1533" s="14"/>
      <c r="BV1533" s="14"/>
      <c r="BW1533" s="14"/>
      <c r="BX1533" s="14"/>
      <c r="BY1533" s="14"/>
      <c r="BZ1533" s="14"/>
      <c r="CA1533" s="14"/>
      <c r="CB1533" s="14"/>
      <c r="CC1533" s="14"/>
      <c r="CD1533" s="14"/>
      <c r="CE1533" s="14"/>
      <c r="CF1533" s="14"/>
      <c r="CG1533" s="4"/>
      <c r="CH1533" s="4"/>
      <c r="CI1533" s="4"/>
      <c r="CJ1533" s="4"/>
      <c r="CK1533" s="4"/>
      <c r="CL1533" s="4"/>
      <c r="CM1533" s="4"/>
      <c r="CN1533" s="4"/>
      <c r="CO1533" s="4"/>
      <c r="CP1533" s="4"/>
      <c r="CQ1533" s="4"/>
      <c r="CR1533" s="4"/>
      <c r="CS1533" s="4"/>
      <c r="CT1533" s="4"/>
      <c r="CU1533" s="4"/>
      <c r="CV1533" s="4"/>
      <c r="CW1533" s="4"/>
      <c r="CX1533" s="4"/>
      <c r="CY1533" s="4"/>
      <c r="CZ1533" s="4"/>
      <c r="DA1533" s="4"/>
      <c r="DB1533" s="4"/>
      <c r="DC1533" s="4"/>
      <c r="DD1533" s="4"/>
      <c r="DE1533" s="4"/>
      <c r="DF1533" s="4"/>
      <c r="DG1533" s="4"/>
      <c r="DH1533" s="4"/>
      <c r="DI1533" s="4"/>
      <c r="DJ1533" s="4"/>
      <c r="DK1533" s="4"/>
      <c r="DL1533" s="4"/>
    </row>
    <row r="1534" spans="1:116" s="15" customFormat="1" x14ac:dyDescent="0.25">
      <c r="A1534" s="16"/>
      <c r="B1534" s="16"/>
      <c r="C1534" s="16"/>
      <c r="D1534" s="98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  <c r="AI1534" s="14"/>
      <c r="AJ1534" s="14"/>
      <c r="AK1534" s="14"/>
      <c r="AL1534" s="14"/>
      <c r="AM1534" s="14"/>
      <c r="AN1534" s="14"/>
      <c r="AO1534" s="14"/>
      <c r="AP1534" s="14"/>
      <c r="AQ1534" s="14"/>
      <c r="AR1534" s="14"/>
      <c r="AS1534" s="14"/>
      <c r="AT1534" s="14"/>
      <c r="AU1534" s="14"/>
      <c r="AV1534" s="14"/>
      <c r="AW1534" s="14"/>
      <c r="AX1534" s="14"/>
      <c r="AY1534" s="14"/>
      <c r="AZ1534" s="14"/>
      <c r="BA1534" s="14"/>
      <c r="BB1534" s="14"/>
      <c r="BC1534" s="14"/>
      <c r="BD1534" s="14"/>
      <c r="BE1534" s="14"/>
      <c r="BF1534" s="14"/>
      <c r="BG1534" s="14"/>
      <c r="BH1534" s="14"/>
      <c r="BI1534" s="14"/>
      <c r="BJ1534" s="14"/>
      <c r="BK1534" s="14"/>
      <c r="BL1534" s="14"/>
      <c r="BM1534" s="14"/>
      <c r="BN1534" s="14"/>
      <c r="BO1534" s="14"/>
      <c r="BP1534" s="14"/>
      <c r="BQ1534" s="14"/>
      <c r="BR1534" s="14"/>
      <c r="BS1534" s="14"/>
      <c r="BT1534" s="14"/>
      <c r="BU1534" s="14"/>
      <c r="BV1534" s="14"/>
      <c r="BW1534" s="14"/>
      <c r="BX1534" s="14"/>
      <c r="BY1534" s="14"/>
      <c r="BZ1534" s="14"/>
      <c r="CA1534" s="14"/>
      <c r="CB1534" s="14"/>
      <c r="CC1534" s="14"/>
      <c r="CD1534" s="14"/>
      <c r="CE1534" s="14"/>
      <c r="CF1534" s="14"/>
      <c r="CG1534" s="4"/>
      <c r="CH1534" s="4"/>
      <c r="CI1534" s="4"/>
      <c r="CJ1534" s="4"/>
      <c r="CK1534" s="4"/>
      <c r="CL1534" s="4"/>
      <c r="CM1534" s="4"/>
      <c r="CN1534" s="4"/>
      <c r="CO1534" s="4"/>
      <c r="CP1534" s="4"/>
      <c r="CQ1534" s="4"/>
      <c r="CR1534" s="4"/>
      <c r="CS1534" s="4"/>
      <c r="CT1534" s="4"/>
      <c r="CU1534" s="4"/>
      <c r="CV1534" s="4"/>
      <c r="CW1534" s="4"/>
      <c r="CX1534" s="4"/>
      <c r="CY1534" s="4"/>
      <c r="CZ1534" s="4"/>
      <c r="DA1534" s="4"/>
      <c r="DB1534" s="4"/>
      <c r="DC1534" s="4"/>
      <c r="DD1534" s="4"/>
      <c r="DE1534" s="4"/>
      <c r="DF1534" s="4"/>
      <c r="DG1534" s="4"/>
      <c r="DH1534" s="4"/>
      <c r="DI1534" s="4"/>
      <c r="DJ1534" s="4"/>
      <c r="DK1534" s="4"/>
      <c r="DL1534" s="4"/>
    </row>
    <row r="1535" spans="1:116" s="15" customFormat="1" x14ac:dyDescent="0.25">
      <c r="A1535" s="16"/>
      <c r="B1535" s="16"/>
      <c r="C1535" s="16"/>
      <c r="D1535" s="98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  <c r="AB1535" s="14"/>
      <c r="AC1535" s="14"/>
      <c r="AD1535" s="14"/>
      <c r="AE1535" s="14"/>
      <c r="AF1535" s="14"/>
      <c r="AG1535" s="14"/>
      <c r="AH1535" s="14"/>
      <c r="AI1535" s="14"/>
      <c r="AJ1535" s="14"/>
      <c r="AK1535" s="14"/>
      <c r="AL1535" s="14"/>
      <c r="AM1535" s="14"/>
      <c r="AN1535" s="14"/>
      <c r="AO1535" s="14"/>
      <c r="AP1535" s="14"/>
      <c r="AQ1535" s="14"/>
      <c r="AR1535" s="14"/>
      <c r="AS1535" s="14"/>
      <c r="AT1535" s="14"/>
      <c r="AU1535" s="14"/>
      <c r="AV1535" s="14"/>
      <c r="AW1535" s="14"/>
      <c r="AX1535" s="14"/>
      <c r="AY1535" s="14"/>
      <c r="AZ1535" s="14"/>
      <c r="BA1535" s="14"/>
      <c r="BB1535" s="14"/>
      <c r="BC1535" s="14"/>
      <c r="BD1535" s="14"/>
      <c r="BE1535" s="14"/>
      <c r="BF1535" s="14"/>
      <c r="BG1535" s="14"/>
      <c r="BH1535" s="14"/>
      <c r="BI1535" s="14"/>
      <c r="BJ1535" s="14"/>
      <c r="BK1535" s="14"/>
      <c r="BL1535" s="14"/>
      <c r="BM1535" s="14"/>
      <c r="BN1535" s="14"/>
      <c r="BO1535" s="14"/>
      <c r="BP1535" s="14"/>
      <c r="BQ1535" s="14"/>
      <c r="BR1535" s="14"/>
      <c r="BS1535" s="14"/>
      <c r="BT1535" s="14"/>
      <c r="BU1535" s="14"/>
      <c r="BV1535" s="14"/>
      <c r="BW1535" s="14"/>
      <c r="BX1535" s="14"/>
      <c r="BY1535" s="14"/>
      <c r="BZ1535" s="14"/>
      <c r="CA1535" s="14"/>
      <c r="CB1535" s="14"/>
      <c r="CC1535" s="14"/>
      <c r="CD1535" s="14"/>
      <c r="CE1535" s="14"/>
      <c r="CF1535" s="14"/>
      <c r="CG1535" s="4"/>
      <c r="CH1535" s="4"/>
      <c r="CI1535" s="4"/>
      <c r="CJ1535" s="4"/>
      <c r="CK1535" s="4"/>
      <c r="CL1535" s="4"/>
      <c r="CM1535" s="4"/>
      <c r="CN1535" s="4"/>
      <c r="CO1535" s="4"/>
      <c r="CP1535" s="4"/>
      <c r="CQ1535" s="4"/>
      <c r="CR1535" s="4"/>
      <c r="CS1535" s="4"/>
      <c r="CT1535" s="4"/>
      <c r="CU1535" s="4"/>
      <c r="CV1535" s="4"/>
      <c r="CW1535" s="4"/>
      <c r="CX1535" s="4"/>
      <c r="CY1535" s="4"/>
      <c r="CZ1535" s="4"/>
      <c r="DA1535" s="4"/>
      <c r="DB1535" s="4"/>
      <c r="DC1535" s="4"/>
      <c r="DD1535" s="4"/>
      <c r="DE1535" s="4"/>
      <c r="DF1535" s="4"/>
      <c r="DG1535" s="4"/>
      <c r="DH1535" s="4"/>
      <c r="DI1535" s="4"/>
      <c r="DJ1535" s="4"/>
      <c r="DK1535" s="4"/>
      <c r="DL1535" s="4"/>
    </row>
    <row r="1536" spans="1:116" s="15" customFormat="1" x14ac:dyDescent="0.25">
      <c r="A1536" s="16"/>
      <c r="B1536" s="16"/>
      <c r="C1536" s="16"/>
      <c r="D1536" s="98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  <c r="AI1536" s="14"/>
      <c r="AJ1536" s="14"/>
      <c r="AK1536" s="14"/>
      <c r="AL1536" s="14"/>
      <c r="AM1536" s="14"/>
      <c r="AN1536" s="14"/>
      <c r="AO1536" s="14"/>
      <c r="AP1536" s="14"/>
      <c r="AQ1536" s="14"/>
      <c r="AR1536" s="14"/>
      <c r="AS1536" s="14"/>
      <c r="AT1536" s="14"/>
      <c r="AU1536" s="14"/>
      <c r="AV1536" s="14"/>
      <c r="AW1536" s="14"/>
      <c r="AX1536" s="14"/>
      <c r="AY1536" s="14"/>
      <c r="AZ1536" s="14"/>
      <c r="BA1536" s="14"/>
      <c r="BB1536" s="14"/>
      <c r="BC1536" s="14"/>
      <c r="BD1536" s="14"/>
      <c r="BE1536" s="14"/>
      <c r="BF1536" s="14"/>
      <c r="BG1536" s="14"/>
      <c r="BH1536" s="14"/>
      <c r="BI1536" s="14"/>
      <c r="BJ1536" s="14"/>
      <c r="BK1536" s="14"/>
      <c r="BL1536" s="14"/>
      <c r="BM1536" s="14"/>
      <c r="BN1536" s="14"/>
      <c r="BO1536" s="14"/>
      <c r="BP1536" s="14"/>
      <c r="BQ1536" s="14"/>
      <c r="BR1536" s="14"/>
      <c r="BS1536" s="14"/>
      <c r="BT1536" s="14"/>
      <c r="BU1536" s="14"/>
      <c r="BV1536" s="14"/>
      <c r="BW1536" s="14"/>
      <c r="BX1536" s="14"/>
      <c r="BY1536" s="14"/>
      <c r="BZ1536" s="14"/>
      <c r="CA1536" s="14"/>
      <c r="CB1536" s="14"/>
      <c r="CC1536" s="14"/>
      <c r="CD1536" s="14"/>
      <c r="CE1536" s="14"/>
      <c r="CF1536" s="14"/>
      <c r="CG1536" s="4"/>
      <c r="CH1536" s="4"/>
      <c r="CI1536" s="4"/>
      <c r="CJ1536" s="4"/>
      <c r="CK1536" s="4"/>
      <c r="CL1536" s="4"/>
      <c r="CM1536" s="4"/>
      <c r="CN1536" s="4"/>
      <c r="CO1536" s="4"/>
      <c r="CP1536" s="4"/>
      <c r="CQ1536" s="4"/>
      <c r="CR1536" s="4"/>
      <c r="CS1536" s="4"/>
      <c r="CT1536" s="4"/>
      <c r="CU1536" s="4"/>
      <c r="CV1536" s="4"/>
      <c r="CW1536" s="4"/>
      <c r="CX1536" s="4"/>
      <c r="CY1536" s="4"/>
      <c r="CZ1536" s="4"/>
      <c r="DA1536" s="4"/>
      <c r="DB1536" s="4"/>
      <c r="DC1536" s="4"/>
      <c r="DD1536" s="4"/>
      <c r="DE1536" s="4"/>
      <c r="DF1536" s="4"/>
      <c r="DG1536" s="4"/>
      <c r="DH1536" s="4"/>
      <c r="DI1536" s="4"/>
      <c r="DJ1536" s="4"/>
      <c r="DK1536" s="4"/>
      <c r="DL1536" s="4"/>
    </row>
    <row r="1537" spans="1:116" s="15" customFormat="1" x14ac:dyDescent="0.25">
      <c r="A1537" s="16"/>
      <c r="B1537" s="16"/>
      <c r="C1537" s="16"/>
      <c r="D1537" s="98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  <c r="AB1537" s="14"/>
      <c r="AC1537" s="14"/>
      <c r="AD1537" s="14"/>
      <c r="AE1537" s="14"/>
      <c r="AF1537" s="14"/>
      <c r="AG1537" s="14"/>
      <c r="AH1537" s="14"/>
      <c r="AI1537" s="14"/>
      <c r="AJ1537" s="14"/>
      <c r="AK1537" s="14"/>
      <c r="AL1537" s="14"/>
      <c r="AM1537" s="14"/>
      <c r="AN1537" s="14"/>
      <c r="AO1537" s="14"/>
      <c r="AP1537" s="14"/>
      <c r="AQ1537" s="14"/>
      <c r="AR1537" s="14"/>
      <c r="AS1537" s="14"/>
      <c r="AT1537" s="14"/>
      <c r="AU1537" s="14"/>
      <c r="AV1537" s="14"/>
      <c r="AW1537" s="14"/>
      <c r="AX1537" s="14"/>
      <c r="AY1537" s="14"/>
      <c r="AZ1537" s="14"/>
      <c r="BA1537" s="14"/>
      <c r="BB1537" s="14"/>
      <c r="BC1537" s="14"/>
      <c r="BD1537" s="14"/>
      <c r="BE1537" s="14"/>
      <c r="BF1537" s="14"/>
      <c r="BG1537" s="14"/>
      <c r="BH1537" s="14"/>
      <c r="BI1537" s="14"/>
      <c r="BJ1537" s="14"/>
      <c r="BK1537" s="14"/>
      <c r="BL1537" s="14"/>
      <c r="BM1537" s="14"/>
      <c r="BN1537" s="14"/>
      <c r="BO1537" s="14"/>
      <c r="BP1537" s="14"/>
      <c r="BQ1537" s="14"/>
      <c r="BR1537" s="14"/>
      <c r="BS1537" s="14"/>
      <c r="BT1537" s="14"/>
      <c r="BU1537" s="14"/>
      <c r="BV1537" s="14"/>
      <c r="BW1537" s="14"/>
      <c r="BX1537" s="14"/>
      <c r="BY1537" s="14"/>
      <c r="BZ1537" s="14"/>
      <c r="CA1537" s="14"/>
      <c r="CB1537" s="14"/>
      <c r="CC1537" s="14"/>
      <c r="CD1537" s="14"/>
      <c r="CE1537" s="14"/>
      <c r="CF1537" s="14"/>
      <c r="CG1537" s="4"/>
      <c r="CH1537" s="4"/>
      <c r="CI1537" s="4"/>
      <c r="CJ1537" s="4"/>
      <c r="CK1537" s="4"/>
      <c r="CL1537" s="4"/>
      <c r="CM1537" s="4"/>
      <c r="CN1537" s="4"/>
      <c r="CO1537" s="4"/>
      <c r="CP1537" s="4"/>
      <c r="CQ1537" s="4"/>
      <c r="CR1537" s="4"/>
      <c r="CS1537" s="4"/>
      <c r="CT1537" s="4"/>
      <c r="CU1537" s="4"/>
      <c r="CV1537" s="4"/>
      <c r="CW1537" s="4"/>
      <c r="CX1537" s="4"/>
      <c r="CY1537" s="4"/>
      <c r="CZ1537" s="4"/>
      <c r="DA1537" s="4"/>
      <c r="DB1537" s="4"/>
      <c r="DC1537" s="4"/>
      <c r="DD1537" s="4"/>
      <c r="DE1537" s="4"/>
      <c r="DF1537" s="4"/>
      <c r="DG1537" s="4"/>
      <c r="DH1537" s="4"/>
      <c r="DI1537" s="4"/>
      <c r="DJ1537" s="4"/>
      <c r="DK1537" s="4"/>
      <c r="DL1537" s="4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0"/>
  <sheetViews>
    <sheetView zoomScale="60" zoomScaleNormal="60" workbookViewId="0">
      <selection activeCell="F13" sqref="F13"/>
    </sheetView>
  </sheetViews>
  <sheetFormatPr defaultRowHeight="15" x14ac:dyDescent="0.25"/>
  <cols>
    <col min="1" max="1" width="48" style="10" bestFit="1" customWidth="1"/>
    <col min="2" max="2" width="18.42578125" style="10" customWidth="1"/>
    <col min="3" max="3" width="24.42578125" style="10" bestFit="1" customWidth="1"/>
    <col min="4" max="4" width="44" style="10" bestFit="1" customWidth="1"/>
    <col min="5" max="5" width="33.7109375" style="53" bestFit="1" customWidth="1"/>
    <col min="6" max="6" width="35.42578125" style="53" bestFit="1" customWidth="1"/>
    <col min="7" max="7" width="30.85546875" style="53" bestFit="1" customWidth="1"/>
    <col min="8" max="8" width="32" style="53" bestFit="1" customWidth="1"/>
    <col min="9" max="9" width="33.7109375" style="53" bestFit="1" customWidth="1"/>
    <col min="10" max="10" width="35.140625" style="53" bestFit="1" customWidth="1"/>
    <col min="11" max="11" width="33.7109375" style="53" bestFit="1" customWidth="1"/>
    <col min="12" max="12" width="35.42578125" style="53" bestFit="1" customWidth="1"/>
    <col min="13" max="13" width="30.85546875" style="53" bestFit="1" customWidth="1"/>
    <col min="14" max="14" width="33.7109375" style="53" bestFit="1" customWidth="1"/>
    <col min="15" max="15" width="35.42578125" style="53" bestFit="1" customWidth="1"/>
    <col min="16" max="16" width="30.85546875" style="53" bestFit="1" customWidth="1"/>
    <col min="17" max="17" width="42" style="53" bestFit="1" customWidth="1"/>
    <col min="18" max="18" width="37.7109375" style="53" bestFit="1" customWidth="1"/>
    <col min="19" max="19" width="39.140625" style="53" bestFit="1" customWidth="1"/>
    <col min="20" max="20" width="40.140625" style="53" bestFit="1" customWidth="1"/>
    <col min="21" max="21" width="35.85546875" style="53" bestFit="1" customWidth="1"/>
    <col min="22" max="22" width="37.5703125" style="53" bestFit="1" customWidth="1"/>
    <col min="23" max="23" width="42" style="53" bestFit="1" customWidth="1"/>
    <col min="24" max="24" width="37.7109375" style="53" bestFit="1" customWidth="1"/>
    <col min="25" max="25" width="39.140625" style="53" bestFit="1" customWidth="1"/>
    <col min="26" max="26" width="42" style="53" bestFit="1" customWidth="1"/>
    <col min="27" max="27" width="37.7109375" style="53" bestFit="1" customWidth="1"/>
    <col min="28" max="28" width="39.140625" style="53" bestFit="1" customWidth="1"/>
    <col min="29" max="29" width="34.140625" style="53" bestFit="1" customWidth="1"/>
    <col min="30" max="30" width="29.85546875" style="53" bestFit="1" customWidth="1"/>
    <col min="31" max="31" width="31.5703125" style="53" bestFit="1" customWidth="1"/>
    <col min="32" max="16384" width="9.140625" style="10"/>
  </cols>
  <sheetData>
    <row r="1" spans="1:31" s="12" customFormat="1" ht="59.25" customHeight="1" thickBot="1" x14ac:dyDescent="0.3">
      <c r="A1" s="11" t="s">
        <v>2883</v>
      </c>
      <c r="B1" s="11" t="s">
        <v>2855</v>
      </c>
      <c r="C1" s="11" t="s">
        <v>1963</v>
      </c>
      <c r="D1" s="11" t="s">
        <v>2856</v>
      </c>
      <c r="E1" s="51" t="s">
        <v>2884</v>
      </c>
      <c r="F1" s="51" t="s">
        <v>2885</v>
      </c>
      <c r="G1" s="51" t="s">
        <v>2886</v>
      </c>
      <c r="H1" s="51" t="s">
        <v>2887</v>
      </c>
      <c r="I1" s="51" t="s">
        <v>2888</v>
      </c>
      <c r="J1" s="51" t="s">
        <v>2889</v>
      </c>
      <c r="K1" s="51" t="s">
        <v>2890</v>
      </c>
      <c r="L1" s="51" t="s">
        <v>2891</v>
      </c>
      <c r="M1" s="51" t="s">
        <v>2892</v>
      </c>
      <c r="N1" s="51" t="s">
        <v>2893</v>
      </c>
      <c r="O1" s="51" t="s">
        <v>2894</v>
      </c>
      <c r="P1" s="51" t="s">
        <v>2895</v>
      </c>
      <c r="Q1" s="51" t="s">
        <v>2857</v>
      </c>
      <c r="R1" s="51" t="s">
        <v>2858</v>
      </c>
      <c r="S1" s="51" t="s">
        <v>2859</v>
      </c>
      <c r="T1" s="51" t="s">
        <v>2860</v>
      </c>
      <c r="U1" s="51" t="s">
        <v>2861</v>
      </c>
      <c r="V1" s="51" t="s">
        <v>2862</v>
      </c>
      <c r="W1" s="51" t="s">
        <v>2863</v>
      </c>
      <c r="X1" s="51" t="s">
        <v>2864</v>
      </c>
      <c r="Y1" s="51" t="s">
        <v>2865</v>
      </c>
      <c r="Z1" s="51" t="s">
        <v>2866</v>
      </c>
      <c r="AA1" s="51" t="s">
        <v>2867</v>
      </c>
      <c r="AB1" s="51" t="s">
        <v>2868</v>
      </c>
      <c r="AC1" s="51" t="s">
        <v>2869</v>
      </c>
      <c r="AD1" s="51" t="s">
        <v>2870</v>
      </c>
      <c r="AE1" s="51" t="s">
        <v>2871</v>
      </c>
    </row>
    <row r="2" spans="1:31" x14ac:dyDescent="0.25">
      <c r="A2" s="10" t="s">
        <v>29</v>
      </c>
      <c r="B2" s="10">
        <v>73</v>
      </c>
      <c r="C2" s="10" t="s">
        <v>1964</v>
      </c>
      <c r="D2" s="10" t="s">
        <v>2872</v>
      </c>
      <c r="E2" s="53">
        <v>53</v>
      </c>
      <c r="F2" s="53">
        <v>62</v>
      </c>
      <c r="G2" s="53">
        <v>54</v>
      </c>
      <c r="H2" s="53">
        <v>44</v>
      </c>
      <c r="I2" s="53">
        <v>44</v>
      </c>
      <c r="J2" s="53">
        <v>41</v>
      </c>
      <c r="K2" s="53">
        <v>47</v>
      </c>
      <c r="L2" s="53">
        <v>57</v>
      </c>
      <c r="M2" s="53">
        <v>50</v>
      </c>
      <c r="N2" s="53">
        <v>36</v>
      </c>
      <c r="O2" s="53">
        <v>43</v>
      </c>
      <c r="P2" s="53">
        <v>37</v>
      </c>
      <c r="Q2" s="54">
        <v>27.397260273972599</v>
      </c>
      <c r="R2" s="54">
        <v>15.068493150684899</v>
      </c>
      <c r="S2" s="54">
        <v>26.027397260274</v>
      </c>
      <c r="T2" s="54">
        <v>39.726027397260303</v>
      </c>
      <c r="U2" s="54">
        <v>39.726027397260303</v>
      </c>
      <c r="V2" s="54">
        <v>43.835616438356197</v>
      </c>
      <c r="W2" s="54">
        <v>35.616438356164402</v>
      </c>
      <c r="X2" s="54">
        <v>21.917808219178099</v>
      </c>
      <c r="Y2" s="54">
        <v>31.5068493150685</v>
      </c>
      <c r="Z2" s="54">
        <v>50.684931506849303</v>
      </c>
      <c r="AA2" s="54">
        <v>41.095890410958901</v>
      </c>
      <c r="AB2" s="54">
        <v>49.315068493150697</v>
      </c>
      <c r="AC2" s="54">
        <v>38.356164383561598</v>
      </c>
      <c r="AD2" s="54">
        <v>29.4520547945205</v>
      </c>
      <c r="AE2" s="54">
        <v>37.671232876712303</v>
      </c>
    </row>
    <row r="3" spans="1:31" x14ac:dyDescent="0.25">
      <c r="A3" s="10" t="s">
        <v>27</v>
      </c>
      <c r="B3" s="10">
        <v>57</v>
      </c>
      <c r="C3" s="10" t="s">
        <v>1964</v>
      </c>
      <c r="D3" s="10" t="s">
        <v>2872</v>
      </c>
      <c r="E3" s="53">
        <v>44</v>
      </c>
      <c r="F3" s="53">
        <v>48</v>
      </c>
      <c r="G3" s="53">
        <v>44</v>
      </c>
      <c r="H3" s="53">
        <v>35</v>
      </c>
      <c r="I3" s="53">
        <v>41</v>
      </c>
      <c r="J3" s="53">
        <v>41</v>
      </c>
      <c r="K3" s="53">
        <v>47</v>
      </c>
      <c r="L3" s="53">
        <v>47</v>
      </c>
      <c r="M3" s="53">
        <v>44</v>
      </c>
      <c r="N3" s="53">
        <v>40</v>
      </c>
      <c r="O3" s="53">
        <v>40</v>
      </c>
      <c r="P3" s="53">
        <v>41</v>
      </c>
      <c r="Q3" s="54">
        <v>22.807017543859601</v>
      </c>
      <c r="R3" s="54">
        <v>15.789473684210501</v>
      </c>
      <c r="S3" s="54">
        <v>22.807017543859601</v>
      </c>
      <c r="T3" s="54">
        <v>38.596491228070199</v>
      </c>
      <c r="U3" s="54">
        <v>28.0701754385965</v>
      </c>
      <c r="V3" s="54">
        <v>28.0701754385965</v>
      </c>
      <c r="W3" s="54">
        <v>17.543859649122801</v>
      </c>
      <c r="X3" s="54">
        <v>17.543859649122801</v>
      </c>
      <c r="Y3" s="54">
        <v>22.807017543859601</v>
      </c>
      <c r="Z3" s="54">
        <v>29.824561403508799</v>
      </c>
      <c r="AA3" s="54">
        <v>29.824561403508799</v>
      </c>
      <c r="AB3" s="54">
        <v>28.0701754385965</v>
      </c>
      <c r="AC3" s="54">
        <v>27.1929824561403</v>
      </c>
      <c r="AD3" s="54">
        <v>22.807017543859601</v>
      </c>
      <c r="AE3" s="54">
        <v>25.4385964912281</v>
      </c>
    </row>
    <row r="4" spans="1:31" x14ac:dyDescent="0.25">
      <c r="A4" s="10" t="s">
        <v>28</v>
      </c>
      <c r="B4" s="10">
        <v>62</v>
      </c>
      <c r="C4" s="10" t="s">
        <v>1964</v>
      </c>
      <c r="D4" s="10" t="s">
        <v>2872</v>
      </c>
      <c r="E4" s="53">
        <v>51</v>
      </c>
      <c r="F4" s="53">
        <v>58</v>
      </c>
      <c r="G4" s="53">
        <v>53</v>
      </c>
      <c r="H4" s="53">
        <v>43</v>
      </c>
      <c r="I4" s="53">
        <v>49</v>
      </c>
      <c r="J4" s="53">
        <v>40</v>
      </c>
      <c r="K4" s="53">
        <v>49</v>
      </c>
      <c r="L4" s="53">
        <v>53</v>
      </c>
      <c r="M4" s="53">
        <v>48</v>
      </c>
      <c r="N4" s="53">
        <v>35</v>
      </c>
      <c r="O4" s="53">
        <v>41</v>
      </c>
      <c r="P4" s="53">
        <v>39</v>
      </c>
      <c r="Q4" s="54">
        <v>17.741935483871</v>
      </c>
      <c r="R4" s="54">
        <v>6.4516129032258096</v>
      </c>
      <c r="S4" s="54">
        <v>14.5161290322581</v>
      </c>
      <c r="T4" s="54">
        <v>30.645161290322601</v>
      </c>
      <c r="U4" s="54">
        <v>20.9677419354839</v>
      </c>
      <c r="V4" s="54">
        <v>35.4838709677419</v>
      </c>
      <c r="W4" s="54">
        <v>20.9677419354839</v>
      </c>
      <c r="X4" s="54">
        <v>14.5161290322581</v>
      </c>
      <c r="Y4" s="54">
        <v>22.580645161290299</v>
      </c>
      <c r="Z4" s="54">
        <v>43.548387096774199</v>
      </c>
      <c r="AA4" s="54">
        <v>33.870967741935502</v>
      </c>
      <c r="AB4" s="54">
        <v>37.096774193548399</v>
      </c>
      <c r="AC4" s="54">
        <v>28.2258064516129</v>
      </c>
      <c r="AD4" s="54">
        <v>18.951612903225801</v>
      </c>
      <c r="AE4" s="54">
        <v>27.419354838709701</v>
      </c>
    </row>
    <row r="5" spans="1:31" x14ac:dyDescent="0.25">
      <c r="A5" s="10" t="s">
        <v>24</v>
      </c>
      <c r="B5" s="10">
        <v>55</v>
      </c>
      <c r="C5" s="10" t="s">
        <v>1964</v>
      </c>
      <c r="D5" s="10" t="s">
        <v>2872</v>
      </c>
      <c r="E5" s="53">
        <v>35</v>
      </c>
      <c r="F5" s="53">
        <v>41</v>
      </c>
      <c r="G5" s="53">
        <v>40</v>
      </c>
      <c r="H5" s="53">
        <v>27</v>
      </c>
      <c r="I5" s="53">
        <v>29</v>
      </c>
      <c r="J5" s="53">
        <v>29</v>
      </c>
      <c r="K5" s="53">
        <v>26</v>
      </c>
      <c r="L5" s="53">
        <v>37</v>
      </c>
      <c r="M5" s="53">
        <v>31</v>
      </c>
      <c r="N5" s="53">
        <v>22</v>
      </c>
      <c r="O5" s="53">
        <v>27</v>
      </c>
      <c r="P5" s="53">
        <v>30</v>
      </c>
      <c r="Q5" s="54">
        <v>36.363636363636402</v>
      </c>
      <c r="R5" s="54">
        <v>25.454545454545499</v>
      </c>
      <c r="S5" s="54">
        <v>27.272727272727298</v>
      </c>
      <c r="T5" s="54">
        <v>50.909090909090899</v>
      </c>
      <c r="U5" s="54">
        <v>47.272727272727302</v>
      </c>
      <c r="V5" s="54">
        <v>47.272727272727302</v>
      </c>
      <c r="W5" s="54">
        <v>52.727272727272698</v>
      </c>
      <c r="X5" s="54">
        <v>32.727272727272698</v>
      </c>
      <c r="Y5" s="54">
        <v>43.636363636363598</v>
      </c>
      <c r="Z5" s="54">
        <v>60</v>
      </c>
      <c r="AA5" s="54">
        <v>50.909090909090899</v>
      </c>
      <c r="AB5" s="54">
        <v>45.454545454545503</v>
      </c>
      <c r="AC5" s="54">
        <v>50</v>
      </c>
      <c r="AD5" s="54">
        <v>39.090909090909101</v>
      </c>
      <c r="AE5" s="54">
        <v>40.909090909090899</v>
      </c>
    </row>
    <row r="6" spans="1:31" x14ac:dyDescent="0.25">
      <c r="A6" s="10" t="s">
        <v>25</v>
      </c>
      <c r="B6" s="10">
        <v>137</v>
      </c>
      <c r="C6" s="10" t="s">
        <v>1964</v>
      </c>
      <c r="D6" s="10" t="s">
        <v>2872</v>
      </c>
      <c r="E6" s="53">
        <v>113</v>
      </c>
      <c r="F6" s="53">
        <v>127</v>
      </c>
      <c r="G6" s="53">
        <v>111</v>
      </c>
      <c r="H6" s="53">
        <v>95</v>
      </c>
      <c r="I6" s="53">
        <v>105</v>
      </c>
      <c r="J6" s="53">
        <v>93</v>
      </c>
      <c r="K6" s="53">
        <v>117</v>
      </c>
      <c r="L6" s="53">
        <v>120</v>
      </c>
      <c r="M6" s="53">
        <v>111</v>
      </c>
      <c r="N6" s="53">
        <v>89</v>
      </c>
      <c r="O6" s="53">
        <v>97</v>
      </c>
      <c r="P6" s="53">
        <v>87</v>
      </c>
      <c r="Q6" s="54">
        <v>17.518248175182499</v>
      </c>
      <c r="R6" s="54">
        <v>7.2992700729926998</v>
      </c>
      <c r="S6" s="54">
        <v>18.978102189781001</v>
      </c>
      <c r="T6" s="54">
        <v>30.656934306569301</v>
      </c>
      <c r="U6" s="54">
        <v>23.3576642335766</v>
      </c>
      <c r="V6" s="54">
        <v>32.116788321167903</v>
      </c>
      <c r="W6" s="54">
        <v>14.5985401459854</v>
      </c>
      <c r="X6" s="54">
        <v>12.408759124087601</v>
      </c>
      <c r="Y6" s="54">
        <v>18.978102189781001</v>
      </c>
      <c r="Z6" s="54">
        <v>35.036496350364999</v>
      </c>
      <c r="AA6" s="54">
        <v>29.197080291970799</v>
      </c>
      <c r="AB6" s="54">
        <v>36.496350364963497</v>
      </c>
      <c r="AC6" s="54">
        <v>24.4525547445256</v>
      </c>
      <c r="AD6" s="54">
        <v>18.0656934306569</v>
      </c>
      <c r="AE6" s="54">
        <v>26.6423357664234</v>
      </c>
    </row>
    <row r="7" spans="1:31" x14ac:dyDescent="0.25">
      <c r="A7" s="10" t="s">
        <v>21</v>
      </c>
      <c r="B7" s="10">
        <v>57</v>
      </c>
      <c r="C7" s="10" t="s">
        <v>1964</v>
      </c>
      <c r="D7" s="10" t="s">
        <v>2872</v>
      </c>
      <c r="E7" s="53">
        <v>42</v>
      </c>
      <c r="F7" s="53">
        <v>48</v>
      </c>
      <c r="G7" s="53">
        <v>47</v>
      </c>
      <c r="H7" s="53">
        <v>32</v>
      </c>
      <c r="I7" s="53">
        <v>36</v>
      </c>
      <c r="J7" s="53">
        <v>35</v>
      </c>
      <c r="K7" s="53">
        <v>31</v>
      </c>
      <c r="L7" s="53">
        <v>41</v>
      </c>
      <c r="M7" s="53">
        <v>34</v>
      </c>
      <c r="N7" s="53">
        <v>27</v>
      </c>
      <c r="O7" s="53">
        <v>31</v>
      </c>
      <c r="P7" s="53">
        <v>34</v>
      </c>
      <c r="Q7" s="54">
        <v>26.315789473684202</v>
      </c>
      <c r="R7" s="54">
        <v>15.789473684210501</v>
      </c>
      <c r="S7" s="54">
        <v>17.543859649122801</v>
      </c>
      <c r="T7" s="54">
        <v>43.859649122806999</v>
      </c>
      <c r="U7" s="54">
        <v>36.842105263157897</v>
      </c>
      <c r="V7" s="54">
        <v>38.596491228070199</v>
      </c>
      <c r="W7" s="54">
        <v>45.614035087719301</v>
      </c>
      <c r="X7" s="54">
        <v>28.0701754385965</v>
      </c>
      <c r="Y7" s="54">
        <v>40.350877192982502</v>
      </c>
      <c r="Z7" s="54">
        <v>52.631578947368403</v>
      </c>
      <c r="AA7" s="54">
        <v>45.614035087719301</v>
      </c>
      <c r="AB7" s="54">
        <v>40.350877192982502</v>
      </c>
      <c r="AC7" s="54">
        <v>42.105263157894697</v>
      </c>
      <c r="AD7" s="54">
        <v>31.578947368421002</v>
      </c>
      <c r="AE7" s="54">
        <v>34.210526315789501</v>
      </c>
    </row>
    <row r="8" spans="1:31" x14ac:dyDescent="0.25">
      <c r="A8" s="10" t="s">
        <v>22</v>
      </c>
      <c r="B8" s="10">
        <v>135</v>
      </c>
      <c r="C8" s="10" t="s">
        <v>1964</v>
      </c>
      <c r="D8" s="10" t="s">
        <v>2872</v>
      </c>
      <c r="E8" s="53">
        <v>106</v>
      </c>
      <c r="F8" s="53">
        <v>120</v>
      </c>
      <c r="G8" s="53">
        <v>104</v>
      </c>
      <c r="H8" s="53">
        <v>90</v>
      </c>
      <c r="I8" s="53">
        <v>98</v>
      </c>
      <c r="J8" s="53">
        <v>87</v>
      </c>
      <c r="K8" s="53">
        <v>112</v>
      </c>
      <c r="L8" s="53">
        <v>116</v>
      </c>
      <c r="M8" s="53">
        <v>108</v>
      </c>
      <c r="N8" s="53">
        <v>84</v>
      </c>
      <c r="O8" s="53">
        <v>93</v>
      </c>
      <c r="P8" s="53">
        <v>83</v>
      </c>
      <c r="Q8" s="54">
        <v>21.481481481481499</v>
      </c>
      <c r="R8" s="54">
        <v>11.1111111111111</v>
      </c>
      <c r="S8" s="54">
        <v>22.962962962963001</v>
      </c>
      <c r="T8" s="54">
        <v>33.3333333333333</v>
      </c>
      <c r="U8" s="54">
        <v>27.407407407407401</v>
      </c>
      <c r="V8" s="54">
        <v>35.5555555555556</v>
      </c>
      <c r="W8" s="54">
        <v>17.037037037036999</v>
      </c>
      <c r="X8" s="54">
        <v>14.074074074074099</v>
      </c>
      <c r="Y8" s="54">
        <v>20</v>
      </c>
      <c r="Z8" s="54">
        <v>37.7777777777778</v>
      </c>
      <c r="AA8" s="54">
        <v>31.1111111111111</v>
      </c>
      <c r="AB8" s="54">
        <v>38.518518518518498</v>
      </c>
      <c r="AC8" s="54">
        <v>27.407407407407401</v>
      </c>
      <c r="AD8" s="54">
        <v>20.925925925925899</v>
      </c>
      <c r="AE8" s="54">
        <v>29.259259259259299</v>
      </c>
    </row>
    <row r="9" spans="1:31" x14ac:dyDescent="0.25">
      <c r="A9" s="10" t="s">
        <v>1967</v>
      </c>
      <c r="B9" s="10">
        <v>28</v>
      </c>
      <c r="C9" s="10" t="s">
        <v>1964</v>
      </c>
      <c r="D9" s="10" t="s">
        <v>2872</v>
      </c>
      <c r="E9" s="53">
        <v>14</v>
      </c>
      <c r="F9" s="53">
        <v>23</v>
      </c>
      <c r="G9" s="53">
        <v>13</v>
      </c>
      <c r="H9" s="53">
        <v>13</v>
      </c>
      <c r="I9" s="53">
        <v>10</v>
      </c>
      <c r="J9" s="53">
        <v>8</v>
      </c>
      <c r="K9" s="53">
        <v>13</v>
      </c>
      <c r="L9" s="53">
        <v>16</v>
      </c>
      <c r="M9" s="53">
        <v>10</v>
      </c>
      <c r="N9" s="53">
        <v>6</v>
      </c>
      <c r="O9" s="53">
        <v>7</v>
      </c>
      <c r="P9" s="53">
        <v>4</v>
      </c>
      <c r="Q9" s="54">
        <v>50</v>
      </c>
      <c r="R9" s="54">
        <v>17.8571428571429</v>
      </c>
      <c r="S9" s="54">
        <v>53.571428571428598</v>
      </c>
      <c r="T9" s="54">
        <v>53.571428571428598</v>
      </c>
      <c r="U9" s="54">
        <v>64.285714285714306</v>
      </c>
      <c r="V9" s="54">
        <v>71.428571428571402</v>
      </c>
      <c r="W9" s="54">
        <v>53.571428571428598</v>
      </c>
      <c r="X9" s="54">
        <v>42.857142857142897</v>
      </c>
      <c r="Y9" s="54">
        <v>64.285714285714306</v>
      </c>
      <c r="Z9" s="54">
        <v>78.571428571428598</v>
      </c>
      <c r="AA9" s="54">
        <v>75</v>
      </c>
      <c r="AB9" s="54">
        <v>85.714285714285694</v>
      </c>
      <c r="AC9" s="54">
        <v>58.928571428571402</v>
      </c>
      <c r="AD9" s="54">
        <v>50</v>
      </c>
      <c r="AE9" s="54">
        <v>68.75</v>
      </c>
    </row>
    <row r="10" spans="1:31" x14ac:dyDescent="0.25">
      <c r="A10" s="10" t="s">
        <v>34</v>
      </c>
      <c r="B10" s="10">
        <v>18</v>
      </c>
      <c r="C10" s="10" t="s">
        <v>1964</v>
      </c>
      <c r="D10" s="10" t="s">
        <v>2872</v>
      </c>
      <c r="E10" s="53">
        <v>8</v>
      </c>
      <c r="F10" s="53">
        <v>14</v>
      </c>
      <c r="G10" s="53">
        <v>8</v>
      </c>
      <c r="H10" s="53">
        <v>7</v>
      </c>
      <c r="I10" s="53">
        <v>7</v>
      </c>
      <c r="J10" s="53">
        <v>5</v>
      </c>
      <c r="K10" s="53">
        <v>5</v>
      </c>
      <c r="L10" s="53">
        <v>7</v>
      </c>
      <c r="M10" s="53">
        <v>2</v>
      </c>
      <c r="N10" s="53">
        <v>4</v>
      </c>
      <c r="O10" s="53">
        <v>5</v>
      </c>
      <c r="P10" s="53">
        <v>3</v>
      </c>
      <c r="Q10" s="54">
        <v>55.5555555555556</v>
      </c>
      <c r="R10" s="54">
        <v>22.2222222222222</v>
      </c>
      <c r="S10" s="54">
        <v>55.5555555555556</v>
      </c>
      <c r="T10" s="54">
        <v>61.1111111111111</v>
      </c>
      <c r="U10" s="54">
        <v>61.1111111111111</v>
      </c>
      <c r="V10" s="54">
        <v>72.2222222222222</v>
      </c>
      <c r="W10" s="54">
        <v>72.2222222222222</v>
      </c>
      <c r="X10" s="54">
        <v>61.1111111111111</v>
      </c>
      <c r="Y10" s="54">
        <v>88.8888888888889</v>
      </c>
      <c r="Z10" s="54">
        <v>77.7777777777778</v>
      </c>
      <c r="AA10" s="54">
        <v>72.2222222222222</v>
      </c>
      <c r="AB10" s="54">
        <v>83.3333333333333</v>
      </c>
      <c r="AC10" s="54">
        <v>66.6666666666667</v>
      </c>
      <c r="AD10" s="54">
        <v>54.1666666666667</v>
      </c>
      <c r="AE10" s="54">
        <v>75</v>
      </c>
    </row>
    <row r="11" spans="1:31" x14ac:dyDescent="0.25">
      <c r="A11" s="10" t="s">
        <v>35</v>
      </c>
      <c r="B11" s="10">
        <v>11</v>
      </c>
      <c r="C11" s="10" t="s">
        <v>1964</v>
      </c>
      <c r="D11" s="10" t="s">
        <v>2872</v>
      </c>
      <c r="E11" s="53">
        <v>7</v>
      </c>
      <c r="F11" s="53">
        <v>7</v>
      </c>
      <c r="G11" s="53">
        <v>3</v>
      </c>
      <c r="H11" s="53">
        <v>5</v>
      </c>
      <c r="I11" s="53">
        <v>1</v>
      </c>
      <c r="J11" s="53">
        <v>1</v>
      </c>
      <c r="K11" s="53">
        <v>9</v>
      </c>
      <c r="L11" s="53">
        <v>7</v>
      </c>
      <c r="M11" s="53">
        <v>6</v>
      </c>
      <c r="N11" s="53">
        <v>1</v>
      </c>
      <c r="O11" s="53">
        <v>1</v>
      </c>
      <c r="P11" s="53">
        <v>1</v>
      </c>
      <c r="Q11" s="54">
        <v>36.363636363636402</v>
      </c>
      <c r="R11" s="54">
        <v>36.363636363636402</v>
      </c>
      <c r="S11" s="54">
        <v>72.727272727272705</v>
      </c>
      <c r="T11" s="54">
        <v>54.545454545454497</v>
      </c>
      <c r="U11" s="54">
        <v>90.909090909090907</v>
      </c>
      <c r="V11" s="54">
        <v>90.909090909090907</v>
      </c>
      <c r="W11" s="54">
        <v>18.181818181818201</v>
      </c>
      <c r="X11" s="54">
        <v>36.363636363636402</v>
      </c>
      <c r="Y11" s="54">
        <v>45.454545454545503</v>
      </c>
      <c r="Z11" s="54">
        <v>90.909090909090907</v>
      </c>
      <c r="AA11" s="54">
        <v>90.909090909090907</v>
      </c>
      <c r="AB11" s="54">
        <v>90.909090909090907</v>
      </c>
      <c r="AC11" s="54">
        <v>50</v>
      </c>
      <c r="AD11" s="54">
        <v>63.636363636363598</v>
      </c>
      <c r="AE11" s="54">
        <v>75</v>
      </c>
    </row>
    <row r="12" spans="1:31" x14ac:dyDescent="0.25">
      <c r="A12" s="10" t="s">
        <v>2873</v>
      </c>
      <c r="B12" s="10">
        <v>60</v>
      </c>
      <c r="C12" s="10" t="s">
        <v>1964</v>
      </c>
      <c r="D12" s="10" t="s">
        <v>2872</v>
      </c>
      <c r="E12" s="53">
        <v>41</v>
      </c>
      <c r="F12" s="53">
        <v>47</v>
      </c>
      <c r="G12" s="53">
        <v>44</v>
      </c>
      <c r="H12" s="53">
        <v>32</v>
      </c>
      <c r="I12" s="53">
        <v>33</v>
      </c>
      <c r="J12" s="53">
        <v>33</v>
      </c>
      <c r="K12" s="53">
        <v>32</v>
      </c>
      <c r="L12" s="53">
        <v>44</v>
      </c>
      <c r="M12" s="53">
        <v>38</v>
      </c>
      <c r="N12" s="53">
        <v>24</v>
      </c>
      <c r="O12" s="53">
        <v>30</v>
      </c>
      <c r="P12" s="53">
        <v>31</v>
      </c>
      <c r="Q12" s="54">
        <v>31.6666666666667</v>
      </c>
      <c r="R12" s="54">
        <v>21.6666666666667</v>
      </c>
      <c r="S12" s="54">
        <v>26.6666666666667</v>
      </c>
      <c r="T12" s="54">
        <v>46.6666666666667</v>
      </c>
      <c r="U12" s="54">
        <v>45</v>
      </c>
      <c r="V12" s="54">
        <v>45</v>
      </c>
      <c r="W12" s="54">
        <v>46.6666666666667</v>
      </c>
      <c r="X12" s="54">
        <v>26.6666666666667</v>
      </c>
      <c r="Y12" s="54">
        <v>36.6666666666667</v>
      </c>
      <c r="Z12" s="54">
        <v>60</v>
      </c>
      <c r="AA12" s="54">
        <v>50</v>
      </c>
      <c r="AB12" s="54">
        <v>48.3333333333333</v>
      </c>
      <c r="AC12" s="54">
        <v>46.25</v>
      </c>
      <c r="AD12" s="54">
        <v>35.8333333333333</v>
      </c>
      <c r="AE12" s="54">
        <v>39.1666666666667</v>
      </c>
    </row>
    <row r="13" spans="1:31" x14ac:dyDescent="0.25">
      <c r="A13" s="10" t="s">
        <v>2874</v>
      </c>
      <c r="B13" s="10">
        <v>93</v>
      </c>
      <c r="C13" s="10" t="s">
        <v>1964</v>
      </c>
      <c r="D13" s="10" t="s">
        <v>2872</v>
      </c>
      <c r="E13" s="53">
        <v>78</v>
      </c>
      <c r="F13" s="53">
        <v>87</v>
      </c>
      <c r="G13" s="53">
        <v>76</v>
      </c>
      <c r="H13" s="53">
        <v>63</v>
      </c>
      <c r="I13" s="53">
        <v>69</v>
      </c>
      <c r="J13" s="53">
        <v>62</v>
      </c>
      <c r="K13" s="53">
        <v>78</v>
      </c>
      <c r="L13" s="53">
        <v>79</v>
      </c>
      <c r="M13" s="53">
        <v>73</v>
      </c>
      <c r="N13" s="53">
        <v>60</v>
      </c>
      <c r="O13" s="53">
        <v>66</v>
      </c>
      <c r="P13" s="53">
        <v>57</v>
      </c>
      <c r="Q13" s="54">
        <v>16.129032258064498</v>
      </c>
      <c r="R13" s="54">
        <v>6.4516129032258096</v>
      </c>
      <c r="S13" s="54">
        <v>18.279569892473098</v>
      </c>
      <c r="T13" s="54">
        <v>32.258064516128997</v>
      </c>
      <c r="U13" s="54">
        <v>25.806451612903199</v>
      </c>
      <c r="V13" s="54">
        <v>33.3333333333333</v>
      </c>
      <c r="W13" s="54">
        <v>16.129032258064498</v>
      </c>
      <c r="X13" s="54">
        <v>15.0537634408602</v>
      </c>
      <c r="Y13" s="54">
        <v>21.505376344085999</v>
      </c>
      <c r="Z13" s="54">
        <v>35.4838709677419</v>
      </c>
      <c r="AA13" s="54">
        <v>29.0322580645161</v>
      </c>
      <c r="AB13" s="54">
        <v>38.709677419354797</v>
      </c>
      <c r="AC13" s="54">
        <v>25</v>
      </c>
      <c r="AD13" s="54">
        <v>19.086021505376301</v>
      </c>
      <c r="AE13" s="54">
        <v>27.9569892473118</v>
      </c>
    </row>
    <row r="14" spans="1:31" x14ac:dyDescent="0.25">
      <c r="A14" s="10" t="s">
        <v>17</v>
      </c>
      <c r="B14" s="10">
        <v>39</v>
      </c>
      <c r="C14" s="10" t="s">
        <v>1964</v>
      </c>
      <c r="D14" s="10" t="s">
        <v>2872</v>
      </c>
      <c r="E14" s="53">
        <v>29</v>
      </c>
      <c r="F14" s="53">
        <v>34</v>
      </c>
      <c r="G14" s="53">
        <v>31</v>
      </c>
      <c r="H14" s="53">
        <v>27</v>
      </c>
      <c r="I14" s="53">
        <v>32</v>
      </c>
      <c r="J14" s="53">
        <v>27</v>
      </c>
      <c r="K14" s="53">
        <v>33</v>
      </c>
      <c r="L14" s="53">
        <v>34</v>
      </c>
      <c r="M14" s="53">
        <v>31</v>
      </c>
      <c r="N14" s="53">
        <v>27</v>
      </c>
      <c r="O14" s="53">
        <v>28</v>
      </c>
      <c r="P14" s="53">
        <v>29</v>
      </c>
      <c r="Q14" s="54">
        <v>25.6410256410256</v>
      </c>
      <c r="R14" s="54">
        <v>12.8205128205128</v>
      </c>
      <c r="S14" s="54">
        <v>20.5128205128205</v>
      </c>
      <c r="T14" s="54">
        <v>30.769230769230798</v>
      </c>
      <c r="U14" s="54">
        <v>17.948717948717899</v>
      </c>
      <c r="V14" s="54">
        <v>30.769230769230798</v>
      </c>
      <c r="W14" s="54">
        <v>15.384615384615399</v>
      </c>
      <c r="X14" s="54">
        <v>12.8205128205128</v>
      </c>
      <c r="Y14" s="54">
        <v>20.5128205128205</v>
      </c>
      <c r="Z14" s="54">
        <v>30.769230769230798</v>
      </c>
      <c r="AA14" s="54">
        <v>28.205128205128201</v>
      </c>
      <c r="AB14" s="54">
        <v>25.6410256410256</v>
      </c>
      <c r="AC14" s="54">
        <v>25.6410256410256</v>
      </c>
      <c r="AD14" s="54">
        <v>17.948717948717899</v>
      </c>
      <c r="AE14" s="54">
        <v>24.3589743589744</v>
      </c>
    </row>
    <row r="15" spans="1:31" x14ac:dyDescent="0.25">
      <c r="A15" s="10" t="s">
        <v>19</v>
      </c>
      <c r="B15" s="10">
        <v>44</v>
      </c>
      <c r="C15" s="10" t="s">
        <v>1964</v>
      </c>
      <c r="D15" s="10" t="s">
        <v>2872</v>
      </c>
      <c r="E15" s="53">
        <v>28</v>
      </c>
      <c r="F15" s="53">
        <v>35</v>
      </c>
      <c r="G15" s="53">
        <v>32</v>
      </c>
      <c r="H15" s="53">
        <v>24</v>
      </c>
      <c r="I15" s="53">
        <v>25</v>
      </c>
      <c r="J15" s="53">
        <v>24</v>
      </c>
      <c r="K15" s="53">
        <v>23</v>
      </c>
      <c r="L15" s="53">
        <v>31</v>
      </c>
      <c r="M15" s="53">
        <v>25</v>
      </c>
      <c r="N15" s="53">
        <v>18</v>
      </c>
      <c r="O15" s="53">
        <v>22</v>
      </c>
      <c r="P15" s="53">
        <v>25</v>
      </c>
      <c r="Q15" s="54">
        <v>36.363636363636402</v>
      </c>
      <c r="R15" s="54">
        <v>20.454545454545499</v>
      </c>
      <c r="S15" s="54">
        <v>27.272727272727298</v>
      </c>
      <c r="T15" s="54">
        <v>45.454545454545503</v>
      </c>
      <c r="U15" s="54">
        <v>43.181818181818201</v>
      </c>
      <c r="V15" s="54">
        <v>45.454545454545503</v>
      </c>
      <c r="W15" s="54">
        <v>47.727272727272698</v>
      </c>
      <c r="X15" s="54">
        <v>29.545454545454501</v>
      </c>
      <c r="Y15" s="54">
        <v>43.181818181818201</v>
      </c>
      <c r="Z15" s="54">
        <v>59.090909090909101</v>
      </c>
      <c r="AA15" s="54">
        <v>50</v>
      </c>
      <c r="AB15" s="54">
        <v>43.181818181818201</v>
      </c>
      <c r="AC15" s="54">
        <v>47.159090909090899</v>
      </c>
      <c r="AD15" s="54">
        <v>35.795454545454497</v>
      </c>
      <c r="AE15" s="54">
        <v>39.772727272727302</v>
      </c>
    </row>
    <row r="16" spans="1:31" x14ac:dyDescent="0.25">
      <c r="A16" s="10" t="s">
        <v>20</v>
      </c>
      <c r="B16" s="10">
        <v>37</v>
      </c>
      <c r="C16" s="10" t="s">
        <v>1964</v>
      </c>
      <c r="D16" s="10" t="s">
        <v>2872</v>
      </c>
      <c r="E16" s="53">
        <v>33</v>
      </c>
      <c r="F16" s="53">
        <v>35</v>
      </c>
      <c r="G16" s="53">
        <v>30</v>
      </c>
      <c r="H16" s="53">
        <v>25</v>
      </c>
      <c r="I16" s="53">
        <v>28</v>
      </c>
      <c r="J16" s="53">
        <v>23</v>
      </c>
      <c r="K16" s="53">
        <v>28</v>
      </c>
      <c r="L16" s="53">
        <v>28</v>
      </c>
      <c r="M16" s="53">
        <v>27</v>
      </c>
      <c r="N16" s="53">
        <v>22</v>
      </c>
      <c r="O16" s="53">
        <v>26</v>
      </c>
      <c r="P16" s="53">
        <v>22</v>
      </c>
      <c r="Q16" s="54">
        <v>10.8108108108108</v>
      </c>
      <c r="R16" s="54">
        <v>5.4054054054054097</v>
      </c>
      <c r="S16" s="54">
        <v>18.918918918918902</v>
      </c>
      <c r="T16" s="54">
        <v>32.4324324324324</v>
      </c>
      <c r="U16" s="54">
        <v>24.324324324324301</v>
      </c>
      <c r="V16" s="54">
        <v>37.837837837837803</v>
      </c>
      <c r="W16" s="54">
        <v>24.324324324324301</v>
      </c>
      <c r="X16" s="54">
        <v>24.324324324324301</v>
      </c>
      <c r="Y16" s="54">
        <v>27.027027027027</v>
      </c>
      <c r="Z16" s="54">
        <v>40.540540540540498</v>
      </c>
      <c r="AA16" s="54">
        <v>29.729729729729701</v>
      </c>
      <c r="AB16" s="54">
        <v>40.540540540540498</v>
      </c>
      <c r="AC16" s="54">
        <v>27.027027027027</v>
      </c>
      <c r="AD16" s="54">
        <v>20.945945945945901</v>
      </c>
      <c r="AE16" s="54">
        <v>31.081081081081098</v>
      </c>
    </row>
    <row r="17" spans="1:31" x14ac:dyDescent="0.25">
      <c r="A17" s="10" t="s">
        <v>2093</v>
      </c>
      <c r="B17" s="10">
        <v>100</v>
      </c>
      <c r="C17" s="10" t="s">
        <v>1964</v>
      </c>
      <c r="D17" s="10" t="s">
        <v>2872</v>
      </c>
      <c r="E17" s="53">
        <v>80</v>
      </c>
      <c r="F17" s="53">
        <v>92</v>
      </c>
      <c r="G17" s="53">
        <v>81</v>
      </c>
      <c r="H17" s="53">
        <v>70</v>
      </c>
      <c r="I17" s="53">
        <v>77</v>
      </c>
      <c r="J17" s="53">
        <v>70</v>
      </c>
      <c r="K17" s="53">
        <v>89</v>
      </c>
      <c r="L17" s="53">
        <v>92</v>
      </c>
      <c r="M17" s="53">
        <v>84</v>
      </c>
      <c r="N17" s="53">
        <v>67</v>
      </c>
      <c r="O17" s="53">
        <v>71</v>
      </c>
      <c r="P17" s="53">
        <v>65</v>
      </c>
      <c r="Q17" s="54">
        <v>20</v>
      </c>
      <c r="R17" s="54">
        <v>8</v>
      </c>
      <c r="S17" s="54">
        <v>19</v>
      </c>
      <c r="T17" s="54">
        <v>30</v>
      </c>
      <c r="U17" s="54">
        <v>23</v>
      </c>
      <c r="V17" s="54">
        <v>30</v>
      </c>
      <c r="W17" s="54">
        <v>11</v>
      </c>
      <c r="X17" s="54">
        <v>8</v>
      </c>
      <c r="Y17" s="54">
        <v>16</v>
      </c>
      <c r="Z17" s="54">
        <v>33</v>
      </c>
      <c r="AA17" s="54">
        <v>29</v>
      </c>
      <c r="AB17" s="54">
        <v>35</v>
      </c>
      <c r="AC17" s="54">
        <v>23.5</v>
      </c>
      <c r="AD17" s="54">
        <v>17</v>
      </c>
      <c r="AE17" s="54">
        <v>25</v>
      </c>
    </row>
    <row r="18" spans="1:31" x14ac:dyDescent="0.25">
      <c r="A18" s="10" t="s">
        <v>32</v>
      </c>
      <c r="B18" s="10">
        <v>66</v>
      </c>
      <c r="C18" s="10" t="s">
        <v>1964</v>
      </c>
      <c r="D18" s="10" t="s">
        <v>2872</v>
      </c>
      <c r="E18" s="53">
        <v>49</v>
      </c>
      <c r="F18" s="53">
        <v>55</v>
      </c>
      <c r="G18" s="53">
        <v>54</v>
      </c>
      <c r="H18" s="53">
        <v>40</v>
      </c>
      <c r="I18" s="53">
        <v>41</v>
      </c>
      <c r="J18" s="53">
        <v>41</v>
      </c>
      <c r="K18" s="53">
        <v>37</v>
      </c>
      <c r="L18" s="53">
        <v>48</v>
      </c>
      <c r="M18" s="53">
        <v>41</v>
      </c>
      <c r="N18" s="53">
        <v>33</v>
      </c>
      <c r="O18" s="53">
        <v>37</v>
      </c>
      <c r="P18" s="53">
        <v>42</v>
      </c>
      <c r="Q18" s="54">
        <v>25.7575757575758</v>
      </c>
      <c r="R18" s="54">
        <v>16.6666666666667</v>
      </c>
      <c r="S18" s="54">
        <v>18.181818181818201</v>
      </c>
      <c r="T18" s="54">
        <v>39.393939393939398</v>
      </c>
      <c r="U18" s="54">
        <v>37.878787878787897</v>
      </c>
      <c r="V18" s="54">
        <v>37.878787878787897</v>
      </c>
      <c r="W18" s="54">
        <v>43.939393939393902</v>
      </c>
      <c r="X18" s="54">
        <v>27.272727272727298</v>
      </c>
      <c r="Y18" s="54">
        <v>37.878787878787897</v>
      </c>
      <c r="Z18" s="54">
        <v>50</v>
      </c>
      <c r="AA18" s="54">
        <v>43.939393939393902</v>
      </c>
      <c r="AB18" s="54">
        <v>36.363636363636402</v>
      </c>
      <c r="AC18" s="54">
        <v>39.772727272727302</v>
      </c>
      <c r="AD18" s="54">
        <v>31.439393939393899</v>
      </c>
      <c r="AE18" s="54">
        <v>32.575757575757599</v>
      </c>
    </row>
    <row r="19" spans="1:31" x14ac:dyDescent="0.25">
      <c r="A19" s="10" t="s">
        <v>30</v>
      </c>
      <c r="B19" s="10">
        <v>63</v>
      </c>
      <c r="C19" s="10" t="s">
        <v>1964</v>
      </c>
      <c r="D19" s="10" t="s">
        <v>2872</v>
      </c>
      <c r="E19" s="53">
        <v>52</v>
      </c>
      <c r="F19" s="53">
        <v>59</v>
      </c>
      <c r="G19" s="53">
        <v>49</v>
      </c>
      <c r="H19" s="53">
        <v>42</v>
      </c>
      <c r="I19" s="53">
        <v>44</v>
      </c>
      <c r="J19" s="53">
        <v>36</v>
      </c>
      <c r="K19" s="53">
        <v>50</v>
      </c>
      <c r="L19" s="53">
        <v>52</v>
      </c>
      <c r="M19" s="53">
        <v>46</v>
      </c>
      <c r="N19" s="53">
        <v>35</v>
      </c>
      <c r="O19" s="53">
        <v>40</v>
      </c>
      <c r="P19" s="53">
        <v>33</v>
      </c>
      <c r="Q19" s="54">
        <v>17.460317460317501</v>
      </c>
      <c r="R19" s="54">
        <v>6.3492063492063497</v>
      </c>
      <c r="S19" s="54">
        <v>22.2222222222222</v>
      </c>
      <c r="T19" s="54">
        <v>33.3333333333333</v>
      </c>
      <c r="U19" s="54">
        <v>30.158730158730201</v>
      </c>
      <c r="V19" s="54">
        <v>42.857142857142897</v>
      </c>
      <c r="W19" s="54">
        <v>20.634920634920601</v>
      </c>
      <c r="X19" s="54">
        <v>17.460317460317501</v>
      </c>
      <c r="Y19" s="54">
        <v>26.984126984126998</v>
      </c>
      <c r="Z19" s="54">
        <v>44.4444444444444</v>
      </c>
      <c r="AA19" s="54">
        <v>36.507936507936499</v>
      </c>
      <c r="AB19" s="54">
        <v>47.619047619047599</v>
      </c>
      <c r="AC19" s="54">
        <v>28.968253968254</v>
      </c>
      <c r="AD19" s="54">
        <v>22.619047619047599</v>
      </c>
      <c r="AE19" s="54">
        <v>34.920634920634903</v>
      </c>
    </row>
    <row r="20" spans="1:31" x14ac:dyDescent="0.25">
      <c r="A20" s="18" t="s">
        <v>31</v>
      </c>
      <c r="B20" s="18">
        <v>63</v>
      </c>
      <c r="C20" s="18" t="s">
        <v>1964</v>
      </c>
      <c r="D20" s="18" t="s">
        <v>2872</v>
      </c>
      <c r="E20" s="56">
        <v>47</v>
      </c>
      <c r="F20" s="56">
        <v>54</v>
      </c>
      <c r="G20" s="56">
        <v>48</v>
      </c>
      <c r="H20" s="56">
        <v>40</v>
      </c>
      <c r="I20" s="56">
        <v>49</v>
      </c>
      <c r="J20" s="56">
        <v>45</v>
      </c>
      <c r="K20" s="56">
        <v>56</v>
      </c>
      <c r="L20" s="56">
        <v>57</v>
      </c>
      <c r="M20" s="56">
        <v>55</v>
      </c>
      <c r="N20" s="56">
        <v>43</v>
      </c>
      <c r="O20" s="56">
        <v>47</v>
      </c>
      <c r="P20" s="56">
        <v>42</v>
      </c>
      <c r="Q20" s="57">
        <v>25.396825396825399</v>
      </c>
      <c r="R20" s="57">
        <v>14.285714285714301</v>
      </c>
      <c r="S20" s="57">
        <v>23.8095238095238</v>
      </c>
      <c r="T20" s="57">
        <v>36.507936507936499</v>
      </c>
      <c r="U20" s="57">
        <v>22.2222222222222</v>
      </c>
      <c r="V20" s="57">
        <v>28.571428571428601</v>
      </c>
      <c r="W20" s="57">
        <v>11.1111111111111</v>
      </c>
      <c r="X20" s="57">
        <v>9.5238095238095202</v>
      </c>
      <c r="Y20" s="57">
        <v>12.698412698412699</v>
      </c>
      <c r="Z20" s="57">
        <v>31.746031746031701</v>
      </c>
      <c r="AA20" s="57">
        <v>25.396825396825399</v>
      </c>
      <c r="AB20" s="57">
        <v>33.3333333333333</v>
      </c>
      <c r="AC20" s="57">
        <v>26.1904761904762</v>
      </c>
      <c r="AD20" s="57">
        <v>17.8571428571429</v>
      </c>
      <c r="AE20" s="57">
        <v>24.603174603174601</v>
      </c>
    </row>
    <row r="21" spans="1:31" x14ac:dyDescent="0.25">
      <c r="A21" s="10" t="s">
        <v>1966</v>
      </c>
      <c r="B21" s="10">
        <v>45</v>
      </c>
      <c r="C21" s="10" t="s">
        <v>1964</v>
      </c>
      <c r="D21" s="10" t="s">
        <v>2876</v>
      </c>
      <c r="E21" s="53">
        <v>31</v>
      </c>
      <c r="F21" s="53">
        <v>39</v>
      </c>
      <c r="G21" s="53">
        <v>35</v>
      </c>
      <c r="H21" s="53">
        <v>27</v>
      </c>
      <c r="I21" s="53">
        <v>29</v>
      </c>
      <c r="J21" s="53">
        <v>25</v>
      </c>
      <c r="K21" s="53">
        <v>27</v>
      </c>
      <c r="L21" s="53">
        <v>36</v>
      </c>
      <c r="M21" s="53">
        <v>29</v>
      </c>
      <c r="N21" s="53">
        <v>25</v>
      </c>
      <c r="O21" s="53">
        <v>24</v>
      </c>
      <c r="P21" s="53">
        <v>24</v>
      </c>
      <c r="Q21" s="54">
        <v>31.1111111111111</v>
      </c>
      <c r="R21" s="54">
        <v>13.3333333333333</v>
      </c>
      <c r="S21" s="54">
        <v>22.2222222222222</v>
      </c>
      <c r="T21" s="54">
        <v>40</v>
      </c>
      <c r="U21" s="54">
        <v>35.5555555555556</v>
      </c>
      <c r="V21" s="54">
        <v>44.4444444444444</v>
      </c>
      <c r="W21" s="54">
        <v>40</v>
      </c>
      <c r="X21" s="54">
        <v>20</v>
      </c>
      <c r="Y21" s="54">
        <v>35.5555555555556</v>
      </c>
      <c r="Z21" s="54">
        <v>44.4444444444444</v>
      </c>
      <c r="AA21" s="54">
        <v>46.6666666666667</v>
      </c>
      <c r="AB21" s="54">
        <v>46.6666666666667</v>
      </c>
      <c r="AC21" s="54">
        <v>38.8888888888889</v>
      </c>
      <c r="AD21" s="54">
        <v>28.8888888888889</v>
      </c>
      <c r="AE21" s="54">
        <v>37.2222222222222</v>
      </c>
    </row>
    <row r="22" spans="1:31" x14ac:dyDescent="0.25">
      <c r="A22" s="10" t="s">
        <v>65</v>
      </c>
      <c r="B22" s="10">
        <v>6</v>
      </c>
      <c r="C22" s="10" t="s">
        <v>1964</v>
      </c>
      <c r="D22" s="10" t="s">
        <v>2876</v>
      </c>
      <c r="E22" s="53">
        <v>4</v>
      </c>
      <c r="F22" s="53">
        <v>6</v>
      </c>
      <c r="G22" s="53">
        <v>6</v>
      </c>
      <c r="H22" s="53">
        <v>4</v>
      </c>
      <c r="I22" s="53">
        <v>5</v>
      </c>
      <c r="J22" s="53">
        <v>5</v>
      </c>
      <c r="K22" s="53">
        <v>4</v>
      </c>
      <c r="L22" s="53">
        <v>5</v>
      </c>
      <c r="M22" s="53">
        <v>4</v>
      </c>
      <c r="N22" s="53">
        <v>4</v>
      </c>
      <c r="O22" s="53">
        <v>3</v>
      </c>
      <c r="P22" s="53">
        <v>3</v>
      </c>
      <c r="Q22" s="54">
        <v>33.3333333333333</v>
      </c>
      <c r="R22" s="54">
        <v>0</v>
      </c>
      <c r="S22" s="54">
        <v>0</v>
      </c>
      <c r="T22" s="54">
        <v>33.3333333333333</v>
      </c>
      <c r="U22" s="54">
        <v>16.6666666666667</v>
      </c>
      <c r="V22" s="54">
        <v>16.6666666666667</v>
      </c>
      <c r="W22" s="54">
        <v>33.3333333333333</v>
      </c>
      <c r="X22" s="54">
        <v>16.6666666666667</v>
      </c>
      <c r="Y22" s="54">
        <v>33.3333333333333</v>
      </c>
      <c r="Z22" s="54">
        <v>33.3333333333333</v>
      </c>
      <c r="AA22" s="54">
        <v>50</v>
      </c>
      <c r="AB22" s="54">
        <v>50</v>
      </c>
      <c r="AC22" s="54">
        <v>33.3333333333333</v>
      </c>
      <c r="AD22" s="54">
        <v>20.8333333333333</v>
      </c>
      <c r="AE22" s="54">
        <v>25</v>
      </c>
    </row>
    <row r="23" spans="1:31" x14ac:dyDescent="0.25">
      <c r="A23" s="10" t="s">
        <v>67</v>
      </c>
      <c r="B23" s="10">
        <v>1</v>
      </c>
      <c r="C23" s="10" t="s">
        <v>1964</v>
      </c>
      <c r="D23" s="10" t="s">
        <v>2876</v>
      </c>
      <c r="E23" s="53">
        <v>1</v>
      </c>
      <c r="F23" s="53">
        <v>1</v>
      </c>
      <c r="G23" s="53">
        <v>1</v>
      </c>
      <c r="H23" s="53">
        <v>1</v>
      </c>
      <c r="I23" s="53">
        <v>1</v>
      </c>
      <c r="J23" s="53">
        <v>1</v>
      </c>
      <c r="K23" s="53">
        <v>1</v>
      </c>
      <c r="L23" s="53">
        <v>1</v>
      </c>
      <c r="M23" s="53">
        <v>0</v>
      </c>
      <c r="N23" s="53">
        <v>1</v>
      </c>
      <c r="O23" s="53">
        <v>1</v>
      </c>
      <c r="P23" s="53">
        <v>1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100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25</v>
      </c>
    </row>
    <row r="24" spans="1:31" x14ac:dyDescent="0.25">
      <c r="A24" s="10" t="s">
        <v>66</v>
      </c>
      <c r="B24" s="10">
        <v>5</v>
      </c>
      <c r="C24" s="10" t="s">
        <v>1964</v>
      </c>
      <c r="D24" s="10" t="s">
        <v>2876</v>
      </c>
      <c r="E24" s="53">
        <v>3</v>
      </c>
      <c r="F24" s="53">
        <v>5</v>
      </c>
      <c r="G24" s="53">
        <v>5</v>
      </c>
      <c r="H24" s="53">
        <v>3</v>
      </c>
      <c r="I24" s="53">
        <v>4</v>
      </c>
      <c r="J24" s="53">
        <v>4</v>
      </c>
      <c r="K24" s="53">
        <v>3</v>
      </c>
      <c r="L24" s="53">
        <v>4</v>
      </c>
      <c r="M24" s="53">
        <v>4</v>
      </c>
      <c r="N24" s="53">
        <v>3</v>
      </c>
      <c r="O24" s="53">
        <v>2</v>
      </c>
      <c r="P24" s="53">
        <v>2</v>
      </c>
      <c r="Q24" s="54">
        <v>40</v>
      </c>
      <c r="R24" s="54">
        <v>0</v>
      </c>
      <c r="S24" s="54">
        <v>0</v>
      </c>
      <c r="T24" s="54">
        <v>40</v>
      </c>
      <c r="U24" s="54">
        <v>20</v>
      </c>
      <c r="V24" s="54">
        <v>20</v>
      </c>
      <c r="W24" s="54">
        <v>40</v>
      </c>
      <c r="X24" s="54">
        <v>20</v>
      </c>
      <c r="Y24" s="54">
        <v>20</v>
      </c>
      <c r="Z24" s="54">
        <v>40</v>
      </c>
      <c r="AA24" s="54">
        <v>60</v>
      </c>
      <c r="AB24" s="54">
        <v>60</v>
      </c>
      <c r="AC24" s="54">
        <v>40</v>
      </c>
      <c r="AD24" s="54">
        <v>25</v>
      </c>
      <c r="AE24" s="54">
        <v>25</v>
      </c>
    </row>
    <row r="25" spans="1:31" x14ac:dyDescent="0.25">
      <c r="A25" s="10" t="s">
        <v>69</v>
      </c>
      <c r="B25" s="10">
        <v>36</v>
      </c>
      <c r="C25" s="10" t="s">
        <v>1964</v>
      </c>
      <c r="D25" s="10" t="s">
        <v>2876</v>
      </c>
      <c r="E25" s="53">
        <v>24</v>
      </c>
      <c r="F25" s="53">
        <v>30</v>
      </c>
      <c r="G25" s="53">
        <v>26</v>
      </c>
      <c r="H25" s="53">
        <v>22</v>
      </c>
      <c r="I25" s="53">
        <v>24</v>
      </c>
      <c r="J25" s="53">
        <v>20</v>
      </c>
      <c r="K25" s="53">
        <v>23</v>
      </c>
      <c r="L25" s="53">
        <v>29</v>
      </c>
      <c r="M25" s="53">
        <v>23</v>
      </c>
      <c r="N25" s="53">
        <v>21</v>
      </c>
      <c r="O25" s="53">
        <v>21</v>
      </c>
      <c r="P25" s="53">
        <v>20</v>
      </c>
      <c r="Q25" s="54">
        <v>33.3333333333333</v>
      </c>
      <c r="R25" s="54">
        <v>16.6666666666667</v>
      </c>
      <c r="S25" s="54">
        <v>27.7777777777778</v>
      </c>
      <c r="T25" s="54">
        <v>38.8888888888889</v>
      </c>
      <c r="U25" s="54">
        <v>33.3333333333333</v>
      </c>
      <c r="V25" s="54">
        <v>44.4444444444444</v>
      </c>
      <c r="W25" s="54">
        <v>36.1111111111111</v>
      </c>
      <c r="X25" s="54">
        <v>19.4444444444444</v>
      </c>
      <c r="Y25" s="54">
        <v>36.1111111111111</v>
      </c>
      <c r="Z25" s="54">
        <v>41.6666666666667</v>
      </c>
      <c r="AA25" s="54">
        <v>41.6666666666667</v>
      </c>
      <c r="AB25" s="54">
        <v>44.4444444444444</v>
      </c>
      <c r="AC25" s="54">
        <v>37.5</v>
      </c>
      <c r="AD25" s="54">
        <v>27.7777777777778</v>
      </c>
      <c r="AE25" s="54">
        <v>38.1944444444444</v>
      </c>
    </row>
    <row r="26" spans="1:31" x14ac:dyDescent="0.25">
      <c r="A26" s="10" t="s">
        <v>68</v>
      </c>
      <c r="B26" s="10">
        <v>5</v>
      </c>
      <c r="C26" s="10" t="s">
        <v>1964</v>
      </c>
      <c r="D26" s="10" t="s">
        <v>2876</v>
      </c>
      <c r="E26" s="53">
        <v>4</v>
      </c>
      <c r="F26" s="53">
        <v>4</v>
      </c>
      <c r="G26" s="53">
        <v>4</v>
      </c>
      <c r="H26" s="53">
        <v>2</v>
      </c>
      <c r="I26" s="53">
        <v>1</v>
      </c>
      <c r="J26" s="53">
        <v>1</v>
      </c>
      <c r="K26" s="53">
        <v>2</v>
      </c>
      <c r="L26" s="53">
        <v>4</v>
      </c>
      <c r="M26" s="53">
        <v>2</v>
      </c>
      <c r="N26" s="53">
        <v>1</v>
      </c>
      <c r="O26" s="53">
        <v>1</v>
      </c>
      <c r="P26" s="53">
        <v>2</v>
      </c>
      <c r="Q26" s="54">
        <v>20</v>
      </c>
      <c r="R26" s="54">
        <v>20</v>
      </c>
      <c r="S26" s="54">
        <v>20</v>
      </c>
      <c r="T26" s="54">
        <v>60</v>
      </c>
      <c r="U26" s="54">
        <v>80</v>
      </c>
      <c r="V26" s="54">
        <v>80</v>
      </c>
      <c r="W26" s="54">
        <v>60</v>
      </c>
      <c r="X26" s="54">
        <v>20</v>
      </c>
      <c r="Y26" s="54">
        <v>60</v>
      </c>
      <c r="Z26" s="54">
        <v>80</v>
      </c>
      <c r="AA26" s="54">
        <v>80</v>
      </c>
      <c r="AB26" s="54">
        <v>60</v>
      </c>
      <c r="AC26" s="54">
        <v>55</v>
      </c>
      <c r="AD26" s="54">
        <v>50</v>
      </c>
      <c r="AE26" s="54">
        <v>55</v>
      </c>
    </row>
    <row r="27" spans="1:31" x14ac:dyDescent="0.25">
      <c r="A27" s="10" t="s">
        <v>1965</v>
      </c>
      <c r="B27" s="10">
        <v>24</v>
      </c>
      <c r="C27" s="10" t="s">
        <v>1964</v>
      </c>
      <c r="D27" s="10" t="s">
        <v>2876</v>
      </c>
      <c r="E27" s="53">
        <v>17</v>
      </c>
      <c r="F27" s="53">
        <v>19</v>
      </c>
      <c r="G27" s="53">
        <v>18</v>
      </c>
      <c r="H27" s="53">
        <v>9</v>
      </c>
      <c r="I27" s="53">
        <v>10</v>
      </c>
      <c r="J27" s="53">
        <v>11</v>
      </c>
      <c r="K27" s="53">
        <v>11</v>
      </c>
      <c r="L27" s="53">
        <v>15</v>
      </c>
      <c r="M27" s="53">
        <v>11</v>
      </c>
      <c r="N27" s="53">
        <v>8</v>
      </c>
      <c r="O27" s="53">
        <v>9</v>
      </c>
      <c r="P27" s="53">
        <v>11</v>
      </c>
      <c r="Q27" s="54">
        <v>29.1666666666667</v>
      </c>
      <c r="R27" s="54">
        <v>20.8333333333333</v>
      </c>
      <c r="S27" s="54">
        <v>25</v>
      </c>
      <c r="T27" s="54">
        <v>62.5</v>
      </c>
      <c r="U27" s="54">
        <v>58.3333333333333</v>
      </c>
      <c r="V27" s="54">
        <v>54.1666666666667</v>
      </c>
      <c r="W27" s="54">
        <v>54.1666666666667</v>
      </c>
      <c r="X27" s="54">
        <v>37.5</v>
      </c>
      <c r="Y27" s="54">
        <v>54.1666666666667</v>
      </c>
      <c r="Z27" s="54">
        <v>66.6666666666667</v>
      </c>
      <c r="AA27" s="54">
        <v>62.5</v>
      </c>
      <c r="AB27" s="54">
        <v>54.1666666666667</v>
      </c>
      <c r="AC27" s="54">
        <v>53.125</v>
      </c>
      <c r="AD27" s="54">
        <v>44.7916666666667</v>
      </c>
      <c r="AE27" s="54">
        <v>46.875</v>
      </c>
    </row>
    <row r="28" spans="1:31" x14ac:dyDescent="0.25">
      <c r="A28" s="10" t="s">
        <v>38</v>
      </c>
      <c r="B28" s="10">
        <v>8</v>
      </c>
      <c r="C28" s="10" t="s">
        <v>1964</v>
      </c>
      <c r="D28" s="10" t="s">
        <v>2876</v>
      </c>
      <c r="E28" s="53">
        <v>6</v>
      </c>
      <c r="F28" s="53">
        <v>6</v>
      </c>
      <c r="G28" s="53">
        <v>6</v>
      </c>
      <c r="H28" s="53">
        <v>3</v>
      </c>
      <c r="I28" s="53">
        <v>5</v>
      </c>
      <c r="J28" s="53">
        <v>6</v>
      </c>
      <c r="K28" s="53">
        <v>6</v>
      </c>
      <c r="L28" s="53">
        <v>7</v>
      </c>
      <c r="M28" s="53">
        <v>6</v>
      </c>
      <c r="N28" s="53">
        <v>2</v>
      </c>
      <c r="O28" s="53">
        <v>4</v>
      </c>
      <c r="P28" s="53">
        <v>4</v>
      </c>
      <c r="Q28" s="54">
        <v>25</v>
      </c>
      <c r="R28" s="54">
        <v>25</v>
      </c>
      <c r="S28" s="54">
        <v>25</v>
      </c>
      <c r="T28" s="54">
        <v>62.5</v>
      </c>
      <c r="U28" s="54">
        <v>37.5</v>
      </c>
      <c r="V28" s="54">
        <v>25</v>
      </c>
      <c r="W28" s="54">
        <v>25</v>
      </c>
      <c r="X28" s="54">
        <v>12.5</v>
      </c>
      <c r="Y28" s="54">
        <v>25</v>
      </c>
      <c r="Z28" s="54">
        <v>75</v>
      </c>
      <c r="AA28" s="54">
        <v>50</v>
      </c>
      <c r="AB28" s="54">
        <v>50</v>
      </c>
      <c r="AC28" s="54">
        <v>46.875</v>
      </c>
      <c r="AD28" s="54">
        <v>31.25</v>
      </c>
      <c r="AE28" s="54">
        <v>31.25</v>
      </c>
    </row>
    <row r="29" spans="1:31" x14ac:dyDescent="0.25">
      <c r="A29" s="10" t="s">
        <v>40</v>
      </c>
      <c r="B29" s="10">
        <v>5</v>
      </c>
      <c r="C29" s="10" t="s">
        <v>1964</v>
      </c>
      <c r="D29" s="10" t="s">
        <v>2876</v>
      </c>
      <c r="E29" s="53">
        <v>5</v>
      </c>
      <c r="F29" s="53">
        <v>5</v>
      </c>
      <c r="G29" s="53">
        <v>5</v>
      </c>
      <c r="H29" s="53">
        <v>4</v>
      </c>
      <c r="I29" s="53">
        <v>3</v>
      </c>
      <c r="J29" s="53">
        <v>3</v>
      </c>
      <c r="K29" s="53">
        <v>4</v>
      </c>
      <c r="L29" s="53">
        <v>5</v>
      </c>
      <c r="M29" s="53">
        <v>5</v>
      </c>
      <c r="N29" s="53">
        <v>2</v>
      </c>
      <c r="O29" s="53">
        <v>3</v>
      </c>
      <c r="P29" s="53">
        <v>4</v>
      </c>
      <c r="Q29" s="54">
        <v>0</v>
      </c>
      <c r="R29" s="54">
        <v>0</v>
      </c>
      <c r="S29" s="54">
        <v>0</v>
      </c>
      <c r="T29" s="54">
        <v>20</v>
      </c>
      <c r="U29" s="54">
        <v>40</v>
      </c>
      <c r="V29" s="54">
        <v>40</v>
      </c>
      <c r="W29" s="54">
        <v>20</v>
      </c>
      <c r="X29" s="54">
        <v>0</v>
      </c>
      <c r="Y29" s="54">
        <v>0</v>
      </c>
      <c r="Z29" s="54">
        <v>60</v>
      </c>
      <c r="AA29" s="54">
        <v>40</v>
      </c>
      <c r="AB29" s="54">
        <v>20</v>
      </c>
      <c r="AC29" s="54">
        <v>25</v>
      </c>
      <c r="AD29" s="54">
        <v>20</v>
      </c>
      <c r="AE29" s="54">
        <v>15</v>
      </c>
    </row>
    <row r="30" spans="1:31" x14ac:dyDescent="0.25">
      <c r="A30" s="10" t="s">
        <v>42</v>
      </c>
      <c r="B30" s="10">
        <v>51</v>
      </c>
      <c r="C30" s="10" t="s">
        <v>1964</v>
      </c>
      <c r="D30" s="10" t="s">
        <v>2876</v>
      </c>
      <c r="E30" s="53">
        <v>38</v>
      </c>
      <c r="F30" s="53">
        <v>42</v>
      </c>
      <c r="G30" s="53">
        <v>42</v>
      </c>
      <c r="H30" s="53">
        <v>33</v>
      </c>
      <c r="I30" s="53">
        <v>34</v>
      </c>
      <c r="J30" s="53">
        <v>33</v>
      </c>
      <c r="K30" s="53">
        <v>32</v>
      </c>
      <c r="L30" s="53">
        <v>39</v>
      </c>
      <c r="M30" s="53">
        <v>34</v>
      </c>
      <c r="N30" s="53">
        <v>30</v>
      </c>
      <c r="O30" s="53">
        <v>32</v>
      </c>
      <c r="P30" s="53">
        <v>32</v>
      </c>
      <c r="Q30" s="54">
        <v>25.490196078431399</v>
      </c>
      <c r="R30" s="54">
        <v>17.647058823529399</v>
      </c>
      <c r="S30" s="54">
        <v>17.647058823529399</v>
      </c>
      <c r="T30" s="54">
        <v>35.294117647058798</v>
      </c>
      <c r="U30" s="54">
        <v>33.3333333333333</v>
      </c>
      <c r="V30" s="54">
        <v>35.294117647058798</v>
      </c>
      <c r="W30" s="54">
        <v>37.254901960784302</v>
      </c>
      <c r="X30" s="54">
        <v>23.529411764705898</v>
      </c>
      <c r="Y30" s="54">
        <v>33.3333333333333</v>
      </c>
      <c r="Z30" s="54">
        <v>41.176470588235297</v>
      </c>
      <c r="AA30" s="54">
        <v>37.254901960784302</v>
      </c>
      <c r="AB30" s="54">
        <v>37.254901960784302</v>
      </c>
      <c r="AC30" s="54">
        <v>34.803921568627402</v>
      </c>
      <c r="AD30" s="54">
        <v>27.9411764705882</v>
      </c>
      <c r="AE30" s="54">
        <v>30.882352941176499</v>
      </c>
    </row>
    <row r="31" spans="1:31" x14ac:dyDescent="0.25">
      <c r="A31" s="10" t="s">
        <v>58</v>
      </c>
      <c r="B31" s="10">
        <v>2</v>
      </c>
      <c r="C31" s="10" t="s">
        <v>1964</v>
      </c>
      <c r="D31" s="10" t="s">
        <v>2876</v>
      </c>
      <c r="E31" s="53">
        <v>2</v>
      </c>
      <c r="F31" s="53">
        <v>2</v>
      </c>
      <c r="G31" s="53">
        <v>2</v>
      </c>
      <c r="H31" s="53">
        <v>2</v>
      </c>
      <c r="I31" s="53">
        <v>2</v>
      </c>
      <c r="J31" s="53">
        <v>2</v>
      </c>
      <c r="K31" s="53">
        <v>1</v>
      </c>
      <c r="L31" s="53">
        <v>1</v>
      </c>
      <c r="M31" s="53">
        <v>1</v>
      </c>
      <c r="N31" s="53">
        <v>2</v>
      </c>
      <c r="O31" s="53">
        <v>2</v>
      </c>
      <c r="P31" s="53">
        <v>2</v>
      </c>
      <c r="Q31" s="54">
        <v>0</v>
      </c>
      <c r="R31" s="54">
        <v>0</v>
      </c>
      <c r="S31" s="54">
        <v>0</v>
      </c>
      <c r="T31" s="54">
        <v>0</v>
      </c>
      <c r="U31" s="54">
        <v>0</v>
      </c>
      <c r="V31" s="54">
        <v>0</v>
      </c>
      <c r="W31" s="54">
        <v>50</v>
      </c>
      <c r="X31" s="54">
        <v>50</v>
      </c>
      <c r="Y31" s="54">
        <v>50</v>
      </c>
      <c r="Z31" s="54">
        <v>0</v>
      </c>
      <c r="AA31" s="54">
        <v>0</v>
      </c>
      <c r="AB31" s="54">
        <v>0</v>
      </c>
      <c r="AC31" s="54">
        <v>12.5</v>
      </c>
      <c r="AD31" s="54">
        <v>12.5</v>
      </c>
      <c r="AE31" s="54">
        <v>12.5</v>
      </c>
    </row>
    <row r="32" spans="1:31" x14ac:dyDescent="0.25">
      <c r="A32" s="10" t="s">
        <v>59</v>
      </c>
      <c r="B32" s="10">
        <v>21</v>
      </c>
      <c r="C32" s="10" t="s">
        <v>1964</v>
      </c>
      <c r="D32" s="10" t="s">
        <v>2876</v>
      </c>
      <c r="E32" s="53">
        <v>17</v>
      </c>
      <c r="F32" s="53">
        <v>19</v>
      </c>
      <c r="G32" s="53">
        <v>19</v>
      </c>
      <c r="H32" s="53">
        <v>13</v>
      </c>
      <c r="I32" s="53">
        <v>15</v>
      </c>
      <c r="J32" s="53">
        <v>13</v>
      </c>
      <c r="K32" s="53">
        <v>11</v>
      </c>
      <c r="L32" s="53">
        <v>16</v>
      </c>
      <c r="M32" s="53">
        <v>14</v>
      </c>
      <c r="N32" s="53">
        <v>12</v>
      </c>
      <c r="O32" s="53">
        <v>13</v>
      </c>
      <c r="P32" s="53">
        <v>13</v>
      </c>
      <c r="Q32" s="54">
        <v>19.047619047619001</v>
      </c>
      <c r="R32" s="54">
        <v>9.5238095238095202</v>
      </c>
      <c r="S32" s="54">
        <v>9.5238095238095202</v>
      </c>
      <c r="T32" s="54">
        <v>38.095238095238102</v>
      </c>
      <c r="U32" s="54">
        <v>28.571428571428601</v>
      </c>
      <c r="V32" s="54">
        <v>38.095238095238102</v>
      </c>
      <c r="W32" s="54">
        <v>47.619047619047599</v>
      </c>
      <c r="X32" s="54">
        <v>23.8095238095238</v>
      </c>
      <c r="Y32" s="54">
        <v>33.3333333333333</v>
      </c>
      <c r="Z32" s="54">
        <v>42.857142857142897</v>
      </c>
      <c r="AA32" s="54">
        <v>38.095238095238102</v>
      </c>
      <c r="AB32" s="54">
        <v>38.095238095238102</v>
      </c>
      <c r="AC32" s="54">
        <v>36.904761904761898</v>
      </c>
      <c r="AD32" s="54">
        <v>25</v>
      </c>
      <c r="AE32" s="54">
        <v>29.761904761904798</v>
      </c>
    </row>
    <row r="33" spans="1:48" x14ac:dyDescent="0.25">
      <c r="A33" s="10" t="s">
        <v>43</v>
      </c>
      <c r="B33" s="10">
        <v>15</v>
      </c>
      <c r="C33" s="10" t="s">
        <v>1964</v>
      </c>
      <c r="D33" s="10" t="s">
        <v>2876</v>
      </c>
      <c r="E33" s="53">
        <v>13</v>
      </c>
      <c r="F33" s="53">
        <v>14</v>
      </c>
      <c r="G33" s="53">
        <v>14</v>
      </c>
      <c r="H33" s="53">
        <v>8</v>
      </c>
      <c r="I33" s="53">
        <v>8</v>
      </c>
      <c r="J33" s="53">
        <v>9</v>
      </c>
      <c r="K33" s="53">
        <v>7</v>
      </c>
      <c r="L33" s="53">
        <v>11</v>
      </c>
      <c r="M33" s="53">
        <v>10</v>
      </c>
      <c r="N33" s="53">
        <v>6</v>
      </c>
      <c r="O33" s="53">
        <v>9</v>
      </c>
      <c r="P33" s="53">
        <v>8</v>
      </c>
      <c r="Q33" s="54">
        <v>13.3333333333333</v>
      </c>
      <c r="R33" s="54">
        <v>6.6666666666666696</v>
      </c>
      <c r="S33" s="54">
        <v>6.6666666666666696</v>
      </c>
      <c r="T33" s="54">
        <v>46.6666666666667</v>
      </c>
      <c r="U33" s="54">
        <v>46.6666666666667</v>
      </c>
      <c r="V33" s="54">
        <v>40</v>
      </c>
      <c r="W33" s="54">
        <v>53.3333333333333</v>
      </c>
      <c r="X33" s="54">
        <v>26.6666666666667</v>
      </c>
      <c r="Y33" s="54">
        <v>33.3333333333333</v>
      </c>
      <c r="Z33" s="54">
        <v>60</v>
      </c>
      <c r="AA33" s="54">
        <v>40</v>
      </c>
      <c r="AB33" s="54">
        <v>46.6666666666667</v>
      </c>
      <c r="AC33" s="54">
        <v>43.3333333333333</v>
      </c>
      <c r="AD33" s="54">
        <v>30</v>
      </c>
      <c r="AE33" s="54">
        <v>31.6666666666667</v>
      </c>
    </row>
    <row r="34" spans="1:48" x14ac:dyDescent="0.25">
      <c r="A34" s="10" t="s">
        <v>60</v>
      </c>
      <c r="B34" s="10">
        <v>8</v>
      </c>
      <c r="C34" s="10" t="s">
        <v>1964</v>
      </c>
      <c r="D34" s="10" t="s">
        <v>2876</v>
      </c>
      <c r="E34" s="53">
        <v>7</v>
      </c>
      <c r="F34" s="53">
        <v>8</v>
      </c>
      <c r="G34" s="53">
        <v>8</v>
      </c>
      <c r="H34" s="53">
        <v>4</v>
      </c>
      <c r="I34" s="53">
        <v>4</v>
      </c>
      <c r="J34" s="53">
        <v>5</v>
      </c>
      <c r="K34" s="53">
        <v>2</v>
      </c>
      <c r="L34" s="53">
        <v>6</v>
      </c>
      <c r="M34" s="53">
        <v>5</v>
      </c>
      <c r="N34" s="53">
        <v>3</v>
      </c>
      <c r="O34" s="53">
        <v>4</v>
      </c>
      <c r="P34" s="53">
        <v>5</v>
      </c>
      <c r="Q34" s="54">
        <v>12.5</v>
      </c>
      <c r="R34" s="54">
        <v>0</v>
      </c>
      <c r="S34" s="54">
        <v>0</v>
      </c>
      <c r="T34" s="54">
        <v>50</v>
      </c>
      <c r="U34" s="54">
        <v>50</v>
      </c>
      <c r="V34" s="54">
        <v>37.5</v>
      </c>
      <c r="W34" s="54">
        <v>75</v>
      </c>
      <c r="X34" s="54">
        <v>25</v>
      </c>
      <c r="Y34" s="54">
        <v>37.5</v>
      </c>
      <c r="Z34" s="54">
        <v>62.5</v>
      </c>
      <c r="AA34" s="54">
        <v>50</v>
      </c>
      <c r="AB34" s="54">
        <v>37.5</v>
      </c>
      <c r="AC34" s="54">
        <v>50</v>
      </c>
      <c r="AD34" s="54">
        <v>31.25</v>
      </c>
      <c r="AE34" s="54">
        <v>28.125</v>
      </c>
      <c r="AV34" s="55"/>
    </row>
    <row r="35" spans="1:48" x14ac:dyDescent="0.25">
      <c r="A35" s="10" t="s">
        <v>44</v>
      </c>
      <c r="B35" s="10">
        <v>18</v>
      </c>
      <c r="C35" s="10" t="s">
        <v>1964</v>
      </c>
      <c r="D35" s="10" t="s">
        <v>2876</v>
      </c>
      <c r="E35" s="53">
        <v>10</v>
      </c>
      <c r="F35" s="53">
        <v>14</v>
      </c>
      <c r="G35" s="53">
        <v>11</v>
      </c>
      <c r="H35" s="53">
        <v>8</v>
      </c>
      <c r="I35" s="53">
        <v>13</v>
      </c>
      <c r="J35" s="53">
        <v>11</v>
      </c>
      <c r="K35" s="53">
        <v>13</v>
      </c>
      <c r="L35" s="53">
        <v>16</v>
      </c>
      <c r="M35" s="53">
        <v>14</v>
      </c>
      <c r="N35" s="53">
        <v>11</v>
      </c>
      <c r="O35" s="53">
        <v>14</v>
      </c>
      <c r="P35" s="53">
        <v>13</v>
      </c>
      <c r="Q35" s="54">
        <v>44.4444444444444</v>
      </c>
      <c r="R35" s="54">
        <v>22.2222222222222</v>
      </c>
      <c r="S35" s="54">
        <v>38.8888888888889</v>
      </c>
      <c r="T35" s="54">
        <v>55.5555555555556</v>
      </c>
      <c r="U35" s="54">
        <v>27.7777777777778</v>
      </c>
      <c r="V35" s="54">
        <v>38.8888888888889</v>
      </c>
      <c r="W35" s="54">
        <v>27.7777777777778</v>
      </c>
      <c r="X35" s="54">
        <v>11.1111111111111</v>
      </c>
      <c r="Y35" s="54">
        <v>22.2222222222222</v>
      </c>
      <c r="Z35" s="54">
        <v>38.8888888888889</v>
      </c>
      <c r="AA35" s="54">
        <v>22.2222222222222</v>
      </c>
      <c r="AB35" s="54">
        <v>27.7777777777778</v>
      </c>
      <c r="AC35" s="54">
        <v>41.6666666666667</v>
      </c>
      <c r="AD35" s="54">
        <v>20.8333333333333</v>
      </c>
      <c r="AE35" s="54">
        <v>31.9444444444444</v>
      </c>
    </row>
    <row r="36" spans="1:48" x14ac:dyDescent="0.25">
      <c r="A36" s="10" t="s">
        <v>45</v>
      </c>
      <c r="B36" s="10">
        <v>3</v>
      </c>
      <c r="C36" s="10" t="s">
        <v>1964</v>
      </c>
      <c r="D36" s="10" t="s">
        <v>2876</v>
      </c>
      <c r="E36" s="53">
        <v>3</v>
      </c>
      <c r="F36" s="53">
        <v>3</v>
      </c>
      <c r="G36" s="53">
        <v>3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4">
        <v>0</v>
      </c>
      <c r="R36" s="54">
        <v>0</v>
      </c>
      <c r="S36" s="54">
        <v>0</v>
      </c>
      <c r="T36" s="54">
        <v>100</v>
      </c>
      <c r="U36" s="54">
        <v>100</v>
      </c>
      <c r="V36" s="54">
        <v>100</v>
      </c>
      <c r="W36" s="54">
        <v>100</v>
      </c>
      <c r="X36" s="54">
        <v>100</v>
      </c>
      <c r="Y36" s="54">
        <v>100</v>
      </c>
      <c r="Z36" s="54">
        <v>100</v>
      </c>
      <c r="AA36" s="54">
        <v>100</v>
      </c>
      <c r="AB36" s="54">
        <v>100</v>
      </c>
      <c r="AC36" s="54">
        <v>75</v>
      </c>
      <c r="AD36" s="54">
        <v>75</v>
      </c>
      <c r="AE36" s="54">
        <v>75</v>
      </c>
    </row>
    <row r="37" spans="1:48" x14ac:dyDescent="0.25">
      <c r="A37" s="10" t="s">
        <v>46</v>
      </c>
      <c r="B37" s="10">
        <v>16</v>
      </c>
      <c r="C37" s="10" t="s">
        <v>1964</v>
      </c>
      <c r="D37" s="10" t="s">
        <v>2876</v>
      </c>
      <c r="E37" s="53">
        <v>9</v>
      </c>
      <c r="F37" s="53">
        <v>11</v>
      </c>
      <c r="G37" s="53">
        <v>11</v>
      </c>
      <c r="H37" s="53">
        <v>6</v>
      </c>
      <c r="I37" s="53">
        <v>9</v>
      </c>
      <c r="J37" s="53">
        <v>7</v>
      </c>
      <c r="K37" s="53">
        <v>9</v>
      </c>
      <c r="L37" s="53">
        <v>11</v>
      </c>
      <c r="M37" s="53">
        <v>9</v>
      </c>
      <c r="N37" s="53">
        <v>3</v>
      </c>
      <c r="O37" s="53">
        <v>8</v>
      </c>
      <c r="P37" s="53">
        <v>5</v>
      </c>
      <c r="Q37" s="54">
        <v>43.75</v>
      </c>
      <c r="R37" s="54">
        <v>31.25</v>
      </c>
      <c r="S37" s="54">
        <v>31.25</v>
      </c>
      <c r="T37" s="54">
        <v>62.5</v>
      </c>
      <c r="U37" s="54">
        <v>43.75</v>
      </c>
      <c r="V37" s="54">
        <v>56.25</v>
      </c>
      <c r="W37" s="54">
        <v>43.75</v>
      </c>
      <c r="X37" s="54">
        <v>31.25</v>
      </c>
      <c r="Y37" s="54">
        <v>43.75</v>
      </c>
      <c r="Z37" s="54">
        <v>81.25</v>
      </c>
      <c r="AA37" s="54">
        <v>50</v>
      </c>
      <c r="AB37" s="54">
        <v>68.75</v>
      </c>
      <c r="AC37" s="54">
        <v>57.8125</v>
      </c>
      <c r="AD37" s="54">
        <v>39.0625</v>
      </c>
      <c r="AE37" s="54">
        <v>50</v>
      </c>
    </row>
    <row r="38" spans="1:48" x14ac:dyDescent="0.25">
      <c r="A38" s="10" t="s">
        <v>47</v>
      </c>
      <c r="B38" s="10">
        <v>4</v>
      </c>
      <c r="C38" s="10" t="s">
        <v>1964</v>
      </c>
      <c r="D38" s="10" t="s">
        <v>2876</v>
      </c>
      <c r="E38" s="53">
        <v>1</v>
      </c>
      <c r="F38" s="53">
        <v>2</v>
      </c>
      <c r="G38" s="53">
        <v>1</v>
      </c>
      <c r="H38" s="53">
        <v>2</v>
      </c>
      <c r="I38" s="53">
        <v>2</v>
      </c>
      <c r="J38" s="53">
        <v>2</v>
      </c>
      <c r="K38" s="53">
        <v>1</v>
      </c>
      <c r="L38" s="53">
        <v>2</v>
      </c>
      <c r="M38" s="53">
        <v>1</v>
      </c>
      <c r="N38" s="53">
        <v>1</v>
      </c>
      <c r="O38" s="53">
        <v>2</v>
      </c>
      <c r="P38" s="53">
        <v>2</v>
      </c>
      <c r="Q38" s="54">
        <v>75</v>
      </c>
      <c r="R38" s="54">
        <v>50</v>
      </c>
      <c r="S38" s="54">
        <v>75</v>
      </c>
      <c r="T38" s="54">
        <v>50</v>
      </c>
      <c r="U38" s="54">
        <v>50</v>
      </c>
      <c r="V38" s="54">
        <v>50</v>
      </c>
      <c r="W38" s="54">
        <v>75</v>
      </c>
      <c r="X38" s="54">
        <v>50</v>
      </c>
      <c r="Y38" s="54">
        <v>75</v>
      </c>
      <c r="Z38" s="54">
        <v>75</v>
      </c>
      <c r="AA38" s="54">
        <v>50</v>
      </c>
      <c r="AB38" s="54">
        <v>50</v>
      </c>
      <c r="AC38" s="54">
        <v>68.75</v>
      </c>
      <c r="AD38" s="54">
        <v>50</v>
      </c>
      <c r="AE38" s="54">
        <v>62.5</v>
      </c>
    </row>
    <row r="39" spans="1:48" x14ac:dyDescent="0.25">
      <c r="A39" s="10" t="s">
        <v>49</v>
      </c>
      <c r="B39" s="10">
        <v>2</v>
      </c>
      <c r="C39" s="10" t="s">
        <v>1964</v>
      </c>
      <c r="D39" s="10" t="s">
        <v>2876</v>
      </c>
      <c r="E39" s="53">
        <v>0</v>
      </c>
      <c r="F39" s="53">
        <v>1</v>
      </c>
      <c r="G39" s="53">
        <v>0</v>
      </c>
      <c r="H39" s="53">
        <v>1</v>
      </c>
      <c r="I39" s="53">
        <v>1</v>
      </c>
      <c r="J39" s="53">
        <v>1</v>
      </c>
      <c r="K39" s="53">
        <v>0</v>
      </c>
      <c r="L39" s="53">
        <v>0</v>
      </c>
      <c r="M39" s="53">
        <v>0</v>
      </c>
      <c r="N39" s="53">
        <v>1</v>
      </c>
      <c r="O39" s="53">
        <v>1</v>
      </c>
      <c r="P39" s="53">
        <v>1</v>
      </c>
      <c r="Q39" s="54">
        <v>100</v>
      </c>
      <c r="R39" s="54">
        <v>50</v>
      </c>
      <c r="S39" s="54">
        <v>100</v>
      </c>
      <c r="T39" s="54">
        <v>50</v>
      </c>
      <c r="U39" s="54">
        <v>50</v>
      </c>
      <c r="V39" s="54">
        <v>50</v>
      </c>
      <c r="W39" s="54">
        <v>100</v>
      </c>
      <c r="X39" s="54">
        <v>100</v>
      </c>
      <c r="Y39" s="54">
        <v>100</v>
      </c>
      <c r="Z39" s="54">
        <v>50</v>
      </c>
      <c r="AA39" s="54">
        <v>50</v>
      </c>
      <c r="AB39" s="54">
        <v>50</v>
      </c>
      <c r="AC39" s="54">
        <v>75</v>
      </c>
      <c r="AD39" s="54">
        <v>62.5</v>
      </c>
      <c r="AE39" s="54">
        <v>75</v>
      </c>
    </row>
    <row r="40" spans="1:48" x14ac:dyDescent="0.25">
      <c r="A40" s="10" t="s">
        <v>50</v>
      </c>
      <c r="B40" s="10">
        <v>2</v>
      </c>
      <c r="C40" s="10" t="s">
        <v>1964</v>
      </c>
      <c r="D40" s="10" t="s">
        <v>2876</v>
      </c>
      <c r="E40" s="53">
        <v>1</v>
      </c>
      <c r="F40" s="53">
        <v>2</v>
      </c>
      <c r="G40" s="53">
        <v>1</v>
      </c>
      <c r="H40" s="53">
        <v>1</v>
      </c>
      <c r="I40" s="53">
        <v>0</v>
      </c>
      <c r="J40" s="53">
        <v>0</v>
      </c>
      <c r="K40" s="53">
        <v>1</v>
      </c>
      <c r="L40" s="53">
        <v>2</v>
      </c>
      <c r="M40" s="53">
        <v>2</v>
      </c>
      <c r="N40" s="53">
        <v>1</v>
      </c>
      <c r="O40" s="53">
        <v>1</v>
      </c>
      <c r="P40" s="53">
        <v>1</v>
      </c>
      <c r="Q40" s="54">
        <v>50</v>
      </c>
      <c r="R40" s="54">
        <v>0</v>
      </c>
      <c r="S40" s="54">
        <v>50</v>
      </c>
      <c r="T40" s="54">
        <v>50</v>
      </c>
      <c r="U40" s="54">
        <v>100</v>
      </c>
      <c r="V40" s="54">
        <v>100</v>
      </c>
      <c r="W40" s="54">
        <v>50</v>
      </c>
      <c r="X40" s="54">
        <v>0</v>
      </c>
      <c r="Y40" s="54">
        <v>0</v>
      </c>
      <c r="Z40" s="54">
        <v>50</v>
      </c>
      <c r="AA40" s="54">
        <v>50</v>
      </c>
      <c r="AB40" s="54">
        <v>50</v>
      </c>
      <c r="AC40" s="54">
        <v>50</v>
      </c>
      <c r="AD40" s="54">
        <v>37.5</v>
      </c>
      <c r="AE40" s="54">
        <v>50</v>
      </c>
    </row>
    <row r="41" spans="1:48" x14ac:dyDescent="0.25">
      <c r="A41" s="10" t="s">
        <v>51</v>
      </c>
      <c r="B41" s="10">
        <v>2</v>
      </c>
      <c r="C41" s="10" t="s">
        <v>1964</v>
      </c>
      <c r="D41" s="10" t="s">
        <v>2876</v>
      </c>
      <c r="E41" s="53">
        <v>2</v>
      </c>
      <c r="F41" s="53">
        <v>2</v>
      </c>
      <c r="G41" s="53">
        <v>2</v>
      </c>
      <c r="H41" s="53">
        <v>2</v>
      </c>
      <c r="I41" s="53">
        <v>0</v>
      </c>
      <c r="J41" s="53">
        <v>0</v>
      </c>
      <c r="K41" s="53">
        <v>1</v>
      </c>
      <c r="L41" s="53">
        <v>1</v>
      </c>
      <c r="M41" s="53">
        <v>1</v>
      </c>
      <c r="N41" s="53">
        <v>0</v>
      </c>
      <c r="O41" s="53">
        <v>0</v>
      </c>
      <c r="P41" s="53">
        <v>0</v>
      </c>
      <c r="Q41" s="54">
        <v>0</v>
      </c>
      <c r="R41" s="54">
        <v>0</v>
      </c>
      <c r="S41" s="54">
        <v>0</v>
      </c>
      <c r="T41" s="54">
        <v>0</v>
      </c>
      <c r="U41" s="54">
        <v>100</v>
      </c>
      <c r="V41" s="54">
        <v>100</v>
      </c>
      <c r="W41" s="54">
        <v>50</v>
      </c>
      <c r="X41" s="54">
        <v>50</v>
      </c>
      <c r="Y41" s="54">
        <v>50</v>
      </c>
      <c r="Z41" s="54">
        <v>100</v>
      </c>
      <c r="AA41" s="54">
        <v>100</v>
      </c>
      <c r="AB41" s="54">
        <v>100</v>
      </c>
      <c r="AC41" s="54">
        <v>37.5</v>
      </c>
      <c r="AD41" s="54">
        <v>62.5</v>
      </c>
      <c r="AE41" s="54">
        <v>62.5</v>
      </c>
    </row>
    <row r="42" spans="1:48" x14ac:dyDescent="0.25">
      <c r="A42" s="10" t="s">
        <v>64</v>
      </c>
      <c r="B42" s="10">
        <v>9</v>
      </c>
      <c r="C42" s="10" t="s">
        <v>1964</v>
      </c>
      <c r="D42" s="10" t="s">
        <v>2876</v>
      </c>
      <c r="E42" s="53">
        <v>7</v>
      </c>
      <c r="F42" s="53">
        <v>7</v>
      </c>
      <c r="G42" s="53">
        <v>7</v>
      </c>
      <c r="H42" s="53">
        <v>4</v>
      </c>
      <c r="I42" s="53">
        <v>4</v>
      </c>
      <c r="J42" s="53">
        <v>4</v>
      </c>
      <c r="K42" s="53">
        <v>6</v>
      </c>
      <c r="L42" s="53">
        <v>8</v>
      </c>
      <c r="M42" s="53">
        <v>6</v>
      </c>
      <c r="N42" s="53">
        <v>4</v>
      </c>
      <c r="O42" s="53">
        <v>4</v>
      </c>
      <c r="P42" s="53">
        <v>5</v>
      </c>
      <c r="Q42" s="54">
        <v>22.2222222222222</v>
      </c>
      <c r="R42" s="54">
        <v>22.2222222222222</v>
      </c>
      <c r="S42" s="54">
        <v>22.2222222222222</v>
      </c>
      <c r="T42" s="54">
        <v>55.5555555555556</v>
      </c>
      <c r="U42" s="54">
        <v>55.5555555555556</v>
      </c>
      <c r="V42" s="54">
        <v>55.5555555555556</v>
      </c>
      <c r="W42" s="54">
        <v>33.3333333333333</v>
      </c>
      <c r="X42" s="54">
        <v>11.1111111111111</v>
      </c>
      <c r="Y42" s="54">
        <v>33.3333333333333</v>
      </c>
      <c r="Z42" s="54">
        <v>55.5555555555556</v>
      </c>
      <c r="AA42" s="54">
        <v>55.5555555555556</v>
      </c>
      <c r="AB42" s="54">
        <v>44.4444444444444</v>
      </c>
      <c r="AC42" s="54">
        <v>41.6666666666667</v>
      </c>
      <c r="AD42" s="54">
        <v>36.1111111111111</v>
      </c>
      <c r="AE42" s="54">
        <v>38.8888888888889</v>
      </c>
    </row>
    <row r="43" spans="1:48" x14ac:dyDescent="0.25">
      <c r="A43" s="10" t="s">
        <v>53</v>
      </c>
      <c r="B43" s="10">
        <v>2</v>
      </c>
      <c r="C43" s="10" t="s">
        <v>1964</v>
      </c>
      <c r="D43" s="10" t="s">
        <v>2876</v>
      </c>
      <c r="E43" s="53">
        <v>2</v>
      </c>
      <c r="F43" s="53">
        <v>2</v>
      </c>
      <c r="G43" s="53">
        <v>2</v>
      </c>
      <c r="H43" s="53">
        <v>1</v>
      </c>
      <c r="I43" s="53">
        <v>1</v>
      </c>
      <c r="J43" s="53">
        <v>0</v>
      </c>
      <c r="K43" s="53">
        <v>1</v>
      </c>
      <c r="L43" s="53">
        <v>2</v>
      </c>
      <c r="M43" s="53">
        <v>2</v>
      </c>
      <c r="N43" s="53">
        <v>1</v>
      </c>
      <c r="O43" s="53">
        <v>1</v>
      </c>
      <c r="P43" s="53">
        <v>2</v>
      </c>
      <c r="Q43" s="54">
        <v>0</v>
      </c>
      <c r="R43" s="54">
        <v>0</v>
      </c>
      <c r="S43" s="54">
        <v>0</v>
      </c>
      <c r="T43" s="54">
        <v>50</v>
      </c>
      <c r="U43" s="54">
        <v>50</v>
      </c>
      <c r="V43" s="54">
        <v>100</v>
      </c>
      <c r="W43" s="54">
        <v>50</v>
      </c>
      <c r="X43" s="54">
        <v>0</v>
      </c>
      <c r="Y43" s="54">
        <v>0</v>
      </c>
      <c r="Z43" s="54">
        <v>50</v>
      </c>
      <c r="AA43" s="54">
        <v>50</v>
      </c>
      <c r="AB43" s="54">
        <v>0</v>
      </c>
      <c r="AC43" s="54">
        <v>37.5</v>
      </c>
      <c r="AD43" s="54">
        <v>25</v>
      </c>
      <c r="AE43" s="54">
        <v>25</v>
      </c>
    </row>
    <row r="44" spans="1:48" x14ac:dyDescent="0.25">
      <c r="A44" s="10" t="s">
        <v>54</v>
      </c>
      <c r="B44" s="10">
        <v>15</v>
      </c>
      <c r="C44" s="10" t="s">
        <v>1964</v>
      </c>
      <c r="D44" s="10" t="s">
        <v>2876</v>
      </c>
      <c r="E44" s="53">
        <v>12</v>
      </c>
      <c r="F44" s="53">
        <v>13</v>
      </c>
      <c r="G44" s="53">
        <v>13</v>
      </c>
      <c r="H44" s="53">
        <v>13</v>
      </c>
      <c r="I44" s="53">
        <v>10</v>
      </c>
      <c r="J44" s="53">
        <v>10</v>
      </c>
      <c r="K44" s="53">
        <v>10</v>
      </c>
      <c r="L44" s="53">
        <v>11</v>
      </c>
      <c r="M44" s="53">
        <v>11</v>
      </c>
      <c r="N44" s="53">
        <v>10</v>
      </c>
      <c r="O44" s="53">
        <v>11</v>
      </c>
      <c r="P44" s="53">
        <v>11</v>
      </c>
      <c r="Q44" s="54">
        <v>20</v>
      </c>
      <c r="R44" s="54">
        <v>13.3333333333333</v>
      </c>
      <c r="S44" s="54">
        <v>13.3333333333333</v>
      </c>
      <c r="T44" s="54">
        <v>13.3333333333333</v>
      </c>
      <c r="U44" s="54">
        <v>33.3333333333333</v>
      </c>
      <c r="V44" s="54">
        <v>33.3333333333333</v>
      </c>
      <c r="W44" s="54">
        <v>33.3333333333333</v>
      </c>
      <c r="X44" s="54">
        <v>26.6666666666667</v>
      </c>
      <c r="Y44" s="54">
        <v>26.6666666666667</v>
      </c>
      <c r="Z44" s="54">
        <v>33.3333333333333</v>
      </c>
      <c r="AA44" s="54">
        <v>26.6666666666667</v>
      </c>
      <c r="AB44" s="54">
        <v>26.6666666666667</v>
      </c>
      <c r="AC44" s="54">
        <v>25</v>
      </c>
      <c r="AD44" s="54">
        <v>25</v>
      </c>
      <c r="AE44" s="54">
        <v>25</v>
      </c>
    </row>
    <row r="45" spans="1:48" x14ac:dyDescent="0.25">
      <c r="A45" s="10" t="s">
        <v>55</v>
      </c>
      <c r="B45" s="10">
        <v>1</v>
      </c>
      <c r="C45" s="10" t="s">
        <v>1964</v>
      </c>
      <c r="D45" s="10" t="s">
        <v>2876</v>
      </c>
      <c r="E45" s="53">
        <v>1</v>
      </c>
      <c r="F45" s="53">
        <v>1</v>
      </c>
      <c r="G45" s="53">
        <v>1</v>
      </c>
      <c r="H45" s="53">
        <v>1</v>
      </c>
      <c r="I45" s="53">
        <v>1</v>
      </c>
      <c r="J45" s="53">
        <v>0</v>
      </c>
      <c r="K45" s="53">
        <v>1</v>
      </c>
      <c r="L45" s="53">
        <v>1</v>
      </c>
      <c r="M45" s="53">
        <v>1</v>
      </c>
      <c r="N45" s="53">
        <v>1</v>
      </c>
      <c r="O45" s="53">
        <v>1</v>
      </c>
      <c r="P45" s="53">
        <v>1</v>
      </c>
      <c r="Q45" s="54">
        <v>0</v>
      </c>
      <c r="R45" s="54">
        <v>0</v>
      </c>
      <c r="S45" s="54">
        <v>0</v>
      </c>
      <c r="T45" s="54">
        <v>0</v>
      </c>
      <c r="U45" s="54">
        <v>0</v>
      </c>
      <c r="V45" s="54">
        <v>100</v>
      </c>
      <c r="W45" s="54">
        <v>0</v>
      </c>
      <c r="X45" s="54">
        <v>0</v>
      </c>
      <c r="Y45" s="54">
        <v>0</v>
      </c>
      <c r="Z45" s="54">
        <v>0</v>
      </c>
      <c r="AA45" s="54">
        <v>0</v>
      </c>
      <c r="AB45" s="54">
        <v>0</v>
      </c>
      <c r="AC45" s="54">
        <v>0</v>
      </c>
      <c r="AD45" s="54">
        <v>0</v>
      </c>
      <c r="AE45" s="54">
        <v>25</v>
      </c>
    </row>
    <row r="46" spans="1:48" x14ac:dyDescent="0.25">
      <c r="A46" s="10" t="s">
        <v>56</v>
      </c>
      <c r="B46" s="10">
        <v>45</v>
      </c>
      <c r="C46" s="10" t="s">
        <v>1964</v>
      </c>
      <c r="D46" s="10" t="s">
        <v>2876</v>
      </c>
      <c r="E46" s="53">
        <v>35</v>
      </c>
      <c r="F46" s="53">
        <v>40</v>
      </c>
      <c r="G46" s="53">
        <v>36</v>
      </c>
      <c r="H46" s="53">
        <v>29</v>
      </c>
      <c r="I46" s="53">
        <v>31</v>
      </c>
      <c r="J46" s="53">
        <v>28</v>
      </c>
      <c r="K46" s="53">
        <v>37</v>
      </c>
      <c r="L46" s="53">
        <v>39</v>
      </c>
      <c r="M46" s="53">
        <v>37</v>
      </c>
      <c r="N46" s="53">
        <v>18</v>
      </c>
      <c r="O46" s="53">
        <v>23</v>
      </c>
      <c r="P46" s="53">
        <v>21</v>
      </c>
      <c r="Q46" s="54">
        <v>22.2222222222222</v>
      </c>
      <c r="R46" s="54">
        <v>11.1111111111111</v>
      </c>
      <c r="S46" s="54">
        <v>20</v>
      </c>
      <c r="T46" s="54">
        <v>35.5555555555556</v>
      </c>
      <c r="U46" s="54">
        <v>31.1111111111111</v>
      </c>
      <c r="V46" s="54">
        <v>37.7777777777778</v>
      </c>
      <c r="W46" s="54">
        <v>17.7777777777778</v>
      </c>
      <c r="X46" s="54">
        <v>13.3333333333333</v>
      </c>
      <c r="Y46" s="54">
        <v>17.7777777777778</v>
      </c>
      <c r="Z46" s="54">
        <v>60</v>
      </c>
      <c r="AA46" s="54">
        <v>48.8888888888889</v>
      </c>
      <c r="AB46" s="54">
        <v>53.3333333333333</v>
      </c>
      <c r="AC46" s="54">
        <v>33.8888888888889</v>
      </c>
      <c r="AD46" s="54">
        <v>26.1111111111111</v>
      </c>
      <c r="AE46" s="54">
        <v>32.2222222222222</v>
      </c>
    </row>
    <row r="47" spans="1:48" s="19" customFormat="1" x14ac:dyDescent="0.25">
      <c r="A47" s="19" t="s">
        <v>57</v>
      </c>
      <c r="B47" s="19">
        <v>11</v>
      </c>
      <c r="C47" s="19" t="s">
        <v>1964</v>
      </c>
      <c r="D47" s="19" t="s">
        <v>2876</v>
      </c>
      <c r="E47" s="58">
        <v>8</v>
      </c>
      <c r="F47" s="58">
        <v>9</v>
      </c>
      <c r="G47" s="58">
        <v>9</v>
      </c>
      <c r="H47" s="58">
        <v>7</v>
      </c>
      <c r="I47" s="58">
        <v>8</v>
      </c>
      <c r="J47" s="58">
        <v>7</v>
      </c>
      <c r="K47" s="58">
        <v>7</v>
      </c>
      <c r="L47" s="58">
        <v>10</v>
      </c>
      <c r="M47" s="58">
        <v>8</v>
      </c>
      <c r="N47" s="58">
        <v>5</v>
      </c>
      <c r="O47" s="58">
        <v>6</v>
      </c>
      <c r="P47" s="58">
        <v>7</v>
      </c>
      <c r="Q47" s="59">
        <v>27.272727272727298</v>
      </c>
      <c r="R47" s="59">
        <v>18.181818181818201</v>
      </c>
      <c r="S47" s="59">
        <v>18.181818181818201</v>
      </c>
      <c r="T47" s="59">
        <v>36.363636363636402</v>
      </c>
      <c r="U47" s="59">
        <v>27.272727272727298</v>
      </c>
      <c r="V47" s="59">
        <v>36.363636363636402</v>
      </c>
      <c r="W47" s="59">
        <v>36.363636363636402</v>
      </c>
      <c r="X47" s="59">
        <v>9.0909090909090899</v>
      </c>
      <c r="Y47" s="59">
        <v>27.272727272727298</v>
      </c>
      <c r="Z47" s="59">
        <v>54.545454545454497</v>
      </c>
      <c r="AA47" s="59">
        <v>45.454545454545503</v>
      </c>
      <c r="AB47" s="59">
        <v>36.363636363636402</v>
      </c>
      <c r="AC47" s="59">
        <v>38.636363636363598</v>
      </c>
      <c r="AD47" s="59">
        <v>25</v>
      </c>
      <c r="AE47" s="59">
        <v>29.545454545454501</v>
      </c>
    </row>
    <row r="48" spans="1:48" x14ac:dyDescent="0.25">
      <c r="A48" s="10" t="s">
        <v>2875</v>
      </c>
      <c r="B48" s="10">
        <v>71</v>
      </c>
      <c r="C48" s="10" t="s">
        <v>1964</v>
      </c>
      <c r="D48" s="10" t="s">
        <v>2876</v>
      </c>
      <c r="E48" s="53">
        <v>52</v>
      </c>
      <c r="F48" s="53">
        <v>56</v>
      </c>
      <c r="G48" s="53">
        <v>53</v>
      </c>
      <c r="H48" s="53">
        <v>42</v>
      </c>
      <c r="I48" s="53">
        <v>47</v>
      </c>
      <c r="J48" s="53">
        <v>43</v>
      </c>
      <c r="K48" s="53">
        <v>51</v>
      </c>
      <c r="L48" s="53">
        <v>55</v>
      </c>
      <c r="M48" s="53">
        <v>50</v>
      </c>
      <c r="N48" s="53">
        <v>39</v>
      </c>
      <c r="O48" s="53">
        <v>39</v>
      </c>
      <c r="P48" s="53">
        <v>39</v>
      </c>
      <c r="Q48" s="54">
        <v>26.760563380281699</v>
      </c>
      <c r="R48" s="54">
        <v>21.126760563380302</v>
      </c>
      <c r="S48" s="54">
        <v>25.352112676056301</v>
      </c>
      <c r="T48" s="54">
        <v>40.845070422535201</v>
      </c>
      <c r="U48" s="54">
        <v>33.802816901408399</v>
      </c>
      <c r="V48" s="54">
        <v>39.436619718309899</v>
      </c>
      <c r="W48" s="54">
        <v>28.169014084507001</v>
      </c>
      <c r="X48" s="54">
        <v>22.5352112676056</v>
      </c>
      <c r="Y48" s="54">
        <v>29.577464788732399</v>
      </c>
      <c r="Z48" s="54">
        <v>45.0704225352113</v>
      </c>
      <c r="AA48" s="54">
        <v>45.0704225352113</v>
      </c>
      <c r="AB48" s="54">
        <v>45.0704225352113</v>
      </c>
      <c r="AC48" s="54">
        <v>35.2112676056338</v>
      </c>
      <c r="AD48" s="54">
        <v>30.633802816901401</v>
      </c>
      <c r="AE48" s="54">
        <v>34.8591549295775</v>
      </c>
    </row>
    <row r="49" spans="1:31" x14ac:dyDescent="0.25">
      <c r="A49" s="10" t="s">
        <v>2877</v>
      </c>
      <c r="B49" s="10">
        <v>69</v>
      </c>
      <c r="C49" s="10" t="s">
        <v>1964</v>
      </c>
      <c r="D49" s="10" t="s">
        <v>2876</v>
      </c>
      <c r="E49" s="53">
        <v>57</v>
      </c>
      <c r="F49" s="53">
        <v>63</v>
      </c>
      <c r="G49" s="53">
        <v>58</v>
      </c>
      <c r="H49" s="53">
        <v>43</v>
      </c>
      <c r="I49" s="53">
        <v>51</v>
      </c>
      <c r="J49" s="53">
        <v>47</v>
      </c>
      <c r="K49" s="53">
        <v>52</v>
      </c>
      <c r="L49" s="53">
        <v>60</v>
      </c>
      <c r="M49" s="53">
        <v>55</v>
      </c>
      <c r="N49" s="53">
        <v>38</v>
      </c>
      <c r="O49" s="53">
        <v>44</v>
      </c>
      <c r="P49" s="53">
        <v>45</v>
      </c>
      <c r="Q49" s="54">
        <v>17.3913043478261</v>
      </c>
      <c r="R49" s="54">
        <v>8.6956521739130395</v>
      </c>
      <c r="S49" s="54">
        <v>15.9420289855072</v>
      </c>
      <c r="T49" s="54">
        <v>37.681159420289902</v>
      </c>
      <c r="U49" s="54">
        <v>26.086956521739101</v>
      </c>
      <c r="V49" s="54">
        <v>31.884057971014499</v>
      </c>
      <c r="W49" s="54">
        <v>24.6376811594203</v>
      </c>
      <c r="X49" s="54">
        <v>13.0434782608696</v>
      </c>
      <c r="Y49" s="54">
        <v>20.289855072463801</v>
      </c>
      <c r="Z49" s="54">
        <v>44.927536231884098</v>
      </c>
      <c r="AA49" s="54">
        <v>36.231884057971001</v>
      </c>
      <c r="AB49" s="54">
        <v>34.7826086956522</v>
      </c>
      <c r="AC49" s="54">
        <v>31.159420289855099</v>
      </c>
      <c r="AD49" s="54">
        <v>21.014492753623198</v>
      </c>
      <c r="AE49" s="54">
        <v>25.7246376811594</v>
      </c>
    </row>
    <row r="50" spans="1:31" x14ac:dyDescent="0.25">
      <c r="A50" s="10" t="s">
        <v>70</v>
      </c>
      <c r="B50" s="10">
        <v>85</v>
      </c>
      <c r="C50" s="10" t="s">
        <v>1964</v>
      </c>
      <c r="D50" s="10" t="s">
        <v>2876</v>
      </c>
      <c r="E50" s="53">
        <v>65</v>
      </c>
      <c r="F50" s="53">
        <v>72</v>
      </c>
      <c r="G50" s="53">
        <v>68</v>
      </c>
      <c r="H50" s="53">
        <v>60</v>
      </c>
      <c r="I50" s="53">
        <v>62</v>
      </c>
      <c r="J50" s="53">
        <v>55</v>
      </c>
      <c r="K50" s="53">
        <v>73</v>
      </c>
      <c r="L50" s="53">
        <v>76</v>
      </c>
      <c r="M50" s="53">
        <v>72</v>
      </c>
      <c r="N50" s="53">
        <v>55</v>
      </c>
      <c r="O50" s="53">
        <v>60</v>
      </c>
      <c r="P50" s="53">
        <v>54</v>
      </c>
      <c r="Q50" s="54">
        <v>23.529411764705898</v>
      </c>
      <c r="R50" s="54">
        <v>15.294117647058799</v>
      </c>
      <c r="S50" s="54">
        <v>20</v>
      </c>
      <c r="T50" s="54">
        <v>29.411764705882401</v>
      </c>
      <c r="U50" s="54">
        <v>27.0588235294118</v>
      </c>
      <c r="V50" s="54">
        <v>35.294117647058798</v>
      </c>
      <c r="W50" s="54">
        <v>14.117647058823501</v>
      </c>
      <c r="X50" s="54">
        <v>10.588235294117601</v>
      </c>
      <c r="Y50" s="54">
        <v>15.294117647058799</v>
      </c>
      <c r="Z50" s="54">
        <v>35.294117647058798</v>
      </c>
      <c r="AA50" s="54">
        <v>29.411764705882401</v>
      </c>
      <c r="AB50" s="54">
        <v>36.470588235294102</v>
      </c>
      <c r="AC50" s="54">
        <v>25.588235294117599</v>
      </c>
      <c r="AD50" s="54">
        <v>20.588235294117599</v>
      </c>
      <c r="AE50" s="54">
        <v>26.764705882352899</v>
      </c>
    </row>
    <row r="51" spans="1:31" x14ac:dyDescent="0.25">
      <c r="A51" s="10" t="s">
        <v>2094</v>
      </c>
      <c r="B51" s="10">
        <v>102</v>
      </c>
      <c r="C51" s="10" t="s">
        <v>1964</v>
      </c>
      <c r="D51" s="10" t="s">
        <v>2876</v>
      </c>
      <c r="E51" s="53">
        <v>79</v>
      </c>
      <c r="F51" s="53">
        <v>92</v>
      </c>
      <c r="G51" s="53">
        <v>79</v>
      </c>
      <c r="H51" s="53">
        <v>61</v>
      </c>
      <c r="I51" s="53">
        <v>69</v>
      </c>
      <c r="J51" s="53">
        <v>64</v>
      </c>
      <c r="K51" s="53">
        <v>68</v>
      </c>
      <c r="L51" s="53">
        <v>79</v>
      </c>
      <c r="M51" s="53">
        <v>68</v>
      </c>
      <c r="N51" s="53">
        <v>54</v>
      </c>
      <c r="O51" s="53">
        <v>62</v>
      </c>
      <c r="P51" s="53">
        <v>61</v>
      </c>
      <c r="Q51" s="54">
        <v>22.5490196078431</v>
      </c>
      <c r="R51" s="54">
        <v>9.8039215686274499</v>
      </c>
      <c r="S51" s="54">
        <v>22.5490196078431</v>
      </c>
      <c r="T51" s="54">
        <v>40.196078431372499</v>
      </c>
      <c r="U51" s="54">
        <v>32.352941176470601</v>
      </c>
      <c r="V51" s="54">
        <v>37.254901960784302</v>
      </c>
      <c r="W51" s="54">
        <v>33.3333333333333</v>
      </c>
      <c r="X51" s="54">
        <v>22.5490196078431</v>
      </c>
      <c r="Y51" s="54">
        <v>33.3333333333333</v>
      </c>
      <c r="Z51" s="54">
        <v>47.058823529411796</v>
      </c>
      <c r="AA51" s="54">
        <v>39.2156862745098</v>
      </c>
      <c r="AB51" s="54">
        <v>40.196078431372499</v>
      </c>
      <c r="AC51" s="54">
        <v>35.7843137254902</v>
      </c>
      <c r="AD51" s="54">
        <v>25.980392156862699</v>
      </c>
      <c r="AE51" s="54">
        <v>33.3333333333333</v>
      </c>
    </row>
    <row r="52" spans="1:31" x14ac:dyDescent="0.25">
      <c r="A52" s="10" t="s">
        <v>2096</v>
      </c>
      <c r="B52" s="10">
        <v>5</v>
      </c>
      <c r="C52" s="10" t="s">
        <v>1964</v>
      </c>
      <c r="D52" s="10" t="s">
        <v>2876</v>
      </c>
      <c r="E52" s="53">
        <v>4</v>
      </c>
      <c r="F52" s="53">
        <v>4</v>
      </c>
      <c r="G52" s="53">
        <v>4</v>
      </c>
      <c r="H52" s="53">
        <v>1</v>
      </c>
      <c r="I52" s="53">
        <v>3</v>
      </c>
      <c r="J52" s="53">
        <v>3</v>
      </c>
      <c r="K52" s="53">
        <v>2</v>
      </c>
      <c r="L52" s="53">
        <v>2</v>
      </c>
      <c r="M52" s="53">
        <v>2</v>
      </c>
      <c r="N52" s="53">
        <v>2</v>
      </c>
      <c r="O52" s="53">
        <v>2</v>
      </c>
      <c r="P52" s="53">
        <v>2</v>
      </c>
      <c r="Q52" s="54">
        <v>20</v>
      </c>
      <c r="R52" s="54">
        <v>20</v>
      </c>
      <c r="S52" s="54">
        <v>20</v>
      </c>
      <c r="T52" s="54">
        <v>80</v>
      </c>
      <c r="U52" s="54">
        <v>40</v>
      </c>
      <c r="V52" s="54">
        <v>40</v>
      </c>
      <c r="W52" s="54">
        <v>60</v>
      </c>
      <c r="X52" s="54">
        <v>60</v>
      </c>
      <c r="Y52" s="54">
        <v>60</v>
      </c>
      <c r="Z52" s="54">
        <v>60</v>
      </c>
      <c r="AA52" s="54">
        <v>60</v>
      </c>
      <c r="AB52" s="54">
        <v>60</v>
      </c>
      <c r="AC52" s="54">
        <v>55</v>
      </c>
      <c r="AD52" s="54">
        <v>45</v>
      </c>
      <c r="AE52" s="54">
        <v>45</v>
      </c>
    </row>
    <row r="53" spans="1:31" x14ac:dyDescent="0.25">
      <c r="A53" s="10" t="s">
        <v>2879</v>
      </c>
      <c r="B53" s="10">
        <v>28</v>
      </c>
      <c r="C53" s="10" t="s">
        <v>1964</v>
      </c>
      <c r="D53" s="10" t="s">
        <v>2876</v>
      </c>
      <c r="E53" s="53">
        <v>23</v>
      </c>
      <c r="F53" s="53">
        <v>25</v>
      </c>
      <c r="G53" s="53">
        <v>23</v>
      </c>
      <c r="H53" s="53">
        <v>19</v>
      </c>
      <c r="I53" s="53">
        <v>19</v>
      </c>
      <c r="J53" s="53">
        <v>15</v>
      </c>
      <c r="K53" s="53">
        <v>26</v>
      </c>
      <c r="L53" s="53">
        <v>26</v>
      </c>
      <c r="M53" s="53">
        <v>26</v>
      </c>
      <c r="N53" s="53">
        <v>12</v>
      </c>
      <c r="O53" s="53">
        <v>16</v>
      </c>
      <c r="P53" s="53">
        <v>13</v>
      </c>
      <c r="Q53" s="54">
        <v>17.8571428571429</v>
      </c>
      <c r="R53" s="54">
        <v>10.714285714285699</v>
      </c>
      <c r="S53" s="54">
        <v>17.8571428571429</v>
      </c>
      <c r="T53" s="54">
        <v>32.142857142857103</v>
      </c>
      <c r="U53" s="54">
        <v>32.142857142857103</v>
      </c>
      <c r="V53" s="54">
        <v>46.428571428571402</v>
      </c>
      <c r="W53" s="54">
        <v>7.1428571428571397</v>
      </c>
      <c r="X53" s="54">
        <v>7.1428571428571397</v>
      </c>
      <c r="Y53" s="54">
        <v>7.1428571428571397</v>
      </c>
      <c r="Z53" s="54">
        <v>57.142857142857103</v>
      </c>
      <c r="AA53" s="54">
        <v>42.857142857142897</v>
      </c>
      <c r="AB53" s="54">
        <v>53.571428571428598</v>
      </c>
      <c r="AC53" s="54">
        <v>28.571428571428601</v>
      </c>
      <c r="AD53" s="54">
        <v>23.214285714285701</v>
      </c>
      <c r="AE53" s="54">
        <v>31.25</v>
      </c>
    </row>
    <row r="54" spans="1:31" x14ac:dyDescent="0.25">
      <c r="A54" s="10" t="s">
        <v>2880</v>
      </c>
      <c r="B54" s="10">
        <v>8</v>
      </c>
      <c r="C54" s="10" t="s">
        <v>1964</v>
      </c>
      <c r="D54" s="10" t="s">
        <v>2876</v>
      </c>
      <c r="E54" s="53">
        <v>7</v>
      </c>
      <c r="F54" s="53">
        <v>7</v>
      </c>
      <c r="G54" s="53">
        <v>7</v>
      </c>
      <c r="H54" s="53">
        <v>5</v>
      </c>
      <c r="I54" s="53">
        <v>4</v>
      </c>
      <c r="J54" s="53">
        <v>4</v>
      </c>
      <c r="K54" s="53">
        <v>5</v>
      </c>
      <c r="L54" s="53">
        <v>6</v>
      </c>
      <c r="M54" s="53">
        <v>6</v>
      </c>
      <c r="N54" s="53">
        <v>3</v>
      </c>
      <c r="O54" s="53">
        <v>5</v>
      </c>
      <c r="P54" s="53">
        <v>3</v>
      </c>
      <c r="Q54" s="54">
        <v>12.5</v>
      </c>
      <c r="R54" s="54">
        <v>12.5</v>
      </c>
      <c r="S54" s="54">
        <v>12.5</v>
      </c>
      <c r="T54" s="54">
        <v>37.5</v>
      </c>
      <c r="U54" s="54">
        <v>50</v>
      </c>
      <c r="V54" s="54">
        <v>50</v>
      </c>
      <c r="W54" s="54">
        <v>37.5</v>
      </c>
      <c r="X54" s="54">
        <v>25</v>
      </c>
      <c r="Y54" s="54">
        <v>25</v>
      </c>
      <c r="Z54" s="54">
        <v>62.5</v>
      </c>
      <c r="AA54" s="54">
        <v>37.5</v>
      </c>
      <c r="AB54" s="54">
        <v>62.5</v>
      </c>
      <c r="AC54" s="54">
        <v>37.5</v>
      </c>
      <c r="AD54" s="54">
        <v>31.25</v>
      </c>
      <c r="AE54" s="54">
        <v>37.5</v>
      </c>
    </row>
    <row r="55" spans="1:31" x14ac:dyDescent="0.25">
      <c r="A55" s="10" t="s">
        <v>2881</v>
      </c>
      <c r="B55" s="10">
        <v>37</v>
      </c>
      <c r="C55" s="10" t="s">
        <v>1964</v>
      </c>
      <c r="D55" s="10" t="s">
        <v>2876</v>
      </c>
      <c r="E55" s="53">
        <v>27</v>
      </c>
      <c r="F55" s="53">
        <v>30</v>
      </c>
      <c r="G55" s="53">
        <v>30</v>
      </c>
      <c r="H55" s="53">
        <v>26</v>
      </c>
      <c r="I55" s="53">
        <v>30</v>
      </c>
      <c r="J55" s="53">
        <v>28</v>
      </c>
      <c r="K55" s="53">
        <v>31</v>
      </c>
      <c r="L55" s="53">
        <v>33</v>
      </c>
      <c r="M55" s="53">
        <v>30</v>
      </c>
      <c r="N55" s="53">
        <v>29</v>
      </c>
      <c r="O55" s="53">
        <v>31</v>
      </c>
      <c r="P55" s="53">
        <v>30</v>
      </c>
      <c r="Q55" s="54">
        <v>27.027027027027</v>
      </c>
      <c r="R55" s="54">
        <v>18.918918918918902</v>
      </c>
      <c r="S55" s="54">
        <v>18.918918918918902</v>
      </c>
      <c r="T55" s="54">
        <v>29.729729729729701</v>
      </c>
      <c r="U55" s="54">
        <v>18.918918918918902</v>
      </c>
      <c r="V55" s="54">
        <v>24.324324324324301</v>
      </c>
      <c r="W55" s="54">
        <v>16.2162162162162</v>
      </c>
      <c r="X55" s="54">
        <v>10.8108108108108</v>
      </c>
      <c r="Y55" s="54">
        <v>18.918918918918902</v>
      </c>
      <c r="Z55" s="54">
        <v>21.6216216216216</v>
      </c>
      <c r="AA55" s="54">
        <v>16.2162162162162</v>
      </c>
      <c r="AB55" s="54">
        <v>18.918918918918902</v>
      </c>
      <c r="AC55" s="54">
        <v>23.648648648648599</v>
      </c>
      <c r="AD55" s="54">
        <v>16.2162162162162</v>
      </c>
      <c r="AE55" s="54">
        <v>20.270270270270299</v>
      </c>
    </row>
    <row r="56" spans="1:31" x14ac:dyDescent="0.25">
      <c r="A56" s="10" t="s">
        <v>2882</v>
      </c>
      <c r="B56" s="10">
        <v>10</v>
      </c>
      <c r="C56" s="10" t="s">
        <v>1964</v>
      </c>
      <c r="D56" s="10" t="s">
        <v>2876</v>
      </c>
      <c r="E56" s="53">
        <v>5</v>
      </c>
      <c r="F56" s="53">
        <v>7</v>
      </c>
      <c r="G56" s="53">
        <v>5</v>
      </c>
      <c r="H56" s="53">
        <v>7</v>
      </c>
      <c r="I56" s="53">
        <v>7</v>
      </c>
      <c r="J56" s="53">
        <v>6</v>
      </c>
      <c r="K56" s="53">
        <v>9</v>
      </c>
      <c r="L56" s="53">
        <v>9</v>
      </c>
      <c r="M56" s="53">
        <v>9</v>
      </c>
      <c r="N56" s="53">
        <v>8</v>
      </c>
      <c r="O56" s="53">
        <v>5</v>
      </c>
      <c r="P56" s="53">
        <v>5</v>
      </c>
      <c r="Q56" s="54">
        <v>50</v>
      </c>
      <c r="R56" s="54">
        <v>30</v>
      </c>
      <c r="S56" s="54">
        <v>50</v>
      </c>
      <c r="T56" s="54">
        <v>30</v>
      </c>
      <c r="U56" s="54">
        <v>30</v>
      </c>
      <c r="V56" s="54">
        <v>40</v>
      </c>
      <c r="W56" s="54">
        <v>10</v>
      </c>
      <c r="X56" s="54">
        <v>10</v>
      </c>
      <c r="Y56" s="54">
        <v>10</v>
      </c>
      <c r="Z56" s="54">
        <v>20</v>
      </c>
      <c r="AA56" s="54">
        <v>50</v>
      </c>
      <c r="AB56" s="54">
        <v>50</v>
      </c>
      <c r="AC56" s="54">
        <v>27.5</v>
      </c>
      <c r="AD56" s="54">
        <v>30</v>
      </c>
      <c r="AE56" s="54">
        <v>37.5</v>
      </c>
    </row>
    <row r="57" spans="1:31" s="53" customFormat="1" x14ac:dyDescent="0.25">
      <c r="A57" s="56" t="s">
        <v>2878</v>
      </c>
      <c r="B57" s="56">
        <v>12</v>
      </c>
      <c r="C57" s="56" t="s">
        <v>1964</v>
      </c>
      <c r="D57" s="56" t="s">
        <v>2876</v>
      </c>
      <c r="E57" s="56">
        <v>4</v>
      </c>
      <c r="F57" s="56">
        <v>6</v>
      </c>
      <c r="G57" s="56">
        <v>5</v>
      </c>
      <c r="H57" s="56">
        <v>4</v>
      </c>
      <c r="I57" s="56">
        <v>5</v>
      </c>
      <c r="J57" s="56">
        <v>6</v>
      </c>
      <c r="K57" s="56">
        <v>8</v>
      </c>
      <c r="L57" s="56">
        <v>9</v>
      </c>
      <c r="M57" s="56">
        <v>7</v>
      </c>
      <c r="N57" s="56">
        <v>5</v>
      </c>
      <c r="O57" s="56">
        <v>6</v>
      </c>
      <c r="P57" s="56">
        <v>6</v>
      </c>
      <c r="Q57" s="57">
        <v>66.6666666666667</v>
      </c>
      <c r="R57" s="57">
        <v>50</v>
      </c>
      <c r="S57" s="57">
        <v>58.3</v>
      </c>
      <c r="T57" s="57">
        <v>67</v>
      </c>
      <c r="U57" s="57">
        <v>58.3</v>
      </c>
      <c r="V57" s="57">
        <v>50</v>
      </c>
      <c r="W57" s="57">
        <v>33.3333333333333</v>
      </c>
      <c r="X57" s="57">
        <v>25</v>
      </c>
      <c r="Y57" s="57">
        <v>41.7</v>
      </c>
      <c r="Z57" s="57">
        <v>58.3333333333333</v>
      </c>
      <c r="AA57" s="57">
        <v>50</v>
      </c>
      <c r="AB57" s="57">
        <v>50</v>
      </c>
      <c r="AC57" s="57">
        <v>58.3333333333333</v>
      </c>
      <c r="AD57" s="57">
        <v>45.8</v>
      </c>
      <c r="AE57" s="57">
        <v>50</v>
      </c>
    </row>
    <row r="58" spans="1:31" x14ac:dyDescent="0.25">
      <c r="A58" s="10" t="s">
        <v>29</v>
      </c>
      <c r="B58" s="10">
        <v>65</v>
      </c>
      <c r="C58" s="10" t="s">
        <v>1968</v>
      </c>
      <c r="D58" s="10" t="s">
        <v>2872</v>
      </c>
      <c r="E58" s="53">
        <v>38</v>
      </c>
      <c r="F58" s="53">
        <v>47</v>
      </c>
      <c r="G58" s="53">
        <v>44</v>
      </c>
      <c r="H58" s="53">
        <v>13</v>
      </c>
      <c r="I58" s="53">
        <v>23</v>
      </c>
      <c r="J58" s="53">
        <v>18</v>
      </c>
      <c r="K58" s="53">
        <v>24</v>
      </c>
      <c r="L58" s="53">
        <v>31</v>
      </c>
      <c r="M58" s="53">
        <v>29</v>
      </c>
      <c r="N58" s="53">
        <v>10</v>
      </c>
      <c r="O58" s="53">
        <v>25</v>
      </c>
      <c r="P58" s="53">
        <v>18</v>
      </c>
      <c r="Q58" s="54">
        <v>41.538461538461497</v>
      </c>
      <c r="R58" s="54">
        <v>27.692307692307701</v>
      </c>
      <c r="S58" s="54">
        <v>32.307692307692299</v>
      </c>
      <c r="T58" s="54">
        <v>80</v>
      </c>
      <c r="U58" s="54">
        <v>64.615384615384599</v>
      </c>
      <c r="V58" s="54">
        <v>72.307692307692307</v>
      </c>
      <c r="W58" s="54">
        <v>63.076923076923102</v>
      </c>
      <c r="X58" s="54">
        <v>52.307692307692299</v>
      </c>
      <c r="Y58" s="54">
        <v>55.384615384615401</v>
      </c>
      <c r="Z58" s="54">
        <v>84.615384615384599</v>
      </c>
      <c r="AA58" s="54">
        <v>61.538461538461497</v>
      </c>
      <c r="AB58" s="54">
        <v>72.307692307692307</v>
      </c>
      <c r="AC58" s="54">
        <v>67.307692307692307</v>
      </c>
      <c r="AD58" s="54">
        <v>51.538461538461497</v>
      </c>
      <c r="AE58" s="54">
        <v>58.076923076923102</v>
      </c>
    </row>
    <row r="59" spans="1:31" x14ac:dyDescent="0.25">
      <c r="A59" s="10" t="s">
        <v>27</v>
      </c>
      <c r="B59" s="10">
        <v>64</v>
      </c>
      <c r="C59" s="10" t="s">
        <v>1968</v>
      </c>
      <c r="D59" s="10" t="s">
        <v>2872</v>
      </c>
      <c r="E59" s="53">
        <v>30</v>
      </c>
      <c r="F59" s="53">
        <v>44</v>
      </c>
      <c r="G59" s="53">
        <v>39</v>
      </c>
      <c r="H59" s="53">
        <v>17</v>
      </c>
      <c r="I59" s="53">
        <v>26</v>
      </c>
      <c r="J59" s="53">
        <v>20</v>
      </c>
      <c r="K59" s="53">
        <v>26</v>
      </c>
      <c r="L59" s="53">
        <v>26</v>
      </c>
      <c r="M59" s="53">
        <v>24</v>
      </c>
      <c r="N59" s="53">
        <v>13</v>
      </c>
      <c r="O59" s="53">
        <v>27</v>
      </c>
      <c r="P59" s="53">
        <v>17</v>
      </c>
      <c r="Q59" s="54">
        <v>53.125</v>
      </c>
      <c r="R59" s="54">
        <v>31.25</v>
      </c>
      <c r="S59" s="54">
        <v>39.0625</v>
      </c>
      <c r="T59" s="54">
        <v>73.4375</v>
      </c>
      <c r="U59" s="54">
        <v>59.375</v>
      </c>
      <c r="V59" s="54">
        <v>68.75</v>
      </c>
      <c r="W59" s="54">
        <v>59.375</v>
      </c>
      <c r="X59" s="54">
        <v>59.375</v>
      </c>
      <c r="Y59" s="54">
        <v>62.5</v>
      </c>
      <c r="Z59" s="54">
        <v>79.6875</v>
      </c>
      <c r="AA59" s="54">
        <v>57.8125</v>
      </c>
      <c r="AB59" s="54">
        <v>73.4375</v>
      </c>
      <c r="AC59" s="54">
        <v>66.40625</v>
      </c>
      <c r="AD59" s="54">
        <v>51.953125</v>
      </c>
      <c r="AE59" s="54">
        <v>60.9375</v>
      </c>
    </row>
    <row r="60" spans="1:31" x14ac:dyDescent="0.25">
      <c r="A60" s="10" t="s">
        <v>28</v>
      </c>
      <c r="B60" s="10">
        <v>63</v>
      </c>
      <c r="C60" s="10" t="s">
        <v>1968</v>
      </c>
      <c r="D60" s="10" t="s">
        <v>2872</v>
      </c>
      <c r="E60" s="53">
        <v>38</v>
      </c>
      <c r="F60" s="53">
        <v>46</v>
      </c>
      <c r="G60" s="53">
        <v>44</v>
      </c>
      <c r="H60" s="53">
        <v>22</v>
      </c>
      <c r="I60" s="53">
        <v>30</v>
      </c>
      <c r="J60" s="53">
        <v>19</v>
      </c>
      <c r="K60" s="53">
        <v>36</v>
      </c>
      <c r="L60" s="53">
        <v>39</v>
      </c>
      <c r="M60" s="53">
        <v>34</v>
      </c>
      <c r="N60" s="53">
        <v>21</v>
      </c>
      <c r="O60" s="53">
        <v>30</v>
      </c>
      <c r="P60" s="53">
        <v>22</v>
      </c>
      <c r="Q60" s="54">
        <v>39.682539682539698</v>
      </c>
      <c r="R60" s="54">
        <v>26.984126984126998</v>
      </c>
      <c r="S60" s="54">
        <v>30.158730158730201</v>
      </c>
      <c r="T60" s="54">
        <v>65.079365079365104</v>
      </c>
      <c r="U60" s="54">
        <v>52.380952380952401</v>
      </c>
      <c r="V60" s="54">
        <v>69.841269841269806</v>
      </c>
      <c r="W60" s="54">
        <v>42.857142857142897</v>
      </c>
      <c r="X60" s="54">
        <v>38.095238095238102</v>
      </c>
      <c r="Y60" s="54">
        <v>46.031746031746003</v>
      </c>
      <c r="Z60" s="54">
        <v>66.6666666666667</v>
      </c>
      <c r="AA60" s="54">
        <v>52.380952380952401</v>
      </c>
      <c r="AB60" s="54">
        <v>65.079365079365104</v>
      </c>
      <c r="AC60" s="54">
        <v>53.571428571428598</v>
      </c>
      <c r="AD60" s="54">
        <v>42.460317460317498</v>
      </c>
      <c r="AE60" s="54">
        <v>52.7777777777778</v>
      </c>
    </row>
    <row r="61" spans="1:31" x14ac:dyDescent="0.25">
      <c r="A61" s="10" t="s">
        <v>24</v>
      </c>
      <c r="B61" s="10">
        <v>50</v>
      </c>
      <c r="C61" s="10" t="s">
        <v>1968</v>
      </c>
      <c r="D61" s="10" t="s">
        <v>2872</v>
      </c>
      <c r="E61" s="53">
        <v>17</v>
      </c>
      <c r="F61" s="53">
        <v>25</v>
      </c>
      <c r="G61" s="53">
        <v>25</v>
      </c>
      <c r="H61" s="53">
        <v>11</v>
      </c>
      <c r="I61" s="53">
        <v>18</v>
      </c>
      <c r="J61" s="53">
        <v>15</v>
      </c>
      <c r="K61" s="53">
        <v>11</v>
      </c>
      <c r="L61" s="53">
        <v>20</v>
      </c>
      <c r="M61" s="53">
        <v>20</v>
      </c>
      <c r="N61" s="53">
        <v>5</v>
      </c>
      <c r="O61" s="53">
        <v>16</v>
      </c>
      <c r="P61" s="53">
        <v>17</v>
      </c>
      <c r="Q61" s="54">
        <v>66</v>
      </c>
      <c r="R61" s="54">
        <v>50</v>
      </c>
      <c r="S61" s="54">
        <v>50</v>
      </c>
      <c r="T61" s="54">
        <v>78</v>
      </c>
      <c r="U61" s="54">
        <v>64</v>
      </c>
      <c r="V61" s="54">
        <v>70</v>
      </c>
      <c r="W61" s="54">
        <v>78</v>
      </c>
      <c r="X61" s="54">
        <v>60</v>
      </c>
      <c r="Y61" s="54">
        <v>60</v>
      </c>
      <c r="Z61" s="54">
        <v>90</v>
      </c>
      <c r="AA61" s="54">
        <v>68</v>
      </c>
      <c r="AB61" s="54">
        <v>66</v>
      </c>
      <c r="AC61" s="54">
        <v>78</v>
      </c>
      <c r="AD61" s="54">
        <v>60.5</v>
      </c>
      <c r="AE61" s="54">
        <v>61.5</v>
      </c>
    </row>
    <row r="62" spans="1:31" x14ac:dyDescent="0.25">
      <c r="A62" s="10" t="s">
        <v>26</v>
      </c>
      <c r="B62" s="10">
        <v>15</v>
      </c>
      <c r="C62" s="10" t="s">
        <v>1968</v>
      </c>
      <c r="D62" s="10" t="s">
        <v>2872</v>
      </c>
      <c r="E62" s="53">
        <v>12</v>
      </c>
      <c r="F62" s="53">
        <v>13</v>
      </c>
      <c r="G62" s="53">
        <v>12</v>
      </c>
      <c r="H62" s="53">
        <v>1</v>
      </c>
      <c r="I62" s="53">
        <v>1</v>
      </c>
      <c r="J62" s="53">
        <v>0</v>
      </c>
      <c r="K62" s="53">
        <v>6</v>
      </c>
      <c r="L62" s="53">
        <v>9</v>
      </c>
      <c r="M62" s="53">
        <v>8</v>
      </c>
      <c r="N62" s="53">
        <v>0</v>
      </c>
      <c r="O62" s="53">
        <v>2</v>
      </c>
      <c r="P62" s="53">
        <v>0</v>
      </c>
      <c r="Q62" s="54">
        <v>20</v>
      </c>
      <c r="R62" s="54">
        <v>13.3333333333333</v>
      </c>
      <c r="S62" s="54">
        <v>20</v>
      </c>
      <c r="T62" s="54">
        <v>93.3333333333333</v>
      </c>
      <c r="U62" s="54">
        <v>93.3333333333333</v>
      </c>
      <c r="V62" s="54">
        <v>100</v>
      </c>
      <c r="W62" s="54">
        <v>60</v>
      </c>
      <c r="X62" s="54">
        <v>40</v>
      </c>
      <c r="Y62" s="54">
        <v>46.6666666666667</v>
      </c>
      <c r="Z62" s="54">
        <v>100</v>
      </c>
      <c r="AA62" s="54">
        <v>86.6666666666667</v>
      </c>
      <c r="AB62" s="54">
        <v>100</v>
      </c>
      <c r="AC62" s="54">
        <v>68.3333333333333</v>
      </c>
      <c r="AD62" s="54">
        <v>58.3333333333333</v>
      </c>
      <c r="AE62" s="54">
        <v>66.6666666666667</v>
      </c>
    </row>
    <row r="63" spans="1:31" x14ac:dyDescent="0.25">
      <c r="A63" s="10" t="s">
        <v>25</v>
      </c>
      <c r="B63" s="10">
        <v>127</v>
      </c>
      <c r="C63" s="10" t="s">
        <v>1968</v>
      </c>
      <c r="D63" s="10" t="s">
        <v>2872</v>
      </c>
      <c r="E63" s="53">
        <v>77</v>
      </c>
      <c r="F63" s="53">
        <v>99</v>
      </c>
      <c r="G63" s="53">
        <v>90</v>
      </c>
      <c r="H63" s="53">
        <v>40</v>
      </c>
      <c r="I63" s="53">
        <v>60</v>
      </c>
      <c r="J63" s="53">
        <v>42</v>
      </c>
      <c r="K63" s="53">
        <v>69</v>
      </c>
      <c r="L63" s="53">
        <v>67</v>
      </c>
      <c r="M63" s="53">
        <v>59</v>
      </c>
      <c r="N63" s="53">
        <v>39</v>
      </c>
      <c r="O63" s="53">
        <v>64</v>
      </c>
      <c r="P63" s="53">
        <v>40</v>
      </c>
      <c r="Q63" s="54">
        <v>39.370078740157503</v>
      </c>
      <c r="R63" s="54">
        <v>22.0472440944882</v>
      </c>
      <c r="S63" s="54">
        <v>29.133858267716501</v>
      </c>
      <c r="T63" s="54">
        <v>68.503937007874001</v>
      </c>
      <c r="U63" s="54">
        <v>52.755905511811001</v>
      </c>
      <c r="V63" s="54">
        <v>66.929133858267704</v>
      </c>
      <c r="W63" s="54">
        <v>45.669291338582703</v>
      </c>
      <c r="X63" s="54">
        <v>47.244094488188999</v>
      </c>
      <c r="Y63" s="54">
        <v>53.543307086614199</v>
      </c>
      <c r="Z63" s="54">
        <v>69.291338582677199</v>
      </c>
      <c r="AA63" s="54">
        <v>49.606299212598401</v>
      </c>
      <c r="AB63" s="54">
        <v>68.503937007874001</v>
      </c>
      <c r="AC63" s="54">
        <v>55.708661417322801</v>
      </c>
      <c r="AD63" s="54">
        <v>42.913385826771702</v>
      </c>
      <c r="AE63" s="54">
        <v>54.527559055118097</v>
      </c>
    </row>
    <row r="64" spans="1:31" x14ac:dyDescent="0.25">
      <c r="A64" s="10" t="s">
        <v>21</v>
      </c>
      <c r="B64" s="10">
        <v>17</v>
      </c>
      <c r="C64" s="10" t="s">
        <v>1968</v>
      </c>
      <c r="D64" s="10" t="s">
        <v>2872</v>
      </c>
      <c r="E64" s="53">
        <v>4</v>
      </c>
      <c r="F64" s="53">
        <v>6</v>
      </c>
      <c r="G64" s="53">
        <v>7</v>
      </c>
      <c r="H64" s="53">
        <v>2</v>
      </c>
      <c r="I64" s="53">
        <v>3</v>
      </c>
      <c r="J64" s="53">
        <v>2</v>
      </c>
      <c r="K64" s="53">
        <v>1</v>
      </c>
      <c r="L64" s="53">
        <v>4</v>
      </c>
      <c r="M64" s="53">
        <v>3</v>
      </c>
      <c r="N64" s="53">
        <v>0</v>
      </c>
      <c r="O64" s="53">
        <v>4</v>
      </c>
      <c r="P64" s="53">
        <v>2</v>
      </c>
      <c r="Q64" s="54">
        <v>76.470588235294102</v>
      </c>
      <c r="R64" s="54">
        <v>64.705882352941202</v>
      </c>
      <c r="S64" s="54">
        <v>58.823529411764703</v>
      </c>
      <c r="T64" s="54">
        <v>88.235294117647101</v>
      </c>
      <c r="U64" s="54">
        <v>82.352941176470594</v>
      </c>
      <c r="V64" s="54">
        <v>88.235294117647101</v>
      </c>
      <c r="W64" s="54">
        <v>94.117647058823493</v>
      </c>
      <c r="X64" s="54">
        <v>76.470588235294102</v>
      </c>
      <c r="Y64" s="54">
        <v>82.352941176470594</v>
      </c>
      <c r="Z64" s="54">
        <v>100</v>
      </c>
      <c r="AA64" s="54">
        <v>76.470588235294102</v>
      </c>
      <c r="AB64" s="54">
        <v>88.235294117647101</v>
      </c>
      <c r="AC64" s="54">
        <v>89.705882352941202</v>
      </c>
      <c r="AD64" s="54">
        <v>75</v>
      </c>
      <c r="AE64" s="54">
        <v>79.411764705882305</v>
      </c>
    </row>
    <row r="65" spans="1:31" x14ac:dyDescent="0.25">
      <c r="A65" s="10" t="s">
        <v>23</v>
      </c>
      <c r="B65" s="10">
        <v>106</v>
      </c>
      <c r="C65" s="10" t="s">
        <v>1968</v>
      </c>
      <c r="D65" s="10" t="s">
        <v>2872</v>
      </c>
      <c r="E65" s="53">
        <v>73</v>
      </c>
      <c r="F65" s="53">
        <v>87</v>
      </c>
      <c r="G65" s="53">
        <v>80</v>
      </c>
      <c r="H65" s="53">
        <v>38</v>
      </c>
      <c r="I65" s="53">
        <v>59</v>
      </c>
      <c r="J65" s="53">
        <v>44</v>
      </c>
      <c r="K65" s="53">
        <v>71</v>
      </c>
      <c r="L65" s="53">
        <v>75</v>
      </c>
      <c r="M65" s="53">
        <v>71</v>
      </c>
      <c r="N65" s="53">
        <v>36</v>
      </c>
      <c r="O65" s="53">
        <v>62</v>
      </c>
      <c r="P65" s="53">
        <v>41</v>
      </c>
      <c r="Q65" s="54">
        <v>31.132075471698101</v>
      </c>
      <c r="R65" s="54">
        <v>17.924528301886799</v>
      </c>
      <c r="S65" s="54">
        <v>24.528301886792502</v>
      </c>
      <c r="T65" s="54">
        <v>64.150943396226396</v>
      </c>
      <c r="U65" s="54">
        <v>44.339622641509401</v>
      </c>
      <c r="V65" s="54">
        <v>58.490566037735803</v>
      </c>
      <c r="W65" s="54">
        <v>33.018867924528301</v>
      </c>
      <c r="X65" s="54">
        <v>29.245283018867902</v>
      </c>
      <c r="Y65" s="54">
        <v>33.018867924528301</v>
      </c>
      <c r="Z65" s="54">
        <v>66.037735849056602</v>
      </c>
      <c r="AA65" s="54">
        <v>41.509433962264197</v>
      </c>
      <c r="AB65" s="54">
        <v>61.320754716981099</v>
      </c>
      <c r="AC65" s="54">
        <v>48.584905660377402</v>
      </c>
      <c r="AD65" s="54">
        <v>33.254716981132098</v>
      </c>
      <c r="AE65" s="54">
        <v>44.339622641509401</v>
      </c>
    </row>
    <row r="66" spans="1:31" x14ac:dyDescent="0.25">
      <c r="A66" s="10" t="s">
        <v>22</v>
      </c>
      <c r="B66" s="10">
        <v>69</v>
      </c>
      <c r="C66" s="10" t="s">
        <v>1968</v>
      </c>
      <c r="D66" s="10" t="s">
        <v>2872</v>
      </c>
      <c r="E66" s="53">
        <v>29</v>
      </c>
      <c r="F66" s="53">
        <v>44</v>
      </c>
      <c r="G66" s="53">
        <v>40</v>
      </c>
      <c r="H66" s="53">
        <v>12</v>
      </c>
      <c r="I66" s="53">
        <v>17</v>
      </c>
      <c r="J66" s="53">
        <v>11</v>
      </c>
      <c r="K66" s="53">
        <v>14</v>
      </c>
      <c r="L66" s="53">
        <v>17</v>
      </c>
      <c r="M66" s="53">
        <v>13</v>
      </c>
      <c r="N66" s="53">
        <v>8</v>
      </c>
      <c r="O66" s="53">
        <v>16</v>
      </c>
      <c r="P66" s="53">
        <v>14</v>
      </c>
      <c r="Q66" s="54">
        <v>57.971014492753604</v>
      </c>
      <c r="R66" s="54">
        <v>36.231884057971001</v>
      </c>
      <c r="S66" s="54">
        <v>42.028985507246396</v>
      </c>
      <c r="T66" s="54">
        <v>82.608695652173907</v>
      </c>
      <c r="U66" s="54">
        <v>75.362318840579704</v>
      </c>
      <c r="V66" s="54">
        <v>84.057971014492793</v>
      </c>
      <c r="W66" s="54">
        <v>79.710144927536206</v>
      </c>
      <c r="X66" s="54">
        <v>75.362318840579704</v>
      </c>
      <c r="Y66" s="54">
        <v>81.159420289855106</v>
      </c>
      <c r="Z66" s="54">
        <v>88.405797101449295</v>
      </c>
      <c r="AA66" s="54">
        <v>76.811594202898505</v>
      </c>
      <c r="AB66" s="54">
        <v>79.710144927536206</v>
      </c>
      <c r="AC66" s="54">
        <v>77.173913043478294</v>
      </c>
      <c r="AD66" s="54">
        <v>65.942028985507307</v>
      </c>
      <c r="AE66" s="54">
        <v>71.739130434782595</v>
      </c>
    </row>
    <row r="67" spans="1:31" x14ac:dyDescent="0.25">
      <c r="A67" s="10" t="s">
        <v>1967</v>
      </c>
      <c r="B67" s="10">
        <v>51</v>
      </c>
      <c r="C67" s="10" t="s">
        <v>1968</v>
      </c>
      <c r="D67" s="10" t="s">
        <v>2872</v>
      </c>
      <c r="E67" s="53">
        <v>20</v>
      </c>
      <c r="F67" s="53">
        <v>29</v>
      </c>
      <c r="G67" s="53">
        <v>24</v>
      </c>
      <c r="H67" s="53">
        <v>10</v>
      </c>
      <c r="I67" s="53">
        <v>19</v>
      </c>
      <c r="J67" s="53">
        <v>13</v>
      </c>
      <c r="K67" s="53">
        <v>16</v>
      </c>
      <c r="L67" s="53">
        <v>18</v>
      </c>
      <c r="M67" s="53">
        <v>12</v>
      </c>
      <c r="N67" s="53">
        <v>13</v>
      </c>
      <c r="O67" s="53">
        <v>21</v>
      </c>
      <c r="P67" s="53">
        <v>13</v>
      </c>
      <c r="Q67" s="54">
        <v>60.7843137254902</v>
      </c>
      <c r="R67" s="54">
        <v>43.137254901960802</v>
      </c>
      <c r="S67" s="54">
        <v>52.941176470588204</v>
      </c>
      <c r="T67" s="54">
        <v>80.392156862745097</v>
      </c>
      <c r="U67" s="54">
        <v>62.745098039215698</v>
      </c>
      <c r="V67" s="54">
        <v>74.509803921568604</v>
      </c>
      <c r="W67" s="54">
        <v>68.627450980392197</v>
      </c>
      <c r="X67" s="54">
        <v>64.705882352941202</v>
      </c>
      <c r="Y67" s="54">
        <v>76.470588235294102</v>
      </c>
      <c r="Z67" s="54">
        <v>74.509803921568604</v>
      </c>
      <c r="AA67" s="54">
        <v>58.823529411764703</v>
      </c>
      <c r="AB67" s="54">
        <v>74.509803921568604</v>
      </c>
      <c r="AC67" s="54">
        <v>71.078431372549005</v>
      </c>
      <c r="AD67" s="54">
        <v>57.352941176470601</v>
      </c>
      <c r="AE67" s="54">
        <v>69.607843137254903</v>
      </c>
    </row>
    <row r="68" spans="1:31" x14ac:dyDescent="0.25">
      <c r="A68" s="10" t="s">
        <v>34</v>
      </c>
      <c r="B68" s="10">
        <v>30</v>
      </c>
      <c r="C68" s="10" t="s">
        <v>1968</v>
      </c>
      <c r="D68" s="10" t="s">
        <v>2872</v>
      </c>
      <c r="E68" s="53">
        <v>11</v>
      </c>
      <c r="F68" s="53">
        <v>17</v>
      </c>
      <c r="G68" s="53">
        <v>13</v>
      </c>
      <c r="H68" s="53">
        <v>6</v>
      </c>
      <c r="I68" s="53">
        <v>10</v>
      </c>
      <c r="J68" s="53">
        <v>6</v>
      </c>
      <c r="K68" s="53">
        <v>8</v>
      </c>
      <c r="L68" s="53">
        <v>8</v>
      </c>
      <c r="M68" s="53">
        <v>5</v>
      </c>
      <c r="N68" s="53">
        <v>7</v>
      </c>
      <c r="O68" s="53">
        <v>11</v>
      </c>
      <c r="P68" s="53">
        <v>6</v>
      </c>
      <c r="Q68" s="54">
        <v>63.3333333333333</v>
      </c>
      <c r="R68" s="54">
        <v>43.3333333333333</v>
      </c>
      <c r="S68" s="54">
        <v>56.6666666666667</v>
      </c>
      <c r="T68" s="54">
        <v>80</v>
      </c>
      <c r="U68" s="54">
        <v>66.6666666666667</v>
      </c>
      <c r="V68" s="54">
        <v>80</v>
      </c>
      <c r="W68" s="54">
        <v>73.3333333333333</v>
      </c>
      <c r="X68" s="54">
        <v>73.3333333333333</v>
      </c>
      <c r="Y68" s="54">
        <v>83.3333333333333</v>
      </c>
      <c r="Z68" s="54">
        <v>76.6666666666667</v>
      </c>
      <c r="AA68" s="54">
        <v>63.3333333333333</v>
      </c>
      <c r="AB68" s="54">
        <v>80</v>
      </c>
      <c r="AC68" s="54">
        <v>73.3333333333333</v>
      </c>
      <c r="AD68" s="54">
        <v>61.6666666666667</v>
      </c>
      <c r="AE68" s="54">
        <v>75</v>
      </c>
    </row>
    <row r="69" spans="1:31" x14ac:dyDescent="0.25">
      <c r="A69" s="10" t="s">
        <v>35</v>
      </c>
      <c r="B69" s="10">
        <v>19</v>
      </c>
      <c r="C69" s="10" t="s">
        <v>1968</v>
      </c>
      <c r="D69" s="10" t="s">
        <v>2872</v>
      </c>
      <c r="E69" s="53">
        <v>8</v>
      </c>
      <c r="F69" s="53">
        <v>11</v>
      </c>
      <c r="G69" s="53">
        <v>10</v>
      </c>
      <c r="H69" s="53">
        <v>3</v>
      </c>
      <c r="I69" s="53">
        <v>8</v>
      </c>
      <c r="J69" s="53">
        <v>6</v>
      </c>
      <c r="K69" s="53">
        <v>6</v>
      </c>
      <c r="L69" s="53">
        <v>8</v>
      </c>
      <c r="M69" s="53">
        <v>6</v>
      </c>
      <c r="N69" s="53">
        <v>4</v>
      </c>
      <c r="O69" s="53">
        <v>9</v>
      </c>
      <c r="P69" s="53">
        <v>6</v>
      </c>
      <c r="Q69" s="54">
        <v>57.894736842105303</v>
      </c>
      <c r="R69" s="54">
        <v>42.105263157894697</v>
      </c>
      <c r="S69" s="54">
        <v>47.368421052631597</v>
      </c>
      <c r="T69" s="54">
        <v>84.210526315789494</v>
      </c>
      <c r="U69" s="54">
        <v>57.894736842105303</v>
      </c>
      <c r="V69" s="54">
        <v>68.421052631578902</v>
      </c>
      <c r="W69" s="54">
        <v>68.421052631578902</v>
      </c>
      <c r="X69" s="54">
        <v>57.894736842105303</v>
      </c>
      <c r="Y69" s="54">
        <v>68.421052631578902</v>
      </c>
      <c r="Z69" s="54">
        <v>78.947368421052602</v>
      </c>
      <c r="AA69" s="54">
        <v>52.631578947368403</v>
      </c>
      <c r="AB69" s="54">
        <v>68.421052631578902</v>
      </c>
      <c r="AC69" s="54">
        <v>72.368421052631604</v>
      </c>
      <c r="AD69" s="54">
        <v>52.631578947368403</v>
      </c>
      <c r="AE69" s="54">
        <v>63.157894736842103</v>
      </c>
    </row>
    <row r="70" spans="1:31" x14ac:dyDescent="0.25">
      <c r="A70" s="10" t="s">
        <v>2873</v>
      </c>
      <c r="B70" s="10">
        <v>67</v>
      </c>
      <c r="C70" s="10" t="s">
        <v>1968</v>
      </c>
      <c r="D70" s="10" t="s">
        <v>2872</v>
      </c>
      <c r="E70" s="53">
        <v>28</v>
      </c>
      <c r="F70" s="53">
        <v>39</v>
      </c>
      <c r="G70" s="53">
        <v>39</v>
      </c>
      <c r="H70" s="53">
        <v>16</v>
      </c>
      <c r="I70" s="53">
        <v>26</v>
      </c>
      <c r="J70" s="53">
        <v>20</v>
      </c>
      <c r="K70" s="53">
        <v>21</v>
      </c>
      <c r="L70" s="53">
        <v>30</v>
      </c>
      <c r="M70" s="53">
        <v>30</v>
      </c>
      <c r="N70" s="53">
        <v>7</v>
      </c>
      <c r="O70" s="53">
        <v>27</v>
      </c>
      <c r="P70" s="53">
        <v>22</v>
      </c>
      <c r="Q70" s="54">
        <v>58.208955223880601</v>
      </c>
      <c r="R70" s="54">
        <v>41.791044776119399</v>
      </c>
      <c r="S70" s="54">
        <v>41.791044776119399</v>
      </c>
      <c r="T70" s="54">
        <v>76.119402985074601</v>
      </c>
      <c r="U70" s="54">
        <v>61.194029850746297</v>
      </c>
      <c r="V70" s="54">
        <v>70.149253731343293</v>
      </c>
      <c r="W70" s="54">
        <v>68.656716417910403</v>
      </c>
      <c r="X70" s="54">
        <v>55.223880597014897</v>
      </c>
      <c r="Y70" s="54">
        <v>55.223880597014897</v>
      </c>
      <c r="Z70" s="54">
        <v>89.552238805970106</v>
      </c>
      <c r="AA70" s="54">
        <v>59.701492537313399</v>
      </c>
      <c r="AB70" s="54">
        <v>67.164179104477597</v>
      </c>
      <c r="AC70" s="54">
        <v>73.134328358209004</v>
      </c>
      <c r="AD70" s="54">
        <v>54.477611940298502</v>
      </c>
      <c r="AE70" s="54">
        <v>58.582089552238799</v>
      </c>
    </row>
    <row r="71" spans="1:31" x14ac:dyDescent="0.25">
      <c r="A71" s="10" t="s">
        <v>2874</v>
      </c>
      <c r="B71" s="10">
        <v>58</v>
      </c>
      <c r="C71" s="10" t="s">
        <v>1968</v>
      </c>
      <c r="D71" s="10" t="s">
        <v>2872</v>
      </c>
      <c r="E71" s="53">
        <v>29</v>
      </c>
      <c r="F71" s="53">
        <v>42</v>
      </c>
      <c r="G71" s="53">
        <v>38</v>
      </c>
      <c r="H71" s="53">
        <v>12</v>
      </c>
      <c r="I71" s="53">
        <v>22</v>
      </c>
      <c r="J71" s="53">
        <v>15</v>
      </c>
      <c r="K71" s="53">
        <v>25</v>
      </c>
      <c r="L71" s="53">
        <v>28</v>
      </c>
      <c r="M71" s="53">
        <v>22</v>
      </c>
      <c r="N71" s="53">
        <v>8</v>
      </c>
      <c r="O71" s="53">
        <v>21</v>
      </c>
      <c r="P71" s="53">
        <v>13</v>
      </c>
      <c r="Q71" s="54">
        <v>50</v>
      </c>
      <c r="R71" s="54">
        <v>27.586206896551701</v>
      </c>
      <c r="S71" s="54">
        <v>34.482758620689701</v>
      </c>
      <c r="T71" s="54">
        <v>79.310344827586206</v>
      </c>
      <c r="U71" s="54">
        <v>62.068965517241402</v>
      </c>
      <c r="V71" s="54">
        <v>74.137931034482804</v>
      </c>
      <c r="W71" s="54">
        <v>56.8965517241379</v>
      </c>
      <c r="X71" s="54">
        <v>51.724137931034498</v>
      </c>
      <c r="Y71" s="54">
        <v>62.068965517241402</v>
      </c>
      <c r="Z71" s="54">
        <v>86.2068965517241</v>
      </c>
      <c r="AA71" s="54">
        <v>63.7931034482759</v>
      </c>
      <c r="AB71" s="54">
        <v>77.586206896551701</v>
      </c>
      <c r="AC71" s="54">
        <v>68.103448275862107</v>
      </c>
      <c r="AD71" s="54">
        <v>51.2931034482759</v>
      </c>
      <c r="AE71" s="54">
        <v>62.068965517241402</v>
      </c>
    </row>
    <row r="72" spans="1:31" x14ac:dyDescent="0.25">
      <c r="A72" s="10" t="s">
        <v>17</v>
      </c>
      <c r="B72" s="10">
        <v>67</v>
      </c>
      <c r="C72" s="10" t="s">
        <v>1968</v>
      </c>
      <c r="D72" s="10" t="s">
        <v>2872</v>
      </c>
      <c r="E72" s="53">
        <v>49</v>
      </c>
      <c r="F72" s="53">
        <v>56</v>
      </c>
      <c r="G72" s="53">
        <v>50</v>
      </c>
      <c r="H72" s="53">
        <v>24</v>
      </c>
      <c r="I72" s="53">
        <v>31</v>
      </c>
      <c r="J72" s="53">
        <v>22</v>
      </c>
      <c r="K72" s="53">
        <v>40</v>
      </c>
      <c r="L72" s="53">
        <v>38</v>
      </c>
      <c r="M72" s="53">
        <v>35</v>
      </c>
      <c r="N72" s="53">
        <v>29</v>
      </c>
      <c r="O72" s="53">
        <v>34</v>
      </c>
      <c r="P72" s="53">
        <v>22</v>
      </c>
      <c r="Q72" s="54">
        <v>26.865671641791</v>
      </c>
      <c r="R72" s="54">
        <v>16.417910447761201</v>
      </c>
      <c r="S72" s="54">
        <v>25.373134328358201</v>
      </c>
      <c r="T72" s="54">
        <v>64.179104477611901</v>
      </c>
      <c r="U72" s="54">
        <v>53.731343283582099</v>
      </c>
      <c r="V72" s="54">
        <v>67.164179104477597</v>
      </c>
      <c r="W72" s="54">
        <v>40.298507462686601</v>
      </c>
      <c r="X72" s="54">
        <v>43.283582089552198</v>
      </c>
      <c r="Y72" s="54">
        <v>47.761194029850699</v>
      </c>
      <c r="Z72" s="54">
        <v>56.716417910447802</v>
      </c>
      <c r="AA72" s="54">
        <v>49.253731343283597</v>
      </c>
      <c r="AB72" s="54">
        <v>67.164179104477597</v>
      </c>
      <c r="AC72" s="54">
        <v>47.014925373134297</v>
      </c>
      <c r="AD72" s="54">
        <v>40.671641791044799</v>
      </c>
      <c r="AE72" s="54">
        <v>51.865671641791003</v>
      </c>
    </row>
    <row r="73" spans="1:31" x14ac:dyDescent="0.25">
      <c r="A73" s="10" t="s">
        <v>19</v>
      </c>
      <c r="B73" s="10">
        <v>23</v>
      </c>
      <c r="C73" s="10" t="s">
        <v>1968</v>
      </c>
      <c r="D73" s="10" t="s">
        <v>2872</v>
      </c>
      <c r="E73" s="53">
        <v>9</v>
      </c>
      <c r="F73" s="53">
        <v>10</v>
      </c>
      <c r="G73" s="53">
        <v>11</v>
      </c>
      <c r="H73" s="53">
        <v>5</v>
      </c>
      <c r="I73" s="53">
        <v>8</v>
      </c>
      <c r="J73" s="53">
        <v>7</v>
      </c>
      <c r="K73" s="53">
        <v>4</v>
      </c>
      <c r="L73" s="53">
        <v>7</v>
      </c>
      <c r="M73" s="53">
        <v>6</v>
      </c>
      <c r="N73" s="53">
        <v>3</v>
      </c>
      <c r="O73" s="53">
        <v>8</v>
      </c>
      <c r="P73" s="53">
        <v>8</v>
      </c>
      <c r="Q73" s="54">
        <v>60.869565217391298</v>
      </c>
      <c r="R73" s="54">
        <v>56.521739130434803</v>
      </c>
      <c r="S73" s="54">
        <v>52.173913043478301</v>
      </c>
      <c r="T73" s="54">
        <v>78.260869565217405</v>
      </c>
      <c r="U73" s="54">
        <v>65.2173913043478</v>
      </c>
      <c r="V73" s="54">
        <v>69.565217391304301</v>
      </c>
      <c r="W73" s="54">
        <v>82.608695652173907</v>
      </c>
      <c r="X73" s="54">
        <v>69.565217391304301</v>
      </c>
      <c r="Y73" s="54">
        <v>73.913043478260903</v>
      </c>
      <c r="Z73" s="54">
        <v>86.956521739130395</v>
      </c>
      <c r="AA73" s="54">
        <v>65.2173913043478</v>
      </c>
      <c r="AB73" s="54">
        <v>65.2173913043478</v>
      </c>
      <c r="AC73" s="54">
        <v>77.173913043478294</v>
      </c>
      <c r="AD73" s="54">
        <v>64.130434782608702</v>
      </c>
      <c r="AE73" s="54">
        <v>65.2173913043478</v>
      </c>
    </row>
    <row r="74" spans="1:31" x14ac:dyDescent="0.25">
      <c r="A74" s="10" t="s">
        <v>20</v>
      </c>
      <c r="B74" s="10">
        <v>85</v>
      </c>
      <c r="C74" s="10" t="s">
        <v>1968</v>
      </c>
      <c r="D74" s="10" t="s">
        <v>2872</v>
      </c>
      <c r="E74" s="53">
        <v>60</v>
      </c>
      <c r="F74" s="53">
        <v>71</v>
      </c>
      <c r="G74" s="53">
        <v>67</v>
      </c>
      <c r="H74" s="53">
        <v>33</v>
      </c>
      <c r="I74" s="53">
        <v>42</v>
      </c>
      <c r="J74" s="53">
        <v>27</v>
      </c>
      <c r="K74" s="53">
        <v>51</v>
      </c>
      <c r="L74" s="53">
        <v>54</v>
      </c>
      <c r="M74" s="53">
        <v>48</v>
      </c>
      <c r="N74" s="53">
        <v>25</v>
      </c>
      <c r="O74" s="53">
        <v>44</v>
      </c>
      <c r="P74" s="53">
        <v>26</v>
      </c>
      <c r="Q74" s="54">
        <v>29.411764705882401</v>
      </c>
      <c r="R74" s="54">
        <v>16.470588235294102</v>
      </c>
      <c r="S74" s="54">
        <v>21.176470588235301</v>
      </c>
      <c r="T74" s="54">
        <v>61.176470588235297</v>
      </c>
      <c r="U74" s="54">
        <v>50.588235294117602</v>
      </c>
      <c r="V74" s="54">
        <v>68.235294117647101</v>
      </c>
      <c r="W74" s="54">
        <v>40</v>
      </c>
      <c r="X74" s="54">
        <v>36.470588235294102</v>
      </c>
      <c r="Y74" s="54">
        <v>43.529411764705898</v>
      </c>
      <c r="Z74" s="54">
        <v>70.588235294117695</v>
      </c>
      <c r="AA74" s="54">
        <v>48.235294117647101</v>
      </c>
      <c r="AB74" s="54">
        <v>69.411764705882305</v>
      </c>
      <c r="AC74" s="54">
        <v>50.294117647058798</v>
      </c>
      <c r="AD74" s="54">
        <v>37.941176470588204</v>
      </c>
      <c r="AE74" s="54">
        <v>50.588235294117602</v>
      </c>
    </row>
    <row r="75" spans="1:31" x14ac:dyDescent="0.25">
      <c r="A75" s="10" t="s">
        <v>2093</v>
      </c>
      <c r="B75" s="10">
        <v>66</v>
      </c>
      <c r="C75" s="10" t="s">
        <v>1968</v>
      </c>
      <c r="D75" s="10" t="s">
        <v>2872</v>
      </c>
      <c r="E75" s="53">
        <v>33</v>
      </c>
      <c r="F75" s="53">
        <v>46</v>
      </c>
      <c r="G75" s="53">
        <v>40</v>
      </c>
      <c r="H75" s="53">
        <v>12</v>
      </c>
      <c r="I75" s="53">
        <v>23</v>
      </c>
      <c r="J75" s="53">
        <v>18</v>
      </c>
      <c r="K75" s="53">
        <v>28</v>
      </c>
      <c r="L75" s="53">
        <v>26</v>
      </c>
      <c r="M75" s="53">
        <v>24</v>
      </c>
      <c r="N75" s="53">
        <v>15</v>
      </c>
      <c r="O75" s="53">
        <v>26</v>
      </c>
      <c r="P75" s="53">
        <v>17</v>
      </c>
      <c r="Q75" s="54">
        <v>50</v>
      </c>
      <c r="R75" s="54">
        <v>30.303030303030301</v>
      </c>
      <c r="S75" s="54">
        <v>39.393939393939398</v>
      </c>
      <c r="T75" s="54">
        <v>81.818181818181799</v>
      </c>
      <c r="U75" s="54">
        <v>65.151515151515198</v>
      </c>
      <c r="V75" s="54">
        <v>72.727272727272705</v>
      </c>
      <c r="W75" s="54">
        <v>57.575757575757599</v>
      </c>
      <c r="X75" s="54">
        <v>60.606060606060602</v>
      </c>
      <c r="Y75" s="54">
        <v>63.636363636363598</v>
      </c>
      <c r="Z75" s="54">
        <v>77.272727272727295</v>
      </c>
      <c r="AA75" s="54">
        <v>60.606060606060602</v>
      </c>
      <c r="AB75" s="54">
        <v>74.242424242424207</v>
      </c>
      <c r="AC75" s="54">
        <v>66.6666666666667</v>
      </c>
      <c r="AD75" s="54">
        <v>54.1666666666667</v>
      </c>
      <c r="AE75" s="54">
        <v>62.5</v>
      </c>
    </row>
    <row r="76" spans="1:31" x14ac:dyDescent="0.25">
      <c r="A76" s="10" t="s">
        <v>32</v>
      </c>
      <c r="B76" s="10">
        <v>64</v>
      </c>
      <c r="C76" s="10" t="s">
        <v>1968</v>
      </c>
      <c r="D76" s="10" t="s">
        <v>2872</v>
      </c>
      <c r="E76" s="53">
        <v>20</v>
      </c>
      <c r="F76" s="53">
        <v>33</v>
      </c>
      <c r="G76" s="53">
        <v>33</v>
      </c>
      <c r="H76" s="53">
        <v>12</v>
      </c>
      <c r="I76" s="53">
        <v>20</v>
      </c>
      <c r="J76" s="53">
        <v>16</v>
      </c>
      <c r="K76" s="53">
        <v>12</v>
      </c>
      <c r="L76" s="53">
        <v>21</v>
      </c>
      <c r="M76" s="53">
        <v>21</v>
      </c>
      <c r="N76" s="53">
        <v>5</v>
      </c>
      <c r="O76" s="53">
        <v>20</v>
      </c>
      <c r="P76" s="53">
        <v>19</v>
      </c>
      <c r="Q76" s="54">
        <v>68.75</v>
      </c>
      <c r="R76" s="54">
        <v>48.4375</v>
      </c>
      <c r="S76" s="54">
        <v>48.4375</v>
      </c>
      <c r="T76" s="54">
        <v>81.25</v>
      </c>
      <c r="U76" s="54">
        <v>68.75</v>
      </c>
      <c r="V76" s="54">
        <v>75</v>
      </c>
      <c r="W76" s="54">
        <v>81.25</v>
      </c>
      <c r="X76" s="54">
        <v>67.1875</v>
      </c>
      <c r="Y76" s="54">
        <v>67.1875</v>
      </c>
      <c r="Z76" s="54">
        <v>92.1875</v>
      </c>
      <c r="AA76" s="54">
        <v>68.75</v>
      </c>
      <c r="AB76" s="54">
        <v>70.3125</v>
      </c>
      <c r="AC76" s="54">
        <v>80.859375</v>
      </c>
      <c r="AD76" s="54">
        <v>63.28125</v>
      </c>
      <c r="AE76" s="54">
        <v>65.234375</v>
      </c>
    </row>
    <row r="77" spans="1:31" x14ac:dyDescent="0.25">
      <c r="A77" s="10" t="s">
        <v>30</v>
      </c>
      <c r="B77" s="10">
        <v>75</v>
      </c>
      <c r="C77" s="10" t="s">
        <v>1968</v>
      </c>
      <c r="D77" s="10" t="s">
        <v>2872</v>
      </c>
      <c r="E77" s="53">
        <v>52</v>
      </c>
      <c r="F77" s="53">
        <v>63</v>
      </c>
      <c r="G77" s="53">
        <v>57</v>
      </c>
      <c r="H77" s="53">
        <v>22</v>
      </c>
      <c r="I77" s="53">
        <v>36</v>
      </c>
      <c r="J77" s="53">
        <v>25</v>
      </c>
      <c r="K77" s="53">
        <v>47</v>
      </c>
      <c r="L77" s="53">
        <v>47</v>
      </c>
      <c r="M77" s="53">
        <v>42</v>
      </c>
      <c r="N77" s="53">
        <v>25</v>
      </c>
      <c r="O77" s="53">
        <v>38</v>
      </c>
      <c r="P77" s="53">
        <v>24</v>
      </c>
      <c r="Q77" s="54">
        <v>30.6666666666667</v>
      </c>
      <c r="R77" s="54">
        <v>16</v>
      </c>
      <c r="S77" s="54">
        <v>24</v>
      </c>
      <c r="T77" s="54">
        <v>70.6666666666667</v>
      </c>
      <c r="U77" s="54">
        <v>52</v>
      </c>
      <c r="V77" s="54">
        <v>66.6666666666667</v>
      </c>
      <c r="W77" s="54">
        <v>37.3333333333333</v>
      </c>
      <c r="X77" s="54">
        <v>37.3333333333333</v>
      </c>
      <c r="Y77" s="54">
        <v>44</v>
      </c>
      <c r="Z77" s="54">
        <v>66.6666666666667</v>
      </c>
      <c r="AA77" s="54">
        <v>49.3333333333333</v>
      </c>
      <c r="AB77" s="54">
        <v>68</v>
      </c>
      <c r="AC77" s="54">
        <v>51.3333333333333</v>
      </c>
      <c r="AD77" s="54">
        <v>38.6666666666667</v>
      </c>
      <c r="AE77" s="54">
        <v>50.6666666666667</v>
      </c>
    </row>
    <row r="78" spans="1:31" x14ac:dyDescent="0.25">
      <c r="A78" s="18" t="s">
        <v>31</v>
      </c>
      <c r="B78" s="18">
        <v>53</v>
      </c>
      <c r="C78" s="18" t="s">
        <v>1968</v>
      </c>
      <c r="D78" s="18" t="s">
        <v>2872</v>
      </c>
      <c r="E78" s="56">
        <v>34</v>
      </c>
      <c r="F78" s="56">
        <v>41</v>
      </c>
      <c r="G78" s="56">
        <v>37</v>
      </c>
      <c r="H78" s="56">
        <v>18</v>
      </c>
      <c r="I78" s="56">
        <v>23</v>
      </c>
      <c r="J78" s="56">
        <v>16</v>
      </c>
      <c r="K78" s="56">
        <v>27</v>
      </c>
      <c r="L78" s="56">
        <v>28</v>
      </c>
      <c r="M78" s="56">
        <v>24</v>
      </c>
      <c r="N78" s="56">
        <v>14</v>
      </c>
      <c r="O78" s="56">
        <v>24</v>
      </c>
      <c r="P78" s="56">
        <v>14</v>
      </c>
      <c r="Q78" s="57">
        <v>35.849056603773597</v>
      </c>
      <c r="R78" s="57">
        <v>22.641509433962302</v>
      </c>
      <c r="S78" s="57">
        <v>30.188679245283002</v>
      </c>
      <c r="T78" s="57">
        <v>66.037735849056602</v>
      </c>
      <c r="U78" s="57">
        <v>56.603773584905703</v>
      </c>
      <c r="V78" s="57">
        <v>69.811320754717002</v>
      </c>
      <c r="W78" s="57">
        <v>49.056603773584897</v>
      </c>
      <c r="X78" s="57">
        <v>47.169811320754697</v>
      </c>
      <c r="Y78" s="57">
        <v>54.716981132075503</v>
      </c>
      <c r="Z78" s="57">
        <v>73.584905660377402</v>
      </c>
      <c r="AA78" s="57">
        <v>54.716981132075503</v>
      </c>
      <c r="AB78" s="57">
        <v>73.584905660377402</v>
      </c>
      <c r="AC78" s="57">
        <v>56.132075471698101</v>
      </c>
      <c r="AD78" s="57">
        <v>45.283018867924497</v>
      </c>
      <c r="AE78" s="57">
        <v>57.075471698113198</v>
      </c>
    </row>
    <row r="79" spans="1:31" x14ac:dyDescent="0.25">
      <c r="A79" s="10" t="s">
        <v>1966</v>
      </c>
      <c r="B79" s="10">
        <v>101</v>
      </c>
      <c r="C79" s="10" t="s">
        <v>1968</v>
      </c>
      <c r="D79" s="10" t="s">
        <v>2876</v>
      </c>
      <c r="E79" s="53">
        <v>43</v>
      </c>
      <c r="F79" s="53">
        <v>62</v>
      </c>
      <c r="G79" s="53">
        <v>58</v>
      </c>
      <c r="H79" s="53">
        <v>14</v>
      </c>
      <c r="I79" s="53">
        <v>20</v>
      </c>
      <c r="J79" s="53">
        <v>17</v>
      </c>
      <c r="K79" s="53">
        <v>28</v>
      </c>
      <c r="L79" s="53">
        <v>34</v>
      </c>
      <c r="M79" s="53">
        <v>31</v>
      </c>
      <c r="N79" s="53">
        <v>7</v>
      </c>
      <c r="O79" s="53">
        <v>25</v>
      </c>
      <c r="P79" s="53">
        <v>18</v>
      </c>
      <c r="Q79" s="54">
        <v>57.425742574257399</v>
      </c>
      <c r="R79" s="54">
        <v>38.613861386138602</v>
      </c>
      <c r="S79" s="54">
        <v>42.574257425742601</v>
      </c>
      <c r="T79" s="54">
        <v>86.138613861386105</v>
      </c>
      <c r="U79" s="54">
        <v>80.198019801980195</v>
      </c>
      <c r="V79" s="54">
        <v>83.1683168316832</v>
      </c>
      <c r="W79" s="54">
        <v>72.277227722772295</v>
      </c>
      <c r="X79" s="54">
        <v>66.3366336633663</v>
      </c>
      <c r="Y79" s="54">
        <v>69.306930693069305</v>
      </c>
      <c r="Z79" s="54">
        <v>93.069306930693102</v>
      </c>
      <c r="AA79" s="54">
        <v>75.247524752475201</v>
      </c>
      <c r="AB79" s="54">
        <v>82.178217821782198</v>
      </c>
      <c r="AC79" s="54">
        <v>77.227722772277204</v>
      </c>
      <c r="AD79" s="54">
        <v>65.099009900990097</v>
      </c>
      <c r="AE79" s="54">
        <v>69.306930693069305</v>
      </c>
    </row>
    <row r="80" spans="1:31" x14ac:dyDescent="0.25">
      <c r="A80" s="10" t="s">
        <v>65</v>
      </c>
      <c r="B80" s="10">
        <v>33</v>
      </c>
      <c r="C80" s="10" t="s">
        <v>1968</v>
      </c>
      <c r="D80" s="10" t="s">
        <v>2876</v>
      </c>
      <c r="E80" s="53">
        <v>9</v>
      </c>
      <c r="F80" s="53">
        <v>16</v>
      </c>
      <c r="G80" s="53">
        <v>12</v>
      </c>
      <c r="H80" s="53">
        <v>2</v>
      </c>
      <c r="I80" s="53">
        <v>0</v>
      </c>
      <c r="J80" s="53">
        <v>0</v>
      </c>
      <c r="K80" s="53">
        <v>1</v>
      </c>
      <c r="L80" s="53">
        <v>2</v>
      </c>
      <c r="M80" s="53">
        <v>1</v>
      </c>
      <c r="N80" s="53">
        <v>1</v>
      </c>
      <c r="O80" s="53">
        <v>2</v>
      </c>
      <c r="P80" s="53">
        <v>0</v>
      </c>
      <c r="Q80" s="54">
        <v>72.727272727272705</v>
      </c>
      <c r="R80" s="54">
        <v>51.515151515151501</v>
      </c>
      <c r="S80" s="54">
        <v>63.636363636363598</v>
      </c>
      <c r="T80" s="54">
        <v>93.939393939393895</v>
      </c>
      <c r="U80" s="54">
        <v>100</v>
      </c>
      <c r="V80" s="54">
        <v>100</v>
      </c>
      <c r="W80" s="54">
        <v>96.969696969696997</v>
      </c>
      <c r="X80" s="54">
        <v>93.939393939393895</v>
      </c>
      <c r="Y80" s="54">
        <v>96.969696969696997</v>
      </c>
      <c r="Z80" s="54">
        <v>96.969696969696997</v>
      </c>
      <c r="AA80" s="54">
        <v>93.939393939393895</v>
      </c>
      <c r="AB80" s="54">
        <v>100</v>
      </c>
      <c r="AC80" s="54">
        <v>90.151515151515198</v>
      </c>
      <c r="AD80" s="54">
        <v>84.848484848484802</v>
      </c>
      <c r="AE80" s="54">
        <v>90.151515151515198</v>
      </c>
    </row>
    <row r="81" spans="1:31" x14ac:dyDescent="0.25">
      <c r="A81" s="10" t="s">
        <v>67</v>
      </c>
      <c r="B81" s="10">
        <v>22</v>
      </c>
      <c r="C81" s="10" t="s">
        <v>1968</v>
      </c>
      <c r="D81" s="10" t="s">
        <v>2876</v>
      </c>
      <c r="E81" s="53">
        <v>2</v>
      </c>
      <c r="F81" s="53">
        <v>8</v>
      </c>
      <c r="G81" s="53">
        <v>3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0</v>
      </c>
      <c r="N81" s="53">
        <v>1</v>
      </c>
      <c r="O81" s="53">
        <v>2</v>
      </c>
      <c r="P81" s="53">
        <v>0</v>
      </c>
      <c r="Q81" s="54">
        <v>90.909090909090907</v>
      </c>
      <c r="R81" s="54">
        <v>63.636363636363598</v>
      </c>
      <c r="S81" s="54">
        <v>86.363636363636402</v>
      </c>
      <c r="T81" s="54">
        <v>100</v>
      </c>
      <c r="U81" s="54">
        <v>100</v>
      </c>
      <c r="V81" s="54">
        <v>100</v>
      </c>
      <c r="W81" s="54">
        <v>100</v>
      </c>
      <c r="X81" s="54">
        <v>100</v>
      </c>
      <c r="Y81" s="54">
        <v>100</v>
      </c>
      <c r="Z81" s="54">
        <v>95.454545454545496</v>
      </c>
      <c r="AA81" s="54">
        <v>90.909090909090907</v>
      </c>
      <c r="AB81" s="54">
        <v>100</v>
      </c>
      <c r="AC81" s="54">
        <v>96.590909090909093</v>
      </c>
      <c r="AD81" s="54">
        <v>88.636363636363598</v>
      </c>
      <c r="AE81" s="54">
        <v>96.590909090909093</v>
      </c>
    </row>
    <row r="82" spans="1:31" x14ac:dyDescent="0.25">
      <c r="A82" s="10" t="s">
        <v>66</v>
      </c>
      <c r="B82" s="10">
        <v>11</v>
      </c>
      <c r="C82" s="10" t="s">
        <v>1968</v>
      </c>
      <c r="D82" s="10" t="s">
        <v>2876</v>
      </c>
      <c r="E82" s="53">
        <v>7</v>
      </c>
      <c r="F82" s="53">
        <v>8</v>
      </c>
      <c r="G82" s="53">
        <v>9</v>
      </c>
      <c r="H82" s="53">
        <v>2</v>
      </c>
      <c r="I82" s="53">
        <v>0</v>
      </c>
      <c r="J82" s="53">
        <v>0</v>
      </c>
      <c r="K82" s="53">
        <v>1</v>
      </c>
      <c r="L82" s="53">
        <v>2</v>
      </c>
      <c r="M82" s="53">
        <v>1</v>
      </c>
      <c r="N82" s="53">
        <v>0</v>
      </c>
      <c r="O82" s="53">
        <v>0</v>
      </c>
      <c r="P82" s="53">
        <v>0</v>
      </c>
      <c r="Q82" s="54">
        <v>36.363636363636402</v>
      </c>
      <c r="R82" s="54">
        <v>27.272727272727298</v>
      </c>
      <c r="S82" s="54">
        <v>18.181818181818201</v>
      </c>
      <c r="T82" s="54">
        <v>81.818181818181799</v>
      </c>
      <c r="U82" s="54">
        <v>100</v>
      </c>
      <c r="V82" s="54">
        <v>100</v>
      </c>
      <c r="W82" s="54">
        <v>90.909090909090907</v>
      </c>
      <c r="X82" s="54">
        <v>81.818181818181799</v>
      </c>
      <c r="Y82" s="54">
        <v>90.909090909090907</v>
      </c>
      <c r="Z82" s="54">
        <v>100</v>
      </c>
      <c r="AA82" s="54">
        <v>100</v>
      </c>
      <c r="AB82" s="54">
        <v>100</v>
      </c>
      <c r="AC82" s="54">
        <v>77.272727272727295</v>
      </c>
      <c r="AD82" s="54">
        <v>77.272727272727295</v>
      </c>
      <c r="AE82" s="54">
        <v>77.272727272727295</v>
      </c>
    </row>
    <row r="83" spans="1:31" x14ac:dyDescent="0.25">
      <c r="A83" s="10" t="s">
        <v>69</v>
      </c>
      <c r="B83" s="10">
        <v>54</v>
      </c>
      <c r="C83" s="10" t="s">
        <v>1968</v>
      </c>
      <c r="D83" s="10" t="s">
        <v>2876</v>
      </c>
      <c r="E83" s="53">
        <v>29</v>
      </c>
      <c r="F83" s="53">
        <v>36</v>
      </c>
      <c r="G83" s="53">
        <v>36</v>
      </c>
      <c r="H83" s="53">
        <v>11</v>
      </c>
      <c r="I83" s="53">
        <v>16</v>
      </c>
      <c r="J83" s="53">
        <v>14</v>
      </c>
      <c r="K83" s="53">
        <v>20</v>
      </c>
      <c r="L83" s="53">
        <v>24</v>
      </c>
      <c r="M83" s="53">
        <v>24</v>
      </c>
      <c r="N83" s="53">
        <v>6</v>
      </c>
      <c r="O83" s="53">
        <v>20</v>
      </c>
      <c r="P83" s="53">
        <v>15</v>
      </c>
      <c r="Q83" s="54">
        <v>46.296296296296298</v>
      </c>
      <c r="R83" s="54">
        <v>33.3333333333333</v>
      </c>
      <c r="S83" s="54">
        <v>33.3333333333333</v>
      </c>
      <c r="T83" s="54">
        <v>79.629629629629605</v>
      </c>
      <c r="U83" s="54">
        <v>70.370370370370395</v>
      </c>
      <c r="V83" s="54">
        <v>74.074074074074105</v>
      </c>
      <c r="W83" s="54">
        <v>62.962962962962997</v>
      </c>
      <c r="X83" s="54">
        <v>55.5555555555556</v>
      </c>
      <c r="Y83" s="54">
        <v>55.5555555555556</v>
      </c>
      <c r="Z83" s="54">
        <v>88.8888888888889</v>
      </c>
      <c r="AA83" s="54">
        <v>62.962962962962997</v>
      </c>
      <c r="AB83" s="54">
        <v>72.2222222222222</v>
      </c>
      <c r="AC83" s="54">
        <v>69.4444444444444</v>
      </c>
      <c r="AD83" s="54">
        <v>55.5555555555556</v>
      </c>
      <c r="AE83" s="54">
        <v>58.796296296296298</v>
      </c>
    </row>
    <row r="84" spans="1:31" x14ac:dyDescent="0.25">
      <c r="A84" s="10" t="s">
        <v>68</v>
      </c>
      <c r="B84" s="10">
        <v>17</v>
      </c>
      <c r="C84" s="10" t="s">
        <v>1968</v>
      </c>
      <c r="D84" s="10" t="s">
        <v>2876</v>
      </c>
      <c r="E84" s="53">
        <v>6</v>
      </c>
      <c r="F84" s="53">
        <v>10</v>
      </c>
      <c r="G84" s="53">
        <v>10</v>
      </c>
      <c r="H84" s="53">
        <v>1</v>
      </c>
      <c r="I84" s="53">
        <v>4</v>
      </c>
      <c r="J84" s="53">
        <v>3</v>
      </c>
      <c r="K84" s="53">
        <v>7</v>
      </c>
      <c r="L84" s="53">
        <v>8</v>
      </c>
      <c r="M84" s="53">
        <v>6</v>
      </c>
      <c r="N84" s="53">
        <v>0</v>
      </c>
      <c r="O84" s="53">
        <v>3</v>
      </c>
      <c r="P84" s="53">
        <v>3</v>
      </c>
      <c r="Q84" s="54">
        <v>64.705882352941202</v>
      </c>
      <c r="R84" s="54">
        <v>41.176470588235297</v>
      </c>
      <c r="S84" s="54">
        <v>41.176470588235297</v>
      </c>
      <c r="T84" s="54">
        <v>94.117647058823493</v>
      </c>
      <c r="U84" s="54">
        <v>76.470588235294102</v>
      </c>
      <c r="V84" s="54">
        <v>82.352941176470594</v>
      </c>
      <c r="W84" s="54">
        <v>58.823529411764703</v>
      </c>
      <c r="X84" s="54">
        <v>52.941176470588204</v>
      </c>
      <c r="Y84" s="54">
        <v>64.705882352941202</v>
      </c>
      <c r="Z84" s="54">
        <v>100</v>
      </c>
      <c r="AA84" s="54">
        <v>82.352941176470594</v>
      </c>
      <c r="AB84" s="54">
        <v>82.352941176470594</v>
      </c>
      <c r="AC84" s="54">
        <v>79.411764705882305</v>
      </c>
      <c r="AD84" s="54">
        <v>63.235294117647101</v>
      </c>
      <c r="AE84" s="54">
        <v>67.647058823529406</v>
      </c>
    </row>
    <row r="85" spans="1:31" x14ac:dyDescent="0.25">
      <c r="A85" s="10" t="s">
        <v>1965</v>
      </c>
      <c r="B85" s="10">
        <v>97</v>
      </c>
      <c r="C85" s="10" t="s">
        <v>1968</v>
      </c>
      <c r="D85" s="10" t="s">
        <v>2876</v>
      </c>
      <c r="E85" s="53">
        <v>64</v>
      </c>
      <c r="F85" s="53">
        <v>73</v>
      </c>
      <c r="G85" s="53">
        <v>68</v>
      </c>
      <c r="H85" s="53">
        <v>39</v>
      </c>
      <c r="I85" s="53">
        <v>63</v>
      </c>
      <c r="J85" s="53">
        <v>46</v>
      </c>
      <c r="K85" s="53">
        <v>59</v>
      </c>
      <c r="L85" s="53">
        <v>63</v>
      </c>
      <c r="M85" s="53">
        <v>59</v>
      </c>
      <c r="N85" s="53">
        <v>36</v>
      </c>
      <c r="O85" s="53">
        <v>63</v>
      </c>
      <c r="P85" s="53">
        <v>44</v>
      </c>
      <c r="Q85" s="54">
        <v>34.020618556701002</v>
      </c>
      <c r="R85" s="54">
        <v>24.7422680412371</v>
      </c>
      <c r="S85" s="54">
        <v>29.8969072164948</v>
      </c>
      <c r="T85" s="54">
        <v>59.793814432989699</v>
      </c>
      <c r="U85" s="54">
        <v>35.051546391752602</v>
      </c>
      <c r="V85" s="54">
        <v>52.577319587628899</v>
      </c>
      <c r="W85" s="54">
        <v>39.175257731958801</v>
      </c>
      <c r="X85" s="54">
        <v>35.051546391752602</v>
      </c>
      <c r="Y85" s="54">
        <v>39.175257731958801</v>
      </c>
      <c r="Z85" s="54">
        <v>62.886597938144298</v>
      </c>
      <c r="AA85" s="54">
        <v>35.051546391752602</v>
      </c>
      <c r="AB85" s="54">
        <v>54.639175257731999</v>
      </c>
      <c r="AC85" s="54">
        <v>48.9690721649485</v>
      </c>
      <c r="AD85" s="54">
        <v>32.474226804123703</v>
      </c>
      <c r="AE85" s="54">
        <v>44.072164948453597</v>
      </c>
    </row>
    <row r="86" spans="1:31" x14ac:dyDescent="0.25">
      <c r="A86" s="10" t="s">
        <v>62</v>
      </c>
      <c r="B86" s="10">
        <v>26</v>
      </c>
      <c r="C86" s="10" t="s">
        <v>1968</v>
      </c>
      <c r="D86" s="10" t="s">
        <v>2876</v>
      </c>
      <c r="E86" s="53">
        <v>19</v>
      </c>
      <c r="F86" s="53">
        <v>22</v>
      </c>
      <c r="G86" s="53">
        <v>22</v>
      </c>
      <c r="H86" s="53">
        <v>11</v>
      </c>
      <c r="I86" s="53">
        <v>20</v>
      </c>
      <c r="J86" s="53">
        <v>12</v>
      </c>
      <c r="K86" s="53">
        <v>17</v>
      </c>
      <c r="L86" s="53">
        <v>21</v>
      </c>
      <c r="M86" s="53">
        <v>19</v>
      </c>
      <c r="N86" s="53">
        <v>7</v>
      </c>
      <c r="O86" s="53">
        <v>18</v>
      </c>
      <c r="P86" s="53">
        <v>9</v>
      </c>
      <c r="Q86" s="54">
        <v>26.923076923076898</v>
      </c>
      <c r="R86" s="54">
        <v>15.384615384615399</v>
      </c>
      <c r="S86" s="54">
        <v>15.384615384615399</v>
      </c>
      <c r="T86" s="54">
        <v>57.692307692307701</v>
      </c>
      <c r="U86" s="54">
        <v>23.076923076923102</v>
      </c>
      <c r="V86" s="54">
        <v>53.846153846153797</v>
      </c>
      <c r="W86" s="54">
        <v>34.615384615384599</v>
      </c>
      <c r="X86" s="54">
        <v>19.230769230769202</v>
      </c>
      <c r="Y86" s="54">
        <v>26.923076923076898</v>
      </c>
      <c r="Z86" s="54">
        <v>73.076923076923094</v>
      </c>
      <c r="AA86" s="54">
        <v>30.769230769230798</v>
      </c>
      <c r="AB86" s="54">
        <v>65.384615384615401</v>
      </c>
      <c r="AC86" s="54">
        <v>48.076923076923102</v>
      </c>
      <c r="AD86" s="54">
        <v>22.115384615384599</v>
      </c>
      <c r="AE86" s="54">
        <v>40.384615384615401</v>
      </c>
    </row>
    <row r="87" spans="1:31" x14ac:dyDescent="0.25">
      <c r="A87" s="10" t="s">
        <v>63</v>
      </c>
      <c r="B87" s="10">
        <v>49</v>
      </c>
      <c r="C87" s="10" t="s">
        <v>1968</v>
      </c>
      <c r="D87" s="10" t="s">
        <v>2876</v>
      </c>
      <c r="E87" s="53">
        <v>32</v>
      </c>
      <c r="F87" s="53">
        <v>38</v>
      </c>
      <c r="G87" s="53">
        <v>34</v>
      </c>
      <c r="H87" s="53">
        <v>21</v>
      </c>
      <c r="I87" s="53">
        <v>32</v>
      </c>
      <c r="J87" s="53">
        <v>25</v>
      </c>
      <c r="K87" s="53">
        <v>30</v>
      </c>
      <c r="L87" s="53">
        <v>29</v>
      </c>
      <c r="M87" s="53">
        <v>27</v>
      </c>
      <c r="N87" s="53">
        <v>22</v>
      </c>
      <c r="O87" s="53">
        <v>32</v>
      </c>
      <c r="P87" s="53">
        <v>27</v>
      </c>
      <c r="Q87" s="54">
        <v>34.6938775510204</v>
      </c>
      <c r="R87" s="54">
        <v>22.4489795918367</v>
      </c>
      <c r="S87" s="54">
        <v>30.612244897959201</v>
      </c>
      <c r="T87" s="54">
        <v>57.142857142857103</v>
      </c>
      <c r="U87" s="54">
        <v>34.6938775510204</v>
      </c>
      <c r="V87" s="54">
        <v>48.979591836734699</v>
      </c>
      <c r="W87" s="54">
        <v>38.775510204081598</v>
      </c>
      <c r="X87" s="54">
        <v>40.816326530612201</v>
      </c>
      <c r="Y87" s="54">
        <v>44.8979591836735</v>
      </c>
      <c r="Z87" s="54">
        <v>55.1020408163265</v>
      </c>
      <c r="AA87" s="54">
        <v>34.6938775510204</v>
      </c>
      <c r="AB87" s="54">
        <v>44.8979591836735</v>
      </c>
      <c r="AC87" s="54">
        <v>46.428571428571402</v>
      </c>
      <c r="AD87" s="54">
        <v>33.163265306122398</v>
      </c>
      <c r="AE87" s="54">
        <v>42.346938775510203</v>
      </c>
    </row>
    <row r="88" spans="1:31" x14ac:dyDescent="0.25">
      <c r="A88" s="10" t="s">
        <v>61</v>
      </c>
      <c r="B88" s="10">
        <v>27</v>
      </c>
      <c r="C88" s="10" t="s">
        <v>1968</v>
      </c>
      <c r="D88" s="10" t="s">
        <v>2876</v>
      </c>
      <c r="E88" s="53">
        <v>17</v>
      </c>
      <c r="F88" s="53">
        <v>17</v>
      </c>
      <c r="G88" s="53">
        <v>16</v>
      </c>
      <c r="H88" s="53">
        <v>7</v>
      </c>
      <c r="I88" s="53">
        <v>15</v>
      </c>
      <c r="J88" s="53">
        <v>11</v>
      </c>
      <c r="K88" s="53">
        <v>14</v>
      </c>
      <c r="L88" s="53">
        <v>17</v>
      </c>
      <c r="M88" s="53">
        <v>17</v>
      </c>
      <c r="N88" s="53">
        <v>7</v>
      </c>
      <c r="O88" s="53">
        <v>17</v>
      </c>
      <c r="P88" s="53">
        <v>11</v>
      </c>
      <c r="Q88" s="54">
        <v>37.037037037037003</v>
      </c>
      <c r="R88" s="54">
        <v>37.037037037037003</v>
      </c>
      <c r="S88" s="54">
        <v>40.740740740740698</v>
      </c>
      <c r="T88" s="54">
        <v>74.074074074074105</v>
      </c>
      <c r="U88" s="54">
        <v>44.4444444444444</v>
      </c>
      <c r="V88" s="54">
        <v>59.259259259259302</v>
      </c>
      <c r="W88" s="54">
        <v>48.148148148148103</v>
      </c>
      <c r="X88" s="54">
        <v>37.037037037037003</v>
      </c>
      <c r="Y88" s="54">
        <v>37.037037037037003</v>
      </c>
      <c r="Z88" s="54">
        <v>74.074074074074105</v>
      </c>
      <c r="AA88" s="54">
        <v>37.037037037037003</v>
      </c>
      <c r="AB88" s="54">
        <v>59.259259259259302</v>
      </c>
      <c r="AC88" s="54">
        <v>58.3333333333333</v>
      </c>
      <c r="AD88" s="54">
        <v>38.8888888888889</v>
      </c>
      <c r="AE88" s="54">
        <v>49.074074074074097</v>
      </c>
    </row>
    <row r="89" spans="1:31" x14ac:dyDescent="0.25">
      <c r="A89" s="10" t="s">
        <v>38</v>
      </c>
      <c r="B89" s="10">
        <v>13</v>
      </c>
      <c r="C89" s="10" t="s">
        <v>1968</v>
      </c>
      <c r="D89" s="10" t="s">
        <v>2876</v>
      </c>
      <c r="E89" s="53">
        <v>4</v>
      </c>
      <c r="F89" s="53">
        <v>8</v>
      </c>
      <c r="G89" s="53">
        <v>8</v>
      </c>
      <c r="H89" s="53">
        <v>1</v>
      </c>
      <c r="I89" s="53">
        <v>3</v>
      </c>
      <c r="J89" s="53">
        <v>3</v>
      </c>
      <c r="K89" s="53">
        <v>2</v>
      </c>
      <c r="L89" s="53">
        <v>5</v>
      </c>
      <c r="M89" s="53">
        <v>5</v>
      </c>
      <c r="N89" s="53">
        <v>0</v>
      </c>
      <c r="O89" s="53">
        <v>5</v>
      </c>
      <c r="P89" s="53">
        <v>3</v>
      </c>
      <c r="Q89" s="54">
        <v>69.230769230769198</v>
      </c>
      <c r="R89" s="54">
        <v>38.461538461538503</v>
      </c>
      <c r="S89" s="54">
        <v>38.461538461538503</v>
      </c>
      <c r="T89" s="54">
        <v>92.307692307692307</v>
      </c>
      <c r="U89" s="54">
        <v>76.923076923076906</v>
      </c>
      <c r="V89" s="54">
        <v>76.923076923076906</v>
      </c>
      <c r="W89" s="54">
        <v>84.615384615384599</v>
      </c>
      <c r="X89" s="54">
        <v>61.538461538461497</v>
      </c>
      <c r="Y89" s="54">
        <v>61.538461538461497</v>
      </c>
      <c r="Z89" s="54">
        <v>100</v>
      </c>
      <c r="AA89" s="54">
        <v>61.538461538461497</v>
      </c>
      <c r="AB89" s="54">
        <v>76.923076923076906</v>
      </c>
      <c r="AC89" s="54">
        <v>86.538461538461505</v>
      </c>
      <c r="AD89" s="54">
        <v>59.615384615384599</v>
      </c>
      <c r="AE89" s="54">
        <v>63.461538461538503</v>
      </c>
    </row>
    <row r="90" spans="1:31" x14ac:dyDescent="0.25">
      <c r="A90" s="10" t="s">
        <v>39</v>
      </c>
      <c r="B90" s="10">
        <v>4</v>
      </c>
      <c r="C90" s="10" t="s">
        <v>1968</v>
      </c>
      <c r="D90" s="10" t="s">
        <v>2876</v>
      </c>
      <c r="E90" s="53">
        <v>1</v>
      </c>
      <c r="F90" s="53">
        <v>2</v>
      </c>
      <c r="G90" s="53">
        <v>3</v>
      </c>
      <c r="H90" s="53">
        <v>1</v>
      </c>
      <c r="I90" s="53">
        <v>1</v>
      </c>
      <c r="J90" s="53">
        <v>0</v>
      </c>
      <c r="K90" s="53">
        <v>1</v>
      </c>
      <c r="L90" s="53">
        <v>1</v>
      </c>
      <c r="M90" s="53">
        <v>1</v>
      </c>
      <c r="N90" s="53">
        <v>0</v>
      </c>
      <c r="O90" s="53">
        <v>1</v>
      </c>
      <c r="P90" s="53">
        <v>0</v>
      </c>
      <c r="Q90" s="54">
        <v>75</v>
      </c>
      <c r="R90" s="54">
        <v>50</v>
      </c>
      <c r="S90" s="54">
        <v>25</v>
      </c>
      <c r="T90" s="54">
        <v>75</v>
      </c>
      <c r="U90" s="54">
        <v>75</v>
      </c>
      <c r="V90" s="54">
        <v>100</v>
      </c>
      <c r="W90" s="54">
        <v>75</v>
      </c>
      <c r="X90" s="54">
        <v>75</v>
      </c>
      <c r="Y90" s="54">
        <v>75</v>
      </c>
      <c r="Z90" s="54">
        <v>100</v>
      </c>
      <c r="AA90" s="54">
        <v>75</v>
      </c>
      <c r="AB90" s="54">
        <v>100</v>
      </c>
      <c r="AC90" s="54">
        <v>81.25</v>
      </c>
      <c r="AD90" s="54">
        <v>68.75</v>
      </c>
      <c r="AE90" s="54">
        <v>75</v>
      </c>
    </row>
    <row r="91" spans="1:31" x14ac:dyDescent="0.25">
      <c r="A91" s="10" t="s">
        <v>40</v>
      </c>
      <c r="B91" s="10">
        <v>6</v>
      </c>
      <c r="C91" s="10" t="s">
        <v>1968</v>
      </c>
      <c r="D91" s="10" t="s">
        <v>2876</v>
      </c>
      <c r="E91" s="53">
        <v>2</v>
      </c>
      <c r="F91" s="53">
        <v>5</v>
      </c>
      <c r="G91" s="53">
        <v>4</v>
      </c>
      <c r="H91" s="53">
        <v>3</v>
      </c>
      <c r="I91" s="53">
        <v>3</v>
      </c>
      <c r="J91" s="53">
        <v>3</v>
      </c>
      <c r="K91" s="53">
        <v>3</v>
      </c>
      <c r="L91" s="53">
        <v>4</v>
      </c>
      <c r="M91" s="53">
        <v>4</v>
      </c>
      <c r="N91" s="53">
        <v>1</v>
      </c>
      <c r="O91" s="53">
        <v>4</v>
      </c>
      <c r="P91" s="53">
        <v>3</v>
      </c>
      <c r="Q91" s="54">
        <v>66.6666666666667</v>
      </c>
      <c r="R91" s="54">
        <v>16.6666666666667</v>
      </c>
      <c r="S91" s="54">
        <v>33.3333333333333</v>
      </c>
      <c r="T91" s="54">
        <v>50</v>
      </c>
      <c r="U91" s="54">
        <v>50</v>
      </c>
      <c r="V91" s="54">
        <v>50</v>
      </c>
      <c r="W91" s="54">
        <v>50</v>
      </c>
      <c r="X91" s="54">
        <v>33.3333333333333</v>
      </c>
      <c r="Y91" s="54">
        <v>33.3333333333333</v>
      </c>
      <c r="Z91" s="54">
        <v>83.3333333333333</v>
      </c>
      <c r="AA91" s="54">
        <v>33.3333333333333</v>
      </c>
      <c r="AB91" s="54">
        <v>50</v>
      </c>
      <c r="AC91" s="54">
        <v>62.5</v>
      </c>
      <c r="AD91" s="54">
        <v>33.3333333333333</v>
      </c>
      <c r="AE91" s="54">
        <v>41.6666666666667</v>
      </c>
    </row>
    <row r="92" spans="1:31" x14ac:dyDescent="0.25">
      <c r="A92" s="10" t="s">
        <v>41</v>
      </c>
      <c r="B92" s="10">
        <v>1</v>
      </c>
      <c r="C92" s="10" t="s">
        <v>1968</v>
      </c>
      <c r="D92" s="10" t="s">
        <v>2876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4">
        <v>100</v>
      </c>
      <c r="R92" s="54">
        <v>100</v>
      </c>
      <c r="S92" s="54">
        <v>100</v>
      </c>
      <c r="T92" s="54">
        <v>100</v>
      </c>
      <c r="U92" s="54">
        <v>100</v>
      </c>
      <c r="V92" s="54">
        <v>100</v>
      </c>
      <c r="W92" s="54">
        <v>100</v>
      </c>
      <c r="X92" s="54">
        <v>100</v>
      </c>
      <c r="Y92" s="54">
        <v>100</v>
      </c>
      <c r="Z92" s="54">
        <v>100</v>
      </c>
      <c r="AA92" s="54">
        <v>100</v>
      </c>
      <c r="AB92" s="54">
        <v>100</v>
      </c>
      <c r="AC92" s="54">
        <v>100</v>
      </c>
      <c r="AD92" s="54">
        <v>100</v>
      </c>
      <c r="AE92" s="54">
        <v>100</v>
      </c>
    </row>
    <row r="93" spans="1:31" x14ac:dyDescent="0.25">
      <c r="A93" s="10" t="s">
        <v>42</v>
      </c>
      <c r="B93" s="10">
        <v>33</v>
      </c>
      <c r="C93" s="10" t="s">
        <v>1968</v>
      </c>
      <c r="D93" s="10" t="s">
        <v>2876</v>
      </c>
      <c r="E93" s="53">
        <v>17</v>
      </c>
      <c r="F93" s="53">
        <v>23</v>
      </c>
      <c r="G93" s="53">
        <v>23</v>
      </c>
      <c r="H93" s="53">
        <v>6</v>
      </c>
      <c r="I93" s="53">
        <v>11</v>
      </c>
      <c r="J93" s="53">
        <v>6</v>
      </c>
      <c r="K93" s="53">
        <v>12</v>
      </c>
      <c r="L93" s="53">
        <v>14</v>
      </c>
      <c r="M93" s="53">
        <v>11</v>
      </c>
      <c r="N93" s="53">
        <v>4</v>
      </c>
      <c r="O93" s="53">
        <v>10</v>
      </c>
      <c r="P93" s="53">
        <v>8</v>
      </c>
      <c r="Q93" s="54">
        <v>48.484848484848499</v>
      </c>
      <c r="R93" s="54">
        <v>30.303030303030301</v>
      </c>
      <c r="S93" s="54">
        <v>30.303030303030301</v>
      </c>
      <c r="T93" s="54">
        <v>81.818181818181799</v>
      </c>
      <c r="U93" s="54">
        <v>66.6666666666667</v>
      </c>
      <c r="V93" s="54">
        <v>81.818181818181799</v>
      </c>
      <c r="W93" s="54">
        <v>63.636363636363598</v>
      </c>
      <c r="X93" s="54">
        <v>57.575757575757599</v>
      </c>
      <c r="Y93" s="54">
        <v>66.6666666666667</v>
      </c>
      <c r="Z93" s="54">
        <v>87.878787878787904</v>
      </c>
      <c r="AA93" s="54">
        <v>69.696969696969703</v>
      </c>
      <c r="AB93" s="54">
        <v>75.757575757575793</v>
      </c>
      <c r="AC93" s="54">
        <v>70.454545454545496</v>
      </c>
      <c r="AD93" s="54">
        <v>56.060606060606098</v>
      </c>
      <c r="AE93" s="54">
        <v>63.636363636363598</v>
      </c>
    </row>
    <row r="94" spans="1:31" x14ac:dyDescent="0.25">
      <c r="A94" s="10" t="s">
        <v>59</v>
      </c>
      <c r="B94" s="10">
        <v>22</v>
      </c>
      <c r="C94" s="10" t="s">
        <v>1968</v>
      </c>
      <c r="D94" s="10" t="s">
        <v>2876</v>
      </c>
      <c r="E94" s="53">
        <v>10</v>
      </c>
      <c r="F94" s="53">
        <v>15</v>
      </c>
      <c r="G94" s="53">
        <v>16</v>
      </c>
      <c r="H94" s="53">
        <v>4</v>
      </c>
      <c r="I94" s="53">
        <v>8</v>
      </c>
      <c r="J94" s="53">
        <v>5</v>
      </c>
      <c r="K94" s="53">
        <v>6</v>
      </c>
      <c r="L94" s="53">
        <v>8</v>
      </c>
      <c r="M94" s="53">
        <v>5</v>
      </c>
      <c r="N94" s="53">
        <v>3</v>
      </c>
      <c r="O94" s="53">
        <v>7</v>
      </c>
      <c r="P94" s="53">
        <v>6</v>
      </c>
      <c r="Q94" s="54">
        <v>54.545454545454497</v>
      </c>
      <c r="R94" s="54">
        <v>31.818181818181799</v>
      </c>
      <c r="S94" s="54">
        <v>27.272727272727298</v>
      </c>
      <c r="T94" s="54">
        <v>81.818181818181799</v>
      </c>
      <c r="U94" s="54">
        <v>63.636363636363598</v>
      </c>
      <c r="V94" s="54">
        <v>77.272727272727295</v>
      </c>
      <c r="W94" s="54">
        <v>72.727272727272705</v>
      </c>
      <c r="X94" s="54">
        <v>63.636363636363598</v>
      </c>
      <c r="Y94" s="54">
        <v>77.272727272727295</v>
      </c>
      <c r="Z94" s="54">
        <v>86.363636363636402</v>
      </c>
      <c r="AA94" s="54">
        <v>68.181818181818201</v>
      </c>
      <c r="AB94" s="54">
        <v>72.727272727272705</v>
      </c>
      <c r="AC94" s="54">
        <v>73.863636363636402</v>
      </c>
      <c r="AD94" s="54">
        <v>56.818181818181799</v>
      </c>
      <c r="AE94" s="54">
        <v>63.636363636363598</v>
      </c>
    </row>
    <row r="95" spans="1:31" x14ac:dyDescent="0.25">
      <c r="A95" s="10" t="s">
        <v>43</v>
      </c>
      <c r="B95" s="10">
        <v>19</v>
      </c>
      <c r="C95" s="10" t="s">
        <v>1968</v>
      </c>
      <c r="D95" s="10" t="s">
        <v>2876</v>
      </c>
      <c r="E95" s="53">
        <v>9</v>
      </c>
      <c r="F95" s="53">
        <v>10</v>
      </c>
      <c r="G95" s="53">
        <v>11</v>
      </c>
      <c r="H95" s="53">
        <v>5</v>
      </c>
      <c r="I95" s="53">
        <v>9</v>
      </c>
      <c r="J95" s="53">
        <v>6</v>
      </c>
      <c r="K95" s="53">
        <v>5</v>
      </c>
      <c r="L95" s="53">
        <v>8</v>
      </c>
      <c r="M95" s="53">
        <v>6</v>
      </c>
      <c r="N95" s="53">
        <v>4</v>
      </c>
      <c r="O95" s="53">
        <v>7</v>
      </c>
      <c r="P95" s="53">
        <v>6</v>
      </c>
      <c r="Q95" s="54">
        <v>52.631578947368403</v>
      </c>
      <c r="R95" s="54">
        <v>47.368421052631597</v>
      </c>
      <c r="S95" s="54">
        <v>42.105263157894697</v>
      </c>
      <c r="T95" s="54">
        <v>73.684210526315795</v>
      </c>
      <c r="U95" s="54">
        <v>52.631578947368403</v>
      </c>
      <c r="V95" s="54">
        <v>68.421052631578902</v>
      </c>
      <c r="W95" s="54">
        <v>73.684210526315795</v>
      </c>
      <c r="X95" s="54">
        <v>57.894736842105303</v>
      </c>
      <c r="Y95" s="54">
        <v>68.421052631578902</v>
      </c>
      <c r="Z95" s="54">
        <v>78.947368421052602</v>
      </c>
      <c r="AA95" s="54">
        <v>63.157894736842103</v>
      </c>
      <c r="AB95" s="54">
        <v>68.421052631578902</v>
      </c>
      <c r="AC95" s="54">
        <v>69.736842105263193</v>
      </c>
      <c r="AD95" s="54">
        <v>55.2631578947368</v>
      </c>
      <c r="AE95" s="54">
        <v>61.842105263157897</v>
      </c>
    </row>
    <row r="96" spans="1:31" x14ac:dyDescent="0.25">
      <c r="A96" s="10" t="s">
        <v>60</v>
      </c>
      <c r="B96" s="10">
        <v>14</v>
      </c>
      <c r="C96" s="10" t="s">
        <v>1968</v>
      </c>
      <c r="D96" s="10" t="s">
        <v>2876</v>
      </c>
      <c r="E96" s="53">
        <v>7</v>
      </c>
      <c r="F96" s="53">
        <v>7</v>
      </c>
      <c r="G96" s="53">
        <v>8</v>
      </c>
      <c r="H96" s="53">
        <v>4</v>
      </c>
      <c r="I96" s="53">
        <v>8</v>
      </c>
      <c r="J96" s="53">
        <v>4</v>
      </c>
      <c r="K96" s="53">
        <v>3</v>
      </c>
      <c r="L96" s="53">
        <v>5</v>
      </c>
      <c r="M96" s="53">
        <v>4</v>
      </c>
      <c r="N96" s="53">
        <v>2</v>
      </c>
      <c r="O96" s="53">
        <v>6</v>
      </c>
      <c r="P96" s="53">
        <v>5</v>
      </c>
      <c r="Q96" s="54">
        <v>50</v>
      </c>
      <c r="R96" s="54">
        <v>50</v>
      </c>
      <c r="S96" s="54">
        <v>42.857142857142897</v>
      </c>
      <c r="T96" s="54">
        <v>71.428571428571402</v>
      </c>
      <c r="U96" s="54">
        <v>42.857142857142897</v>
      </c>
      <c r="V96" s="54">
        <v>71.428571428571402</v>
      </c>
      <c r="W96" s="54">
        <v>78.571428571428598</v>
      </c>
      <c r="X96" s="54">
        <v>64.285714285714306</v>
      </c>
      <c r="Y96" s="54">
        <v>71.428571428571402</v>
      </c>
      <c r="Z96" s="54">
        <v>85.714285714285694</v>
      </c>
      <c r="AA96" s="54">
        <v>57.142857142857103</v>
      </c>
      <c r="AB96" s="54">
        <v>64.285714285714306</v>
      </c>
      <c r="AC96" s="54">
        <v>71.428571428571402</v>
      </c>
      <c r="AD96" s="54">
        <v>53.571428571428598</v>
      </c>
      <c r="AE96" s="54">
        <v>62.5</v>
      </c>
    </row>
    <row r="97" spans="1:31" x14ac:dyDescent="0.25">
      <c r="A97" s="10" t="s">
        <v>44</v>
      </c>
      <c r="B97" s="10">
        <v>11</v>
      </c>
      <c r="C97" s="10" t="s">
        <v>1968</v>
      </c>
      <c r="D97" s="10" t="s">
        <v>2876</v>
      </c>
      <c r="E97" s="53">
        <v>5</v>
      </c>
      <c r="F97" s="53">
        <v>8</v>
      </c>
      <c r="G97" s="53">
        <v>7</v>
      </c>
      <c r="H97" s="53">
        <v>1</v>
      </c>
      <c r="I97" s="53">
        <v>4</v>
      </c>
      <c r="J97" s="53">
        <v>3</v>
      </c>
      <c r="K97" s="53">
        <v>4</v>
      </c>
      <c r="L97" s="53">
        <v>4</v>
      </c>
      <c r="M97" s="53">
        <v>4</v>
      </c>
      <c r="N97" s="53">
        <v>1</v>
      </c>
      <c r="O97" s="53">
        <v>3</v>
      </c>
      <c r="P97" s="53">
        <v>4</v>
      </c>
      <c r="Q97" s="54">
        <v>54.545454545454497</v>
      </c>
      <c r="R97" s="54">
        <v>27.272727272727298</v>
      </c>
      <c r="S97" s="54">
        <v>36.363636363636402</v>
      </c>
      <c r="T97" s="54">
        <v>90.909090909090907</v>
      </c>
      <c r="U97" s="54">
        <v>63.636363636363598</v>
      </c>
      <c r="V97" s="54">
        <v>72.727272727272705</v>
      </c>
      <c r="W97" s="54">
        <v>63.636363636363598</v>
      </c>
      <c r="X97" s="54">
        <v>63.636363636363598</v>
      </c>
      <c r="Y97" s="54">
        <v>63.636363636363598</v>
      </c>
      <c r="Z97" s="54">
        <v>90.909090909090907</v>
      </c>
      <c r="AA97" s="54">
        <v>72.727272727272705</v>
      </c>
      <c r="AB97" s="54">
        <v>63.636363636363598</v>
      </c>
      <c r="AC97" s="54">
        <v>75</v>
      </c>
      <c r="AD97" s="54">
        <v>56.818181818181799</v>
      </c>
      <c r="AE97" s="54">
        <v>59.090909090909101</v>
      </c>
    </row>
    <row r="98" spans="1:31" x14ac:dyDescent="0.25">
      <c r="A98" s="10" t="s">
        <v>45</v>
      </c>
      <c r="B98" s="10">
        <v>3</v>
      </c>
      <c r="C98" s="10" t="s">
        <v>1968</v>
      </c>
      <c r="D98" s="10" t="s">
        <v>2876</v>
      </c>
      <c r="E98" s="53">
        <v>2</v>
      </c>
      <c r="F98" s="53">
        <v>2</v>
      </c>
      <c r="G98" s="53">
        <v>2</v>
      </c>
      <c r="H98" s="53">
        <v>2</v>
      </c>
      <c r="I98" s="53">
        <v>1</v>
      </c>
      <c r="J98" s="53">
        <v>1</v>
      </c>
      <c r="K98" s="53">
        <v>0</v>
      </c>
      <c r="L98" s="53">
        <v>0</v>
      </c>
      <c r="M98" s="53">
        <v>0</v>
      </c>
      <c r="N98" s="53">
        <v>0</v>
      </c>
      <c r="O98" s="53">
        <v>1</v>
      </c>
      <c r="P98" s="53">
        <v>1</v>
      </c>
      <c r="Q98" s="54">
        <v>33.3333333333333</v>
      </c>
      <c r="R98" s="54">
        <v>33.3333333333333</v>
      </c>
      <c r="S98" s="54">
        <v>33.3333333333333</v>
      </c>
      <c r="T98" s="54">
        <v>33.3333333333333</v>
      </c>
      <c r="U98" s="54">
        <v>66.6666666666667</v>
      </c>
      <c r="V98" s="54">
        <v>66.6666666666667</v>
      </c>
      <c r="W98" s="54">
        <v>100</v>
      </c>
      <c r="X98" s="54">
        <v>100</v>
      </c>
      <c r="Y98" s="54">
        <v>100</v>
      </c>
      <c r="Z98" s="54">
        <v>100</v>
      </c>
      <c r="AA98" s="54">
        <v>66.6666666666667</v>
      </c>
      <c r="AB98" s="54">
        <v>66.6666666666667</v>
      </c>
      <c r="AC98" s="54">
        <v>66.6666666666667</v>
      </c>
      <c r="AD98" s="54">
        <v>66.6666666666667</v>
      </c>
      <c r="AE98" s="54">
        <v>66.6666666666667</v>
      </c>
    </row>
    <row r="99" spans="1:31" x14ac:dyDescent="0.25">
      <c r="A99" s="10" t="s">
        <v>46</v>
      </c>
      <c r="B99" s="10">
        <v>27</v>
      </c>
      <c r="C99" s="10" t="s">
        <v>1968</v>
      </c>
      <c r="D99" s="10" t="s">
        <v>2876</v>
      </c>
      <c r="E99" s="53">
        <v>13</v>
      </c>
      <c r="F99" s="53">
        <v>19</v>
      </c>
      <c r="G99" s="53">
        <v>16</v>
      </c>
      <c r="H99" s="53">
        <v>11</v>
      </c>
      <c r="I99" s="53">
        <v>15</v>
      </c>
      <c r="J99" s="53">
        <v>11</v>
      </c>
      <c r="K99" s="53">
        <v>14</v>
      </c>
      <c r="L99" s="53">
        <v>17</v>
      </c>
      <c r="M99" s="53">
        <v>16</v>
      </c>
      <c r="N99" s="53">
        <v>6</v>
      </c>
      <c r="O99" s="53">
        <v>15</v>
      </c>
      <c r="P99" s="53">
        <v>11</v>
      </c>
      <c r="Q99" s="54">
        <v>51.851851851851798</v>
      </c>
      <c r="R99" s="54">
        <v>29.629629629629601</v>
      </c>
      <c r="S99" s="54">
        <v>40.740740740740698</v>
      </c>
      <c r="T99" s="54">
        <v>59.259259259259302</v>
      </c>
      <c r="U99" s="54">
        <v>44.4444444444444</v>
      </c>
      <c r="V99" s="54">
        <v>59.259259259259302</v>
      </c>
      <c r="W99" s="54">
        <v>48.148148148148103</v>
      </c>
      <c r="X99" s="54">
        <v>37.037037037037003</v>
      </c>
      <c r="Y99" s="54">
        <v>40.740740740740698</v>
      </c>
      <c r="Z99" s="54">
        <v>77.7777777777778</v>
      </c>
      <c r="AA99" s="54">
        <v>44.4444444444444</v>
      </c>
      <c r="AB99" s="54">
        <v>59.259259259259302</v>
      </c>
      <c r="AC99" s="54">
        <v>59.259259259259302</v>
      </c>
      <c r="AD99" s="54">
        <v>38.8888888888889</v>
      </c>
      <c r="AE99" s="54">
        <v>50</v>
      </c>
    </row>
    <row r="100" spans="1:31" x14ac:dyDescent="0.25">
      <c r="A100" s="10" t="s">
        <v>48</v>
      </c>
      <c r="B100" s="10">
        <v>2</v>
      </c>
      <c r="C100" s="10" t="s">
        <v>1968</v>
      </c>
      <c r="D100" s="10" t="s">
        <v>2876</v>
      </c>
      <c r="E100" s="53">
        <v>1</v>
      </c>
      <c r="F100" s="53">
        <v>1</v>
      </c>
      <c r="G100" s="53">
        <v>1</v>
      </c>
      <c r="H100" s="53">
        <v>0</v>
      </c>
      <c r="I100" s="53">
        <v>1</v>
      </c>
      <c r="J100" s="53">
        <v>0</v>
      </c>
      <c r="K100" s="53">
        <v>0</v>
      </c>
      <c r="L100" s="53">
        <v>0</v>
      </c>
      <c r="M100" s="53">
        <v>0</v>
      </c>
      <c r="N100" s="53">
        <v>0</v>
      </c>
      <c r="O100" s="53">
        <v>1</v>
      </c>
      <c r="P100" s="53">
        <v>0</v>
      </c>
      <c r="Q100" s="54">
        <v>50</v>
      </c>
      <c r="R100" s="54">
        <v>50</v>
      </c>
      <c r="S100" s="54">
        <v>50</v>
      </c>
      <c r="T100" s="54">
        <v>100</v>
      </c>
      <c r="U100" s="54">
        <v>50</v>
      </c>
      <c r="V100" s="54">
        <v>100</v>
      </c>
      <c r="W100" s="54">
        <v>100</v>
      </c>
      <c r="X100" s="54">
        <v>100</v>
      </c>
      <c r="Y100" s="54">
        <v>100</v>
      </c>
      <c r="Z100" s="54">
        <v>100</v>
      </c>
      <c r="AA100" s="54">
        <v>50</v>
      </c>
      <c r="AB100" s="54">
        <v>100</v>
      </c>
      <c r="AC100" s="54">
        <v>87.5</v>
      </c>
      <c r="AD100" s="54">
        <v>62.5</v>
      </c>
      <c r="AE100" s="54">
        <v>87.5</v>
      </c>
    </row>
    <row r="101" spans="1:31" x14ac:dyDescent="0.25">
      <c r="A101" s="10" t="s">
        <v>49</v>
      </c>
      <c r="B101" s="10">
        <v>6</v>
      </c>
      <c r="C101" s="10" t="s">
        <v>1968</v>
      </c>
      <c r="D101" s="10" t="s">
        <v>2876</v>
      </c>
      <c r="E101" s="53">
        <v>2</v>
      </c>
      <c r="F101" s="53">
        <v>4</v>
      </c>
      <c r="G101" s="53">
        <v>4</v>
      </c>
      <c r="H101" s="53">
        <v>1</v>
      </c>
      <c r="I101" s="53">
        <v>3</v>
      </c>
      <c r="J101" s="53">
        <v>1</v>
      </c>
      <c r="K101" s="53">
        <v>1</v>
      </c>
      <c r="L101" s="53">
        <v>2</v>
      </c>
      <c r="M101" s="53">
        <v>3</v>
      </c>
      <c r="N101" s="53">
        <v>2</v>
      </c>
      <c r="O101" s="53">
        <v>2</v>
      </c>
      <c r="P101" s="53">
        <v>2</v>
      </c>
      <c r="Q101" s="54">
        <v>66.6666666666667</v>
      </c>
      <c r="R101" s="54">
        <v>33.3333333333333</v>
      </c>
      <c r="S101" s="54">
        <v>33.3333333333333</v>
      </c>
      <c r="T101" s="54">
        <v>83.3333333333333</v>
      </c>
      <c r="U101" s="54">
        <v>50</v>
      </c>
      <c r="V101" s="54">
        <v>83.3333333333333</v>
      </c>
      <c r="W101" s="54">
        <v>83.3333333333333</v>
      </c>
      <c r="X101" s="54">
        <v>66.6666666666667</v>
      </c>
      <c r="Y101" s="54">
        <v>50</v>
      </c>
      <c r="Z101" s="54">
        <v>66.6666666666667</v>
      </c>
      <c r="AA101" s="54">
        <v>66.6666666666667</v>
      </c>
      <c r="AB101" s="54">
        <v>66.6666666666667</v>
      </c>
      <c r="AC101" s="54">
        <v>75</v>
      </c>
      <c r="AD101" s="54">
        <v>54.1666666666667</v>
      </c>
      <c r="AE101" s="54">
        <v>58.3333333333333</v>
      </c>
    </row>
    <row r="102" spans="1:31" x14ac:dyDescent="0.25">
      <c r="A102" s="10" t="s">
        <v>50</v>
      </c>
      <c r="B102" s="10">
        <v>1</v>
      </c>
      <c r="C102" s="10" t="s">
        <v>1968</v>
      </c>
      <c r="D102" s="10" t="s">
        <v>2876</v>
      </c>
      <c r="E102" s="53">
        <v>1</v>
      </c>
      <c r="F102" s="53">
        <v>1</v>
      </c>
      <c r="G102" s="53">
        <v>1</v>
      </c>
      <c r="H102" s="53">
        <v>1</v>
      </c>
      <c r="I102" s="53">
        <v>1</v>
      </c>
      <c r="J102" s="53">
        <v>1</v>
      </c>
      <c r="K102" s="53">
        <v>1</v>
      </c>
      <c r="L102" s="53">
        <v>1</v>
      </c>
      <c r="M102" s="53">
        <v>1</v>
      </c>
      <c r="N102" s="53">
        <v>1</v>
      </c>
      <c r="O102" s="53">
        <v>1</v>
      </c>
      <c r="P102" s="53">
        <v>1</v>
      </c>
      <c r="Q102" s="54">
        <v>0</v>
      </c>
      <c r="R102" s="54">
        <v>0</v>
      </c>
      <c r="S102" s="54">
        <v>0</v>
      </c>
      <c r="T102" s="54">
        <v>0</v>
      </c>
      <c r="U102" s="54">
        <v>0</v>
      </c>
      <c r="V102" s="54">
        <v>0</v>
      </c>
      <c r="W102" s="54">
        <v>0</v>
      </c>
      <c r="X102" s="54">
        <v>0</v>
      </c>
      <c r="Y102" s="54">
        <v>0</v>
      </c>
      <c r="Z102" s="54">
        <v>0</v>
      </c>
      <c r="AA102" s="54">
        <v>0</v>
      </c>
      <c r="AB102" s="54">
        <v>0</v>
      </c>
      <c r="AC102" s="54">
        <v>0</v>
      </c>
      <c r="AD102" s="54">
        <v>0</v>
      </c>
      <c r="AE102" s="54">
        <v>0</v>
      </c>
    </row>
    <row r="103" spans="1:31" x14ac:dyDescent="0.25">
      <c r="A103" s="10" t="s">
        <v>51</v>
      </c>
      <c r="B103" s="10">
        <v>5</v>
      </c>
      <c r="C103" s="10" t="s">
        <v>1968</v>
      </c>
      <c r="D103" s="10" t="s">
        <v>2876</v>
      </c>
      <c r="E103" s="53">
        <v>1</v>
      </c>
      <c r="F103" s="53">
        <v>4</v>
      </c>
      <c r="G103" s="53">
        <v>3</v>
      </c>
      <c r="H103" s="53">
        <v>2</v>
      </c>
      <c r="I103" s="53">
        <v>2</v>
      </c>
      <c r="J103" s="53">
        <v>1</v>
      </c>
      <c r="K103" s="53">
        <v>1</v>
      </c>
      <c r="L103" s="53">
        <v>3</v>
      </c>
      <c r="M103" s="53">
        <v>3</v>
      </c>
      <c r="N103" s="53">
        <v>1</v>
      </c>
      <c r="O103" s="53">
        <v>1</v>
      </c>
      <c r="P103" s="53">
        <v>1</v>
      </c>
      <c r="Q103" s="54">
        <v>80</v>
      </c>
      <c r="R103" s="54">
        <v>20</v>
      </c>
      <c r="S103" s="54">
        <v>40</v>
      </c>
      <c r="T103" s="54">
        <v>60</v>
      </c>
      <c r="U103" s="54">
        <v>60</v>
      </c>
      <c r="V103" s="54">
        <v>80</v>
      </c>
      <c r="W103" s="54">
        <v>80</v>
      </c>
      <c r="X103" s="54">
        <v>40</v>
      </c>
      <c r="Y103" s="54">
        <v>40</v>
      </c>
      <c r="Z103" s="54">
        <v>80</v>
      </c>
      <c r="AA103" s="54">
        <v>80</v>
      </c>
      <c r="AB103" s="54">
        <v>80</v>
      </c>
      <c r="AC103" s="54">
        <v>75</v>
      </c>
      <c r="AD103" s="54">
        <v>50</v>
      </c>
      <c r="AE103" s="54">
        <v>60</v>
      </c>
    </row>
    <row r="104" spans="1:31" x14ac:dyDescent="0.25">
      <c r="A104" s="10" t="s">
        <v>64</v>
      </c>
      <c r="B104" s="10">
        <v>20</v>
      </c>
      <c r="C104" s="10" t="s">
        <v>1968</v>
      </c>
      <c r="D104" s="10" t="s">
        <v>2876</v>
      </c>
      <c r="E104" s="53">
        <v>6</v>
      </c>
      <c r="F104" s="53">
        <v>12</v>
      </c>
      <c r="G104" s="53">
        <v>11</v>
      </c>
      <c r="H104" s="53">
        <v>2</v>
      </c>
      <c r="I104" s="53">
        <v>4</v>
      </c>
      <c r="J104" s="53">
        <v>3</v>
      </c>
      <c r="K104" s="53">
        <v>7</v>
      </c>
      <c r="L104" s="53">
        <v>8</v>
      </c>
      <c r="M104" s="53">
        <v>6</v>
      </c>
      <c r="N104" s="53">
        <v>0</v>
      </c>
      <c r="O104" s="53">
        <v>3</v>
      </c>
      <c r="P104" s="53">
        <v>3</v>
      </c>
      <c r="Q104" s="54">
        <v>70</v>
      </c>
      <c r="R104" s="54">
        <v>40</v>
      </c>
      <c r="S104" s="54">
        <v>45</v>
      </c>
      <c r="T104" s="54">
        <v>90</v>
      </c>
      <c r="U104" s="54">
        <v>80</v>
      </c>
      <c r="V104" s="54">
        <v>85</v>
      </c>
      <c r="W104" s="54">
        <v>65</v>
      </c>
      <c r="X104" s="54">
        <v>60</v>
      </c>
      <c r="Y104" s="54">
        <v>70</v>
      </c>
      <c r="Z104" s="54">
        <v>100</v>
      </c>
      <c r="AA104" s="54">
        <v>85</v>
      </c>
      <c r="AB104" s="54">
        <v>85</v>
      </c>
      <c r="AC104" s="54">
        <v>81.25</v>
      </c>
      <c r="AD104" s="54">
        <v>66.25</v>
      </c>
      <c r="AE104" s="54">
        <v>71.25</v>
      </c>
    </row>
    <row r="105" spans="1:31" x14ac:dyDescent="0.25">
      <c r="A105" s="10" t="s">
        <v>52</v>
      </c>
      <c r="B105" s="10">
        <v>10</v>
      </c>
      <c r="C105" s="10" t="s">
        <v>1968</v>
      </c>
      <c r="D105" s="10" t="s">
        <v>2876</v>
      </c>
      <c r="E105" s="53">
        <v>2</v>
      </c>
      <c r="F105" s="53">
        <v>4</v>
      </c>
      <c r="G105" s="53">
        <v>4</v>
      </c>
      <c r="H105" s="53">
        <v>1</v>
      </c>
      <c r="I105" s="53">
        <v>1</v>
      </c>
      <c r="J105" s="53">
        <v>1</v>
      </c>
      <c r="K105" s="53">
        <v>1</v>
      </c>
      <c r="L105" s="53">
        <v>2</v>
      </c>
      <c r="M105" s="53">
        <v>1</v>
      </c>
      <c r="N105" s="53">
        <v>1</v>
      </c>
      <c r="O105" s="53">
        <v>1</v>
      </c>
      <c r="P105" s="53">
        <v>1</v>
      </c>
      <c r="Q105" s="54">
        <v>80</v>
      </c>
      <c r="R105" s="54">
        <v>60</v>
      </c>
      <c r="S105" s="54">
        <v>60</v>
      </c>
      <c r="T105" s="54">
        <v>90</v>
      </c>
      <c r="U105" s="54">
        <v>90</v>
      </c>
      <c r="V105" s="54">
        <v>90</v>
      </c>
      <c r="W105" s="54">
        <v>90</v>
      </c>
      <c r="X105" s="54">
        <v>80</v>
      </c>
      <c r="Y105" s="54">
        <v>90</v>
      </c>
      <c r="Z105" s="54">
        <v>90</v>
      </c>
      <c r="AA105" s="54">
        <v>90</v>
      </c>
      <c r="AB105" s="54">
        <v>90</v>
      </c>
      <c r="AC105" s="54">
        <v>87.5</v>
      </c>
      <c r="AD105" s="54">
        <v>80</v>
      </c>
      <c r="AE105" s="54">
        <v>82.5</v>
      </c>
    </row>
    <row r="106" spans="1:31" x14ac:dyDescent="0.25">
      <c r="A106" s="10" t="s">
        <v>53</v>
      </c>
      <c r="B106" s="10">
        <v>4</v>
      </c>
      <c r="C106" s="10" t="s">
        <v>1968</v>
      </c>
      <c r="D106" s="10" t="s">
        <v>2876</v>
      </c>
      <c r="E106" s="53">
        <v>2</v>
      </c>
      <c r="F106" s="53">
        <v>4</v>
      </c>
      <c r="G106" s="53">
        <v>2</v>
      </c>
      <c r="H106" s="53">
        <v>0</v>
      </c>
      <c r="I106" s="53">
        <v>1</v>
      </c>
      <c r="J106" s="53">
        <v>1</v>
      </c>
      <c r="K106" s="53">
        <v>0</v>
      </c>
      <c r="L106" s="53">
        <v>0</v>
      </c>
      <c r="M106" s="53">
        <v>0</v>
      </c>
      <c r="N106" s="53">
        <v>0</v>
      </c>
      <c r="O106" s="53">
        <v>1</v>
      </c>
      <c r="P106" s="53">
        <v>2</v>
      </c>
      <c r="Q106" s="54">
        <v>50</v>
      </c>
      <c r="R106" s="54">
        <v>0</v>
      </c>
      <c r="S106" s="54">
        <v>50</v>
      </c>
      <c r="T106" s="54">
        <v>100</v>
      </c>
      <c r="U106" s="54">
        <v>75</v>
      </c>
      <c r="V106" s="54">
        <v>75</v>
      </c>
      <c r="W106" s="54">
        <v>100</v>
      </c>
      <c r="X106" s="54">
        <v>100</v>
      </c>
      <c r="Y106" s="54">
        <v>100</v>
      </c>
      <c r="Z106" s="54">
        <v>100</v>
      </c>
      <c r="AA106" s="54">
        <v>75</v>
      </c>
      <c r="AB106" s="54">
        <v>50</v>
      </c>
      <c r="AC106" s="54">
        <v>87.5</v>
      </c>
      <c r="AD106" s="54">
        <v>62.5</v>
      </c>
      <c r="AE106" s="54">
        <v>68.75</v>
      </c>
    </row>
    <row r="107" spans="1:31" x14ac:dyDescent="0.25">
      <c r="A107" s="10" t="s">
        <v>54</v>
      </c>
      <c r="B107" s="10">
        <v>4</v>
      </c>
      <c r="C107" s="10" t="s">
        <v>1968</v>
      </c>
      <c r="D107" s="10" t="s">
        <v>2876</v>
      </c>
      <c r="E107" s="53">
        <v>1</v>
      </c>
      <c r="F107" s="53">
        <v>1</v>
      </c>
      <c r="G107" s="53">
        <v>2</v>
      </c>
      <c r="H107" s="53">
        <v>0</v>
      </c>
      <c r="I107" s="53">
        <v>2</v>
      </c>
      <c r="J107" s="53">
        <v>2</v>
      </c>
      <c r="K107" s="53">
        <v>0</v>
      </c>
      <c r="L107" s="53">
        <v>1</v>
      </c>
      <c r="M107" s="53">
        <v>2</v>
      </c>
      <c r="N107" s="53">
        <v>0</v>
      </c>
      <c r="O107" s="53">
        <v>2</v>
      </c>
      <c r="P107" s="53">
        <v>2</v>
      </c>
      <c r="Q107" s="54">
        <v>75</v>
      </c>
      <c r="R107" s="54">
        <v>75</v>
      </c>
      <c r="S107" s="54">
        <v>50</v>
      </c>
      <c r="T107" s="54">
        <v>100</v>
      </c>
      <c r="U107" s="54">
        <v>50</v>
      </c>
      <c r="V107" s="54">
        <v>50</v>
      </c>
      <c r="W107" s="54">
        <v>100</v>
      </c>
      <c r="X107" s="54">
        <v>75</v>
      </c>
      <c r="Y107" s="54">
        <v>50</v>
      </c>
      <c r="Z107" s="54">
        <v>100</v>
      </c>
      <c r="AA107" s="54">
        <v>50</v>
      </c>
      <c r="AB107" s="54">
        <v>50</v>
      </c>
      <c r="AC107" s="54">
        <v>93.75</v>
      </c>
      <c r="AD107" s="54">
        <v>62.5</v>
      </c>
      <c r="AE107" s="54">
        <v>50</v>
      </c>
    </row>
    <row r="108" spans="1:31" x14ac:dyDescent="0.25">
      <c r="A108" s="10" t="s">
        <v>55</v>
      </c>
      <c r="B108" s="10">
        <v>2</v>
      </c>
      <c r="C108" s="10" t="s">
        <v>1968</v>
      </c>
      <c r="D108" s="10" t="s">
        <v>2876</v>
      </c>
      <c r="E108" s="53">
        <v>1</v>
      </c>
      <c r="F108" s="53">
        <v>1</v>
      </c>
      <c r="G108" s="53">
        <v>1</v>
      </c>
      <c r="H108" s="53">
        <v>2</v>
      </c>
      <c r="I108" s="53">
        <v>1</v>
      </c>
      <c r="J108" s="53">
        <v>1</v>
      </c>
      <c r="K108" s="53">
        <v>1</v>
      </c>
      <c r="L108" s="53">
        <v>1</v>
      </c>
      <c r="M108" s="53">
        <v>1</v>
      </c>
      <c r="N108" s="53">
        <v>1</v>
      </c>
      <c r="O108" s="53">
        <v>1</v>
      </c>
      <c r="P108" s="53">
        <v>1</v>
      </c>
      <c r="Q108" s="54">
        <v>50</v>
      </c>
      <c r="R108" s="54">
        <v>50</v>
      </c>
      <c r="S108" s="54">
        <v>50</v>
      </c>
      <c r="T108" s="54">
        <v>0</v>
      </c>
      <c r="U108" s="54">
        <v>50</v>
      </c>
      <c r="V108" s="54">
        <v>50</v>
      </c>
      <c r="W108" s="54">
        <v>50</v>
      </c>
      <c r="X108" s="54">
        <v>50</v>
      </c>
      <c r="Y108" s="54">
        <v>50</v>
      </c>
      <c r="Z108" s="54">
        <v>50</v>
      </c>
      <c r="AA108" s="54">
        <v>50</v>
      </c>
      <c r="AB108" s="54">
        <v>50</v>
      </c>
      <c r="AC108" s="54">
        <v>37.5</v>
      </c>
      <c r="AD108" s="54">
        <v>50</v>
      </c>
      <c r="AE108" s="54">
        <v>50</v>
      </c>
    </row>
    <row r="109" spans="1:31" x14ac:dyDescent="0.25">
      <c r="A109" s="10" t="s">
        <v>56</v>
      </c>
      <c r="B109" s="10">
        <v>1</v>
      </c>
      <c r="C109" s="10" t="s">
        <v>1968</v>
      </c>
      <c r="D109" s="10" t="s">
        <v>2876</v>
      </c>
      <c r="E109" s="53">
        <v>1</v>
      </c>
      <c r="F109" s="53">
        <v>1</v>
      </c>
      <c r="G109" s="53">
        <v>1</v>
      </c>
      <c r="H109" s="53">
        <v>0</v>
      </c>
      <c r="I109" s="53">
        <v>1</v>
      </c>
      <c r="J109" s="53">
        <v>0</v>
      </c>
      <c r="K109" s="53">
        <v>1</v>
      </c>
      <c r="L109" s="53">
        <v>1</v>
      </c>
      <c r="M109" s="53">
        <v>1</v>
      </c>
      <c r="N109" s="53">
        <v>0</v>
      </c>
      <c r="O109" s="53">
        <v>1</v>
      </c>
      <c r="P109" s="53">
        <v>0</v>
      </c>
      <c r="Q109" s="54">
        <v>0</v>
      </c>
      <c r="R109" s="54">
        <v>0</v>
      </c>
      <c r="S109" s="54">
        <v>0</v>
      </c>
      <c r="T109" s="54">
        <v>100</v>
      </c>
      <c r="U109" s="54">
        <v>0</v>
      </c>
      <c r="V109" s="54">
        <v>100</v>
      </c>
      <c r="W109" s="54">
        <v>0</v>
      </c>
      <c r="X109" s="54">
        <v>0</v>
      </c>
      <c r="Y109" s="54">
        <v>0</v>
      </c>
      <c r="Z109" s="54">
        <v>100</v>
      </c>
      <c r="AA109" s="54">
        <v>0</v>
      </c>
      <c r="AB109" s="54">
        <v>100</v>
      </c>
      <c r="AC109" s="54">
        <v>50</v>
      </c>
      <c r="AD109" s="54">
        <v>0</v>
      </c>
      <c r="AE109" s="54">
        <v>50</v>
      </c>
    </row>
    <row r="110" spans="1:31" x14ac:dyDescent="0.25">
      <c r="A110" s="18" t="s">
        <v>57</v>
      </c>
      <c r="B110" s="18">
        <v>1</v>
      </c>
      <c r="C110" s="18" t="s">
        <v>1968</v>
      </c>
      <c r="D110" s="18" t="s">
        <v>2876</v>
      </c>
      <c r="E110" s="56">
        <v>0</v>
      </c>
      <c r="F110" s="56">
        <v>0</v>
      </c>
      <c r="G110" s="56">
        <v>0</v>
      </c>
      <c r="H110" s="56">
        <v>0</v>
      </c>
      <c r="I110" s="56">
        <v>1</v>
      </c>
      <c r="J110" s="56">
        <v>0</v>
      </c>
      <c r="K110" s="56">
        <v>0</v>
      </c>
      <c r="L110" s="56">
        <v>0</v>
      </c>
      <c r="M110" s="56">
        <v>0</v>
      </c>
      <c r="N110" s="56">
        <v>0</v>
      </c>
      <c r="O110" s="56">
        <v>1</v>
      </c>
      <c r="P110" s="56">
        <v>0</v>
      </c>
      <c r="Q110" s="57">
        <v>100</v>
      </c>
      <c r="R110" s="57">
        <v>100</v>
      </c>
      <c r="S110" s="57">
        <v>100</v>
      </c>
      <c r="T110" s="57">
        <v>100</v>
      </c>
      <c r="U110" s="57">
        <v>0</v>
      </c>
      <c r="V110" s="57">
        <v>100</v>
      </c>
      <c r="W110" s="57">
        <v>100</v>
      </c>
      <c r="X110" s="57">
        <v>100</v>
      </c>
      <c r="Y110" s="57">
        <v>100</v>
      </c>
      <c r="Z110" s="57">
        <v>100</v>
      </c>
      <c r="AA110" s="57">
        <v>0</v>
      </c>
      <c r="AB110" s="57">
        <v>100</v>
      </c>
      <c r="AC110" s="57">
        <v>100</v>
      </c>
      <c r="AD110" s="57">
        <v>50</v>
      </c>
      <c r="AE110" s="57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zoomScale="60" zoomScaleNormal="60" workbookViewId="0">
      <selection activeCell="L2" sqref="L2"/>
    </sheetView>
  </sheetViews>
  <sheetFormatPr defaultRowHeight="14.25" x14ac:dyDescent="0.25"/>
  <cols>
    <col min="1" max="1" width="18.7109375" style="97" customWidth="1"/>
    <col min="2" max="2" width="66.5703125" style="91" customWidth="1"/>
    <col min="3" max="3" width="40.42578125" style="60" bestFit="1" customWidth="1"/>
    <col min="4" max="4" width="48.7109375" style="60" bestFit="1" customWidth="1"/>
    <col min="5" max="5" width="18" style="61" bestFit="1" customWidth="1"/>
    <col min="6" max="6" width="19.7109375" style="61" bestFit="1" customWidth="1"/>
    <col min="7" max="7" width="18" style="61" bestFit="1" customWidth="1"/>
    <col min="8" max="8" width="19.140625" style="61" bestFit="1" customWidth="1"/>
    <col min="9" max="16384" width="9.140625" style="17"/>
  </cols>
  <sheetData>
    <row r="1" spans="1:8" s="130" customFormat="1" ht="60" customHeight="1" thickBot="1" x14ac:dyDescent="0.3">
      <c r="A1" s="129" t="s">
        <v>1962</v>
      </c>
      <c r="B1" s="8" t="s">
        <v>2912</v>
      </c>
      <c r="C1" s="8" t="s">
        <v>2906</v>
      </c>
      <c r="D1" s="8" t="s">
        <v>2907</v>
      </c>
      <c r="E1" s="1" t="s">
        <v>2940</v>
      </c>
      <c r="F1" s="1" t="s">
        <v>2941</v>
      </c>
      <c r="G1" s="1" t="s">
        <v>2942</v>
      </c>
      <c r="H1" s="1" t="s">
        <v>2943</v>
      </c>
    </row>
    <row r="2" spans="1:8" ht="163.69999999999999" customHeight="1" x14ac:dyDescent="0.25">
      <c r="A2" s="92" t="s">
        <v>2913</v>
      </c>
      <c r="B2" s="93" t="s">
        <v>517</v>
      </c>
      <c r="C2" s="122" t="s">
        <v>1979</v>
      </c>
      <c r="D2" s="123" t="s">
        <v>2022</v>
      </c>
      <c r="E2" s="127">
        <v>425397.29894000001</v>
      </c>
      <c r="F2" s="127">
        <v>2509203.5443000002</v>
      </c>
      <c r="G2" s="127">
        <v>152676.01079999999</v>
      </c>
      <c r="H2" s="127">
        <v>1408120.2420300001</v>
      </c>
    </row>
    <row r="3" spans="1:8" ht="175.7" customHeight="1" x14ac:dyDescent="0.25">
      <c r="A3" s="94" t="s">
        <v>2914</v>
      </c>
      <c r="B3" s="95" t="s">
        <v>475</v>
      </c>
      <c r="C3" s="124" t="s">
        <v>1980</v>
      </c>
      <c r="D3" s="125" t="s">
        <v>2022</v>
      </c>
      <c r="E3" s="128">
        <v>707665.79588999995</v>
      </c>
      <c r="F3" s="128">
        <v>3304794.8045800002</v>
      </c>
      <c r="G3" s="128">
        <v>530048.30185000005</v>
      </c>
      <c r="H3" s="128">
        <v>2713766.39224</v>
      </c>
    </row>
    <row r="4" spans="1:8" ht="215.45" customHeight="1" x14ac:dyDescent="0.25">
      <c r="A4" s="94" t="s">
        <v>2915</v>
      </c>
      <c r="B4" s="95" t="s">
        <v>493</v>
      </c>
      <c r="C4" s="124" t="s">
        <v>1982</v>
      </c>
      <c r="D4" s="125" t="s">
        <v>2022</v>
      </c>
      <c r="E4" s="128">
        <v>365796.85433</v>
      </c>
      <c r="F4" s="128">
        <v>2877094.6872700001</v>
      </c>
      <c r="G4" s="128">
        <v>401346.54519999999</v>
      </c>
      <c r="H4" s="128">
        <v>2691002.3371100002</v>
      </c>
    </row>
    <row r="5" spans="1:8" ht="193.7" customHeight="1" x14ac:dyDescent="0.25">
      <c r="A5" s="94" t="s">
        <v>2916</v>
      </c>
      <c r="B5" s="95" t="s">
        <v>502</v>
      </c>
      <c r="C5" s="124" t="s">
        <v>1984</v>
      </c>
      <c r="D5" s="125" t="s">
        <v>2022</v>
      </c>
      <c r="E5" s="128">
        <v>734061.26078999997</v>
      </c>
      <c r="F5" s="128">
        <v>2849346.9547100002</v>
      </c>
      <c r="G5" s="128">
        <v>410322.80803999997</v>
      </c>
      <c r="H5" s="128">
        <v>2928774.9800999998</v>
      </c>
    </row>
    <row r="6" spans="1:8" ht="246.95" customHeight="1" x14ac:dyDescent="0.25">
      <c r="A6" s="94" t="s">
        <v>2917</v>
      </c>
      <c r="B6" s="95" t="s">
        <v>538</v>
      </c>
      <c r="C6" s="124" t="s">
        <v>1987</v>
      </c>
      <c r="D6" s="125" t="s">
        <v>2022</v>
      </c>
      <c r="E6" s="128">
        <v>651243.89960999996</v>
      </c>
      <c r="F6" s="128">
        <v>3434181.6023900001</v>
      </c>
      <c r="G6" s="128">
        <v>358773.13509</v>
      </c>
      <c r="H6" s="128">
        <v>2532658.23881</v>
      </c>
    </row>
    <row r="7" spans="1:8" ht="194.45" customHeight="1" x14ac:dyDescent="0.25">
      <c r="A7" s="94" t="s">
        <v>2918</v>
      </c>
      <c r="B7" s="95" t="s">
        <v>505</v>
      </c>
      <c r="C7" s="124" t="s">
        <v>1986</v>
      </c>
      <c r="D7" s="125" t="s">
        <v>2022</v>
      </c>
      <c r="E7" s="128">
        <v>820214.39601000003</v>
      </c>
      <c r="F7" s="128">
        <v>3330841.5450400002</v>
      </c>
      <c r="G7" s="128">
        <v>365471.00313999999</v>
      </c>
      <c r="H7" s="128">
        <v>2747944.84075</v>
      </c>
    </row>
    <row r="8" spans="1:8" ht="264.95" customHeight="1" x14ac:dyDescent="0.25">
      <c r="A8" s="94" t="s">
        <v>2919</v>
      </c>
      <c r="B8" s="95" t="s">
        <v>574</v>
      </c>
      <c r="C8" s="124" t="s">
        <v>1990</v>
      </c>
      <c r="D8" s="125" t="s">
        <v>2022</v>
      </c>
      <c r="E8" s="128">
        <v>823764.39754999999</v>
      </c>
      <c r="F8" s="128">
        <v>3310290.7690300001</v>
      </c>
      <c r="G8" s="128">
        <v>352980.8578</v>
      </c>
      <c r="H8" s="128">
        <v>2421366.5113300001</v>
      </c>
    </row>
    <row r="9" spans="1:8" ht="215.45" customHeight="1" x14ac:dyDescent="0.25">
      <c r="A9" s="94" t="s">
        <v>2920</v>
      </c>
      <c r="B9" s="95" t="s">
        <v>577</v>
      </c>
      <c r="C9" s="124" t="s">
        <v>1981</v>
      </c>
      <c r="D9" s="125" t="s">
        <v>2022</v>
      </c>
      <c r="E9" s="128">
        <v>392636.04074000003</v>
      </c>
      <c r="F9" s="128">
        <v>1603421.10941</v>
      </c>
      <c r="G9" s="128">
        <v>289878.20925000001</v>
      </c>
      <c r="H9" s="128">
        <v>1245731.92567</v>
      </c>
    </row>
    <row r="10" spans="1:8" ht="222.95" customHeight="1" x14ac:dyDescent="0.25">
      <c r="A10" s="94" t="s">
        <v>2921</v>
      </c>
      <c r="B10" s="95" t="s">
        <v>472</v>
      </c>
      <c r="C10" s="124" t="s">
        <v>1991</v>
      </c>
      <c r="D10" s="125" t="s">
        <v>2022</v>
      </c>
      <c r="E10" s="128">
        <v>486569.88464</v>
      </c>
      <c r="F10" s="128">
        <v>1918860.65699</v>
      </c>
      <c r="G10" s="128">
        <v>643822.48794999998</v>
      </c>
      <c r="H10" s="128">
        <v>1204520.79354</v>
      </c>
    </row>
    <row r="11" spans="1:8" ht="264.2" customHeight="1" x14ac:dyDescent="0.25">
      <c r="A11" s="94" t="s">
        <v>2922</v>
      </c>
      <c r="B11" s="95" t="s">
        <v>508</v>
      </c>
      <c r="C11" s="124" t="s">
        <v>1985</v>
      </c>
      <c r="D11" s="125" t="s">
        <v>2022</v>
      </c>
      <c r="E11" s="128">
        <v>1005251.09349</v>
      </c>
      <c r="F11" s="128">
        <v>3402521.7960000001</v>
      </c>
      <c r="G11" s="128">
        <v>341590.69154999999</v>
      </c>
      <c r="H11" s="128">
        <v>2138126.1395700001</v>
      </c>
    </row>
    <row r="12" spans="1:8" ht="193.7" customHeight="1" x14ac:dyDescent="0.25">
      <c r="A12" s="94" t="s">
        <v>2923</v>
      </c>
      <c r="B12" s="95" t="s">
        <v>514</v>
      </c>
      <c r="C12" s="124" t="s">
        <v>1989</v>
      </c>
      <c r="D12" s="125" t="s">
        <v>2022</v>
      </c>
      <c r="E12" s="128">
        <v>0</v>
      </c>
      <c r="F12" s="128">
        <v>0</v>
      </c>
      <c r="G12" s="128">
        <v>47759.128389999998</v>
      </c>
      <c r="H12" s="128">
        <v>4052.2723999999998</v>
      </c>
    </row>
    <row r="13" spans="1:8" ht="264.95" customHeight="1" x14ac:dyDescent="0.25">
      <c r="A13" s="94" t="s">
        <v>2924</v>
      </c>
      <c r="B13" s="95" t="s">
        <v>499</v>
      </c>
      <c r="C13" s="124" t="s">
        <v>1983</v>
      </c>
      <c r="D13" s="125" t="s">
        <v>2022</v>
      </c>
      <c r="E13" s="128">
        <v>632303.44409</v>
      </c>
      <c r="F13" s="128">
        <v>2476868.9103899999</v>
      </c>
      <c r="G13" s="128">
        <v>584765.81368000002</v>
      </c>
      <c r="H13" s="128">
        <v>2102075.1676500002</v>
      </c>
    </row>
    <row r="14" spans="1:8" ht="248.45" customHeight="1" x14ac:dyDescent="0.25">
      <c r="A14" s="94" t="s">
        <v>2925</v>
      </c>
      <c r="B14" s="95" t="s">
        <v>511</v>
      </c>
      <c r="C14" s="124" t="s">
        <v>1988</v>
      </c>
      <c r="D14" s="125" t="s">
        <v>2022</v>
      </c>
      <c r="E14" s="128">
        <v>682185.41350999998</v>
      </c>
      <c r="F14" s="128">
        <v>2616137.00373</v>
      </c>
      <c r="G14" s="128">
        <v>197768.78998999999</v>
      </c>
      <c r="H14" s="128">
        <v>1208435.63402</v>
      </c>
    </row>
    <row r="15" spans="1:8" ht="195.2" customHeight="1" x14ac:dyDescent="0.2">
      <c r="A15" s="94" t="s">
        <v>2926</v>
      </c>
      <c r="B15" s="96" t="str">
        <f>"Chemistry 0"</f>
        <v>Chemistry 0</v>
      </c>
      <c r="C15" s="126" t="s">
        <v>2571</v>
      </c>
      <c r="D15" s="125" t="s">
        <v>2022</v>
      </c>
      <c r="E15" s="128">
        <v>782689.08681000001</v>
      </c>
      <c r="F15" s="128">
        <v>201539.39882999999</v>
      </c>
      <c r="G15" s="128">
        <v>9700.2340999999997</v>
      </c>
      <c r="H15" s="128">
        <v>687.86893999999995</v>
      </c>
    </row>
    <row r="16" spans="1:8" ht="220.7" customHeight="1" x14ac:dyDescent="0.2">
      <c r="A16" s="94" t="s">
        <v>2927</v>
      </c>
      <c r="B16" s="96" t="str">
        <f>"Chemistry 2"</f>
        <v>Chemistry 2</v>
      </c>
      <c r="C16" s="126" t="s">
        <v>2579</v>
      </c>
      <c r="D16" s="125" t="s">
        <v>2022</v>
      </c>
      <c r="E16" s="128">
        <v>910445.25482999999</v>
      </c>
      <c r="F16" s="128">
        <v>136547.78354</v>
      </c>
      <c r="G16" s="128">
        <v>84301.307769999999</v>
      </c>
      <c r="H16" s="128">
        <v>118.78579000000001</v>
      </c>
    </row>
    <row r="17" spans="1:8" ht="226.7" customHeight="1" x14ac:dyDescent="0.25">
      <c r="A17" s="94" t="s">
        <v>2928</v>
      </c>
      <c r="B17" s="95" t="s">
        <v>718</v>
      </c>
      <c r="C17" s="124" t="s">
        <v>2003</v>
      </c>
      <c r="D17" s="125" t="s">
        <v>2023</v>
      </c>
      <c r="E17" s="128">
        <v>797980.93874000001</v>
      </c>
      <c r="F17" s="128">
        <v>3032312.125</v>
      </c>
      <c r="G17" s="128">
        <v>321682.01757000003</v>
      </c>
      <c r="H17" s="128">
        <v>1816246.8025</v>
      </c>
    </row>
    <row r="18" spans="1:8" ht="204.95" customHeight="1" x14ac:dyDescent="0.25">
      <c r="A18" s="94" t="s">
        <v>2929</v>
      </c>
      <c r="B18" s="95" t="s">
        <v>727</v>
      </c>
      <c r="C18" s="124" t="s">
        <v>2004</v>
      </c>
      <c r="D18" s="125" t="s">
        <v>2023</v>
      </c>
      <c r="E18" s="128">
        <v>942169.98601999995</v>
      </c>
      <c r="F18" s="128">
        <v>2092507.2685</v>
      </c>
      <c r="G18" s="128">
        <v>366415.78262999997</v>
      </c>
      <c r="H18" s="128">
        <v>1140789.99425</v>
      </c>
    </row>
    <row r="19" spans="1:8" ht="114.95" customHeight="1" x14ac:dyDescent="0.25">
      <c r="A19" s="94" t="s">
        <v>2930</v>
      </c>
      <c r="B19" s="95" t="s">
        <v>715</v>
      </c>
      <c r="C19" s="124" t="s">
        <v>2006</v>
      </c>
      <c r="D19" s="125" t="s">
        <v>2023</v>
      </c>
      <c r="E19" s="128">
        <v>1624701.01318</v>
      </c>
      <c r="F19" s="128">
        <v>2642859.1626599999</v>
      </c>
      <c r="G19" s="128">
        <v>144005.87041</v>
      </c>
      <c r="H19" s="128">
        <v>319023.00056999997</v>
      </c>
    </row>
    <row r="20" spans="1:8" ht="114.2" customHeight="1" x14ac:dyDescent="0.25">
      <c r="A20" s="94" t="s">
        <v>2931</v>
      </c>
      <c r="B20" s="95" t="s">
        <v>700</v>
      </c>
      <c r="C20" s="124" t="s">
        <v>2005</v>
      </c>
      <c r="D20" s="125" t="s">
        <v>2023</v>
      </c>
      <c r="E20" s="128">
        <v>2078881.31253</v>
      </c>
      <c r="F20" s="128">
        <v>2394718.9858800001</v>
      </c>
      <c r="G20" s="128">
        <v>555804.64101999998</v>
      </c>
      <c r="H20" s="128">
        <v>1274538.1518999999</v>
      </c>
    </row>
    <row r="21" spans="1:8" ht="153.94999999999999" customHeight="1" x14ac:dyDescent="0.25">
      <c r="A21" s="94" t="s">
        <v>2932</v>
      </c>
      <c r="B21" s="95" t="s">
        <v>748</v>
      </c>
      <c r="C21" s="124" t="s">
        <v>2008</v>
      </c>
      <c r="D21" s="125" t="s">
        <v>2023</v>
      </c>
      <c r="E21" s="128">
        <v>1201290.3578300001</v>
      </c>
      <c r="F21" s="128">
        <v>2385914.80791</v>
      </c>
      <c r="G21" s="128">
        <v>396094.78103000001</v>
      </c>
      <c r="H21" s="128">
        <v>1312722.7983500001</v>
      </c>
    </row>
    <row r="22" spans="1:8" ht="174.2" customHeight="1" x14ac:dyDescent="0.25">
      <c r="A22" s="94" t="s">
        <v>2933</v>
      </c>
      <c r="B22" s="95" t="s">
        <v>754</v>
      </c>
      <c r="C22" s="124" t="s">
        <v>2009</v>
      </c>
      <c r="D22" s="125" t="s">
        <v>2023</v>
      </c>
      <c r="E22" s="128">
        <v>1439276.84375</v>
      </c>
      <c r="F22" s="128">
        <v>2918898.9979300001</v>
      </c>
      <c r="G22" s="128">
        <v>429078.36697999999</v>
      </c>
      <c r="H22" s="128">
        <v>1500121.03798</v>
      </c>
    </row>
    <row r="23" spans="1:8" ht="226.7" customHeight="1" x14ac:dyDescent="0.25">
      <c r="A23" s="94" t="s">
        <v>2934</v>
      </c>
      <c r="B23" s="95" t="s">
        <v>721</v>
      </c>
      <c r="C23" s="124" t="s">
        <v>2001</v>
      </c>
      <c r="D23" s="125" t="s">
        <v>2023</v>
      </c>
      <c r="E23" s="128">
        <v>771003.69987999997</v>
      </c>
      <c r="F23" s="128">
        <v>1565522.6706000001</v>
      </c>
      <c r="G23" s="128">
        <v>238060.45144999999</v>
      </c>
      <c r="H23" s="128">
        <v>577630.89558000001</v>
      </c>
    </row>
    <row r="24" spans="1:8" ht="204.95" customHeight="1" x14ac:dyDescent="0.25">
      <c r="A24" s="94" t="s">
        <v>2935</v>
      </c>
      <c r="B24" s="95" t="s">
        <v>703</v>
      </c>
      <c r="C24" s="124" t="s">
        <v>2002</v>
      </c>
      <c r="D24" s="125" t="s">
        <v>2023</v>
      </c>
      <c r="E24" s="128">
        <v>964063.59953999997</v>
      </c>
      <c r="F24" s="128">
        <v>2088728.53278</v>
      </c>
      <c r="G24" s="128">
        <v>271923.38160000002</v>
      </c>
      <c r="H24" s="128">
        <v>871030.30247999995</v>
      </c>
    </row>
    <row r="25" spans="1:8" ht="251.45" customHeight="1" x14ac:dyDescent="0.25">
      <c r="A25" s="94" t="s">
        <v>2936</v>
      </c>
      <c r="B25" s="95" t="s">
        <v>739</v>
      </c>
      <c r="C25" s="124" t="s">
        <v>2007</v>
      </c>
      <c r="D25" s="125" t="s">
        <v>2023</v>
      </c>
      <c r="E25" s="128">
        <v>43359.119420000003</v>
      </c>
      <c r="F25" s="128">
        <v>103593.6795</v>
      </c>
      <c r="G25" s="128">
        <v>23137.623200000002</v>
      </c>
      <c r="H25" s="128">
        <v>48010.781000000003</v>
      </c>
    </row>
    <row r="26" spans="1:8" ht="165.2" customHeight="1" x14ac:dyDescent="0.25">
      <c r="A26" s="94" t="s">
        <v>2937</v>
      </c>
      <c r="B26" s="95" t="s">
        <v>706</v>
      </c>
      <c r="C26" s="124" t="s">
        <v>2010</v>
      </c>
      <c r="D26" s="125" t="s">
        <v>2023</v>
      </c>
      <c r="E26" s="128">
        <v>1315925.6482200001</v>
      </c>
      <c r="F26" s="128">
        <v>2135014.4778200001</v>
      </c>
      <c r="G26" s="128">
        <v>369568.92778999999</v>
      </c>
      <c r="H26" s="128">
        <v>836914.88126000005</v>
      </c>
    </row>
    <row r="27" spans="1:8" ht="153.94999999999999" customHeight="1" x14ac:dyDescent="0.25">
      <c r="A27" s="94" t="s">
        <v>2938</v>
      </c>
      <c r="B27" s="95" t="s">
        <v>709</v>
      </c>
      <c r="C27" s="124" t="s">
        <v>2011</v>
      </c>
      <c r="D27" s="125" t="s">
        <v>2023</v>
      </c>
      <c r="E27" s="128">
        <v>1751225.6169700001</v>
      </c>
      <c r="F27" s="128">
        <v>2796189.03522</v>
      </c>
      <c r="G27" s="128">
        <v>288321.84323</v>
      </c>
      <c r="H27" s="128">
        <v>927058.43874999997</v>
      </c>
    </row>
    <row r="28" spans="1:8" ht="251.45" customHeight="1" x14ac:dyDescent="0.25">
      <c r="A28" s="94" t="s">
        <v>2939</v>
      </c>
      <c r="B28" s="95" t="s">
        <v>712</v>
      </c>
      <c r="C28" s="124" t="s">
        <v>2012</v>
      </c>
      <c r="D28" s="125" t="s">
        <v>2023</v>
      </c>
      <c r="E28" s="128">
        <v>922541.34757999994</v>
      </c>
      <c r="F28" s="128">
        <v>1556963.16805</v>
      </c>
      <c r="G28" s="128">
        <v>123534.85466</v>
      </c>
      <c r="H28" s="128">
        <v>258432.23934</v>
      </c>
    </row>
  </sheetData>
  <pageMargins left="0.7" right="0.7" top="0.75" bottom="0.75" header="0.3" footer="0.3"/>
  <pageSetup scale="25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zoomScale="60" zoomScaleNormal="60" workbookViewId="0">
      <selection activeCell="U11" sqref="U11"/>
    </sheetView>
  </sheetViews>
  <sheetFormatPr defaultRowHeight="15" x14ac:dyDescent="0.25"/>
  <cols>
    <col min="1" max="1" width="14.7109375" style="9" customWidth="1"/>
    <col min="2" max="3" width="14.7109375" style="20" customWidth="1"/>
    <col min="4" max="7" width="14.7109375" style="184" customWidth="1"/>
    <col min="8" max="8" width="14.5703125" style="184" customWidth="1"/>
    <col min="9" max="9" width="21.7109375" style="83" customWidth="1"/>
    <col min="10" max="10" width="14.7109375" style="9" customWidth="1"/>
    <col min="11" max="12" width="14.7109375" style="20" customWidth="1"/>
    <col min="13" max="15" width="14.7109375" style="186" customWidth="1"/>
    <col min="16" max="16" width="14.7109375" style="187" customWidth="1"/>
    <col min="17" max="17" width="15.140625" style="9" customWidth="1"/>
  </cols>
  <sheetData>
    <row r="1" spans="1:17" ht="30.75" customHeight="1" thickBot="1" x14ac:dyDescent="0.3">
      <c r="A1" s="229" t="s">
        <v>2910</v>
      </c>
      <c r="B1" s="230"/>
      <c r="C1" s="230"/>
      <c r="D1" s="230"/>
      <c r="E1" s="230"/>
      <c r="F1" s="230"/>
      <c r="G1" s="230"/>
      <c r="H1" s="231"/>
      <c r="I1" s="131"/>
      <c r="J1" s="229" t="s">
        <v>2911</v>
      </c>
      <c r="K1" s="230"/>
      <c r="L1" s="230"/>
      <c r="M1" s="230"/>
      <c r="N1" s="230"/>
      <c r="O1" s="230"/>
      <c r="P1" s="230"/>
      <c r="Q1" s="231"/>
    </row>
    <row r="2" spans="1:17" s="3" customFormat="1" ht="71.25" customHeight="1" thickBot="1" x14ac:dyDescent="0.3">
      <c r="A2" s="66" t="s">
        <v>2944</v>
      </c>
      <c r="B2" s="189" t="s">
        <v>1974</v>
      </c>
      <c r="C2" s="189" t="s">
        <v>1973</v>
      </c>
      <c r="D2" s="189" t="s">
        <v>1972</v>
      </c>
      <c r="E2" s="189" t="s">
        <v>1971</v>
      </c>
      <c r="F2" s="24" t="s">
        <v>2024</v>
      </c>
      <c r="G2" s="24" t="s">
        <v>1975</v>
      </c>
      <c r="H2" s="207" t="s">
        <v>2945</v>
      </c>
      <c r="I2" s="190"/>
      <c r="J2" s="66" t="s">
        <v>2944</v>
      </c>
      <c r="K2" s="189" t="s">
        <v>1974</v>
      </c>
      <c r="L2" s="189" t="s">
        <v>1973</v>
      </c>
      <c r="M2" s="189" t="s">
        <v>1970</v>
      </c>
      <c r="N2" s="189" t="s">
        <v>1969</v>
      </c>
      <c r="O2" s="24" t="s">
        <v>2025</v>
      </c>
      <c r="P2" s="24" t="s">
        <v>1976</v>
      </c>
      <c r="Q2" s="207" t="s">
        <v>2945</v>
      </c>
    </row>
    <row r="3" spans="1:17" ht="30" customHeight="1" thickBot="1" x14ac:dyDescent="0.3">
      <c r="A3" s="226" t="s">
        <v>2946</v>
      </c>
      <c r="B3" s="227"/>
      <c r="C3" s="227"/>
      <c r="D3" s="227"/>
      <c r="E3" s="227"/>
      <c r="F3" s="227"/>
      <c r="G3" s="227"/>
      <c r="H3" s="228"/>
      <c r="I3" s="84" t="s">
        <v>2909</v>
      </c>
      <c r="J3" s="226" t="s">
        <v>2946</v>
      </c>
      <c r="K3" s="227"/>
      <c r="L3" s="227"/>
      <c r="M3" s="227"/>
      <c r="N3" s="227"/>
      <c r="O3" s="227"/>
      <c r="P3" s="227"/>
      <c r="Q3" s="228"/>
    </row>
    <row r="4" spans="1:17" x14ac:dyDescent="0.25">
      <c r="A4" s="132">
        <v>41</v>
      </c>
      <c r="B4" s="133" t="s">
        <v>398</v>
      </c>
      <c r="C4" s="134" t="s">
        <v>243</v>
      </c>
      <c r="D4" s="191">
        <v>0.67861504342643886</v>
      </c>
      <c r="E4" s="192">
        <v>0</v>
      </c>
      <c r="F4" s="135">
        <f t="shared" ref="F4:F35" si="0">D4*E4</f>
        <v>0</v>
      </c>
      <c r="G4" s="136">
        <v>362.85660000000001</v>
      </c>
      <c r="H4" s="137" t="s">
        <v>2029</v>
      </c>
      <c r="I4" s="85" t="s">
        <v>2045</v>
      </c>
      <c r="J4" s="138">
        <v>25</v>
      </c>
      <c r="K4" s="133" t="s">
        <v>443</v>
      </c>
      <c r="L4" s="134" t="s">
        <v>149</v>
      </c>
      <c r="M4" s="197">
        <v>0</v>
      </c>
      <c r="N4" s="198">
        <v>1.226589321364044</v>
      </c>
      <c r="O4" s="139">
        <f t="shared" ref="O4:O36" si="1">M4*N4</f>
        <v>0</v>
      </c>
      <c r="P4" s="140">
        <v>127.34400000000001</v>
      </c>
      <c r="Q4" s="141" t="s">
        <v>2029</v>
      </c>
    </row>
    <row r="5" spans="1:17" ht="15.75" thickBot="1" x14ac:dyDescent="0.3">
      <c r="A5" s="142">
        <v>52</v>
      </c>
      <c r="B5" s="143" t="s">
        <v>334</v>
      </c>
      <c r="C5" s="144" t="s">
        <v>251</v>
      </c>
      <c r="D5" s="193">
        <v>0.87164356023117662</v>
      </c>
      <c r="E5" s="194">
        <v>0</v>
      </c>
      <c r="F5" s="145">
        <f t="shared" si="0"/>
        <v>0</v>
      </c>
      <c r="G5" s="146">
        <v>0</v>
      </c>
      <c r="H5" s="147" t="s">
        <v>2028</v>
      </c>
      <c r="I5" s="86" t="s">
        <v>2046</v>
      </c>
      <c r="J5" s="148">
        <v>52</v>
      </c>
      <c r="K5" s="143" t="s">
        <v>334</v>
      </c>
      <c r="L5" s="144" t="s">
        <v>251</v>
      </c>
      <c r="M5" s="199">
        <v>0.95858567689193952</v>
      </c>
      <c r="N5" s="200">
        <v>0</v>
      </c>
      <c r="O5" s="149">
        <f t="shared" si="1"/>
        <v>0</v>
      </c>
      <c r="P5" s="150">
        <v>0</v>
      </c>
      <c r="Q5" s="151" t="s">
        <v>2028</v>
      </c>
    </row>
    <row r="6" spans="1:17" ht="15.75" thickBot="1" x14ac:dyDescent="0.3">
      <c r="A6" s="142">
        <v>61</v>
      </c>
      <c r="B6" s="143" t="s">
        <v>409</v>
      </c>
      <c r="C6" s="144" t="s">
        <v>94</v>
      </c>
      <c r="D6" s="193">
        <v>0</v>
      </c>
      <c r="E6" s="194">
        <v>1.5684949040372081E-2</v>
      </c>
      <c r="F6" s="145">
        <f t="shared" si="0"/>
        <v>0</v>
      </c>
      <c r="G6" s="146">
        <v>0</v>
      </c>
      <c r="H6" s="147" t="s">
        <v>2028</v>
      </c>
      <c r="I6" s="82"/>
      <c r="J6" s="148">
        <v>73</v>
      </c>
      <c r="K6" s="143" t="s">
        <v>304</v>
      </c>
      <c r="L6" s="144" t="s">
        <v>248</v>
      </c>
      <c r="M6" s="199">
        <v>1.8779271283560051E-2</v>
      </c>
      <c r="N6" s="200">
        <v>0</v>
      </c>
      <c r="O6" s="149">
        <f t="shared" si="1"/>
        <v>0</v>
      </c>
      <c r="P6" s="150">
        <v>0</v>
      </c>
      <c r="Q6" s="151" t="s">
        <v>2028</v>
      </c>
    </row>
    <row r="7" spans="1:17" x14ac:dyDescent="0.25">
      <c r="A7" s="142">
        <v>73</v>
      </c>
      <c r="B7" s="143" t="s">
        <v>304</v>
      </c>
      <c r="C7" s="144" t="s">
        <v>248</v>
      </c>
      <c r="D7" s="193">
        <v>1.1123190714096348E-2</v>
      </c>
      <c r="E7" s="194">
        <v>0</v>
      </c>
      <c r="F7" s="145">
        <f t="shared" si="0"/>
        <v>0</v>
      </c>
      <c r="G7" s="146">
        <v>0</v>
      </c>
      <c r="H7" s="147" t="s">
        <v>2028</v>
      </c>
      <c r="I7" s="87" t="s">
        <v>2028</v>
      </c>
      <c r="J7" s="148">
        <v>109</v>
      </c>
      <c r="K7" s="143" t="s">
        <v>319</v>
      </c>
      <c r="L7" s="144" t="s">
        <v>205</v>
      </c>
      <c r="M7" s="199">
        <v>0</v>
      </c>
      <c r="N7" s="200">
        <v>1.0138530428455628</v>
      </c>
      <c r="O7" s="149">
        <f t="shared" si="1"/>
        <v>0</v>
      </c>
      <c r="P7" s="150">
        <v>0</v>
      </c>
      <c r="Q7" s="151" t="s">
        <v>2028</v>
      </c>
    </row>
    <row r="8" spans="1:17" ht="15.75" thickBot="1" x14ac:dyDescent="0.3">
      <c r="A8" s="142">
        <v>82</v>
      </c>
      <c r="B8" s="143" t="s">
        <v>326</v>
      </c>
      <c r="C8" s="144" t="s">
        <v>168</v>
      </c>
      <c r="D8" s="193">
        <v>2.3120915787819687E-2</v>
      </c>
      <c r="E8" s="194">
        <v>0</v>
      </c>
      <c r="F8" s="145">
        <f t="shared" si="0"/>
        <v>0</v>
      </c>
      <c r="G8" s="146">
        <v>9.9000000000000005E-2</v>
      </c>
      <c r="H8" s="147" t="s">
        <v>2028</v>
      </c>
      <c r="I8" s="88" t="s">
        <v>2040</v>
      </c>
      <c r="J8" s="148">
        <v>116</v>
      </c>
      <c r="K8" s="143" t="s">
        <v>372</v>
      </c>
      <c r="L8" s="144" t="s">
        <v>264</v>
      </c>
      <c r="M8" s="199">
        <v>0.14728835311672189</v>
      </c>
      <c r="N8" s="200">
        <v>0</v>
      </c>
      <c r="O8" s="149">
        <f t="shared" si="1"/>
        <v>0</v>
      </c>
      <c r="P8" s="150">
        <v>0</v>
      </c>
      <c r="Q8" s="151" t="s">
        <v>2028</v>
      </c>
    </row>
    <row r="9" spans="1:17" ht="15.75" thickBot="1" x14ac:dyDescent="0.3">
      <c r="A9" s="142">
        <v>115</v>
      </c>
      <c r="B9" s="143" t="s">
        <v>442</v>
      </c>
      <c r="C9" s="144" t="s">
        <v>259</v>
      </c>
      <c r="D9" s="193">
        <v>0.32787529718632419</v>
      </c>
      <c r="E9" s="194">
        <v>0</v>
      </c>
      <c r="F9" s="145">
        <f t="shared" si="0"/>
        <v>0</v>
      </c>
      <c r="G9" s="146">
        <v>0</v>
      </c>
      <c r="H9" s="147" t="s">
        <v>2028</v>
      </c>
      <c r="I9" s="82"/>
      <c r="J9" s="148">
        <v>119</v>
      </c>
      <c r="K9" s="143" t="s">
        <v>448</v>
      </c>
      <c r="L9" s="144" t="s">
        <v>162</v>
      </c>
      <c r="M9" s="199">
        <v>0</v>
      </c>
      <c r="N9" s="200">
        <v>1.6301392532531169</v>
      </c>
      <c r="O9" s="149">
        <f t="shared" si="1"/>
        <v>0</v>
      </c>
      <c r="P9" s="150">
        <v>0</v>
      </c>
      <c r="Q9" s="151" t="s">
        <v>2028</v>
      </c>
    </row>
    <row r="10" spans="1:17" x14ac:dyDescent="0.25">
      <c r="A10" s="142">
        <v>118</v>
      </c>
      <c r="B10" s="143" t="s">
        <v>287</v>
      </c>
      <c r="C10" s="144" t="s">
        <v>275</v>
      </c>
      <c r="D10" s="193">
        <v>5.0211872943528107E-2</v>
      </c>
      <c r="E10" s="194">
        <v>0</v>
      </c>
      <c r="F10" s="145">
        <f t="shared" si="0"/>
        <v>0</v>
      </c>
      <c r="G10" s="146">
        <v>0.64400000000000002</v>
      </c>
      <c r="H10" s="147" t="s">
        <v>2028</v>
      </c>
      <c r="I10" s="89" t="s">
        <v>2029</v>
      </c>
      <c r="J10" s="148">
        <v>123</v>
      </c>
      <c r="K10" s="143" t="s">
        <v>295</v>
      </c>
      <c r="L10" s="144" t="s">
        <v>262</v>
      </c>
      <c r="M10" s="199">
        <v>2.4986547023721794E-3</v>
      </c>
      <c r="N10" s="200">
        <v>0</v>
      </c>
      <c r="O10" s="149">
        <f t="shared" si="1"/>
        <v>0</v>
      </c>
      <c r="P10" s="150">
        <v>0</v>
      </c>
      <c r="Q10" s="151" t="s">
        <v>2028</v>
      </c>
    </row>
    <row r="11" spans="1:17" ht="15.75" thickBot="1" x14ac:dyDescent="0.3">
      <c r="A11" s="142">
        <v>127</v>
      </c>
      <c r="B11" s="143" t="s">
        <v>406</v>
      </c>
      <c r="C11" s="144" t="s">
        <v>274</v>
      </c>
      <c r="D11" s="193">
        <v>1.6031201471974392E-2</v>
      </c>
      <c r="E11" s="194">
        <v>0</v>
      </c>
      <c r="F11" s="145">
        <f t="shared" si="0"/>
        <v>0</v>
      </c>
      <c r="G11" s="146">
        <v>0</v>
      </c>
      <c r="H11" s="147" t="s">
        <v>2028</v>
      </c>
      <c r="I11" s="90" t="s">
        <v>2041</v>
      </c>
      <c r="J11" s="148">
        <v>126</v>
      </c>
      <c r="K11" s="143" t="s">
        <v>460</v>
      </c>
      <c r="L11" s="144" t="s">
        <v>118</v>
      </c>
      <c r="M11" s="199">
        <v>0</v>
      </c>
      <c r="N11" s="200">
        <v>1.1687314015705081</v>
      </c>
      <c r="O11" s="149">
        <f t="shared" si="1"/>
        <v>0</v>
      </c>
      <c r="P11" s="150">
        <v>66.254999999999995</v>
      </c>
      <c r="Q11" s="151" t="s">
        <v>2028</v>
      </c>
    </row>
    <row r="12" spans="1:17" ht="15.75" thickBot="1" x14ac:dyDescent="0.3">
      <c r="A12" s="142">
        <v>131</v>
      </c>
      <c r="B12" s="143" t="s">
        <v>424</v>
      </c>
      <c r="C12" s="144" t="s">
        <v>260</v>
      </c>
      <c r="D12" s="193">
        <v>1.0271988099512812</v>
      </c>
      <c r="E12" s="194">
        <v>0</v>
      </c>
      <c r="F12" s="145">
        <f t="shared" si="0"/>
        <v>0</v>
      </c>
      <c r="G12" s="146">
        <v>0</v>
      </c>
      <c r="H12" s="147" t="s">
        <v>2028</v>
      </c>
      <c r="I12" s="82"/>
      <c r="J12" s="148">
        <v>127</v>
      </c>
      <c r="K12" s="143" t="s">
        <v>406</v>
      </c>
      <c r="L12" s="144" t="s">
        <v>274</v>
      </c>
      <c r="M12" s="199">
        <v>0.39373462037796525</v>
      </c>
      <c r="N12" s="200">
        <v>0</v>
      </c>
      <c r="O12" s="149">
        <f t="shared" si="1"/>
        <v>0</v>
      </c>
      <c r="P12" s="150">
        <v>0</v>
      </c>
      <c r="Q12" s="151" t="s">
        <v>2028</v>
      </c>
    </row>
    <row r="13" spans="1:17" x14ac:dyDescent="0.25">
      <c r="A13" s="142">
        <v>132</v>
      </c>
      <c r="B13" s="143" t="s">
        <v>349</v>
      </c>
      <c r="C13" s="144" t="s">
        <v>263</v>
      </c>
      <c r="D13" s="193">
        <v>0.43112116919166094</v>
      </c>
      <c r="E13" s="194">
        <v>0</v>
      </c>
      <c r="F13" s="145">
        <f t="shared" si="0"/>
        <v>0</v>
      </c>
      <c r="G13" s="146">
        <v>0</v>
      </c>
      <c r="H13" s="147" t="s">
        <v>2028</v>
      </c>
      <c r="I13" s="89" t="s">
        <v>2908</v>
      </c>
      <c r="J13" s="148">
        <v>129</v>
      </c>
      <c r="K13" s="143" t="s">
        <v>346</v>
      </c>
      <c r="L13" s="144" t="s">
        <v>265</v>
      </c>
      <c r="M13" s="199">
        <v>0.90132441168273314</v>
      </c>
      <c r="N13" s="200">
        <v>0</v>
      </c>
      <c r="O13" s="149">
        <f t="shared" si="1"/>
        <v>0</v>
      </c>
      <c r="P13" s="150">
        <v>0</v>
      </c>
      <c r="Q13" s="151" t="s">
        <v>2028</v>
      </c>
    </row>
    <row r="14" spans="1:17" ht="15.75" thickBot="1" x14ac:dyDescent="0.3">
      <c r="A14" s="142">
        <v>134</v>
      </c>
      <c r="B14" s="143" t="s">
        <v>452</v>
      </c>
      <c r="C14" s="144" t="s">
        <v>252</v>
      </c>
      <c r="D14" s="193">
        <v>0</v>
      </c>
      <c r="E14" s="194">
        <v>4.3226599757052253E-3</v>
      </c>
      <c r="F14" s="145">
        <f t="shared" si="0"/>
        <v>0</v>
      </c>
      <c r="G14" s="146">
        <v>0</v>
      </c>
      <c r="H14" s="147" t="s">
        <v>2028</v>
      </c>
      <c r="I14" s="90" t="s">
        <v>2042</v>
      </c>
      <c r="J14" s="148">
        <v>134</v>
      </c>
      <c r="K14" s="143" t="s">
        <v>452</v>
      </c>
      <c r="L14" s="144" t="s">
        <v>252</v>
      </c>
      <c r="M14" s="199">
        <v>7.1810416148808537E-2</v>
      </c>
      <c r="N14" s="200">
        <v>0</v>
      </c>
      <c r="O14" s="149">
        <f t="shared" si="1"/>
        <v>0</v>
      </c>
      <c r="P14" s="150">
        <v>0</v>
      </c>
      <c r="Q14" s="151" t="s">
        <v>2028</v>
      </c>
    </row>
    <row r="15" spans="1:17" ht="15.75" thickBot="1" x14ac:dyDescent="0.3">
      <c r="A15" s="142">
        <v>137</v>
      </c>
      <c r="B15" s="143" t="s">
        <v>445</v>
      </c>
      <c r="C15" s="144" t="s">
        <v>238</v>
      </c>
      <c r="D15" s="193">
        <v>0</v>
      </c>
      <c r="E15" s="194">
        <v>1.128643069536963E-2</v>
      </c>
      <c r="F15" s="145">
        <f t="shared" si="0"/>
        <v>0</v>
      </c>
      <c r="G15" s="146">
        <v>0</v>
      </c>
      <c r="H15" s="147" t="s">
        <v>2028</v>
      </c>
      <c r="I15" s="82"/>
      <c r="J15" s="148">
        <v>77</v>
      </c>
      <c r="K15" s="143" t="s">
        <v>318</v>
      </c>
      <c r="L15" s="144" t="s">
        <v>114</v>
      </c>
      <c r="M15" s="199">
        <v>2.5771836062703775E-3</v>
      </c>
      <c r="N15" s="200">
        <v>1.306089445480418E-2</v>
      </c>
      <c r="O15" s="149">
        <f t="shared" si="1"/>
        <v>3.3660323072149016E-5</v>
      </c>
      <c r="P15" s="150">
        <v>0</v>
      </c>
      <c r="Q15" s="151" t="s">
        <v>2028</v>
      </c>
    </row>
    <row r="16" spans="1:17" x14ac:dyDescent="0.25">
      <c r="A16" s="142">
        <v>66</v>
      </c>
      <c r="B16" s="143" t="s">
        <v>328</v>
      </c>
      <c r="C16" s="144" t="s">
        <v>250</v>
      </c>
      <c r="D16" s="193">
        <v>5.6796523379216441E-3</v>
      </c>
      <c r="E16" s="194">
        <v>3.9515177310452902E-3</v>
      </c>
      <c r="F16" s="145">
        <f t="shared" si="0"/>
        <v>2.2443246919470214E-5</v>
      </c>
      <c r="G16" s="146">
        <v>0</v>
      </c>
      <c r="H16" s="147" t="s">
        <v>2028</v>
      </c>
      <c r="I16" s="89" t="s">
        <v>2026</v>
      </c>
      <c r="J16" s="148">
        <v>80</v>
      </c>
      <c r="K16" s="143" t="s">
        <v>317</v>
      </c>
      <c r="L16" s="144" t="s">
        <v>109</v>
      </c>
      <c r="M16" s="199">
        <v>3.9005386601583297E-3</v>
      </c>
      <c r="N16" s="200">
        <v>1.1000954802835429E-2</v>
      </c>
      <c r="O16" s="149">
        <f t="shared" si="1"/>
        <v>4.2909649507114045E-5</v>
      </c>
      <c r="P16" s="150">
        <v>0</v>
      </c>
      <c r="Q16" s="151" t="s">
        <v>2028</v>
      </c>
    </row>
    <row r="17" spans="1:17" ht="15.75" thickBot="1" x14ac:dyDescent="0.3">
      <c r="A17" s="142">
        <v>93</v>
      </c>
      <c r="B17" s="143" t="s">
        <v>331</v>
      </c>
      <c r="C17" s="144" t="s">
        <v>193</v>
      </c>
      <c r="D17" s="193">
        <v>2.7339692407869643E-3</v>
      </c>
      <c r="E17" s="194">
        <v>1.0949686631210804E-2</v>
      </c>
      <c r="F17" s="145">
        <f t="shared" si="0"/>
        <v>2.9936106445986577E-5</v>
      </c>
      <c r="G17" s="146">
        <v>0</v>
      </c>
      <c r="H17" s="147" t="s">
        <v>2028</v>
      </c>
      <c r="I17" s="90" t="s">
        <v>2043</v>
      </c>
      <c r="J17" s="148">
        <v>91</v>
      </c>
      <c r="K17" s="143" t="s">
        <v>374</v>
      </c>
      <c r="L17" s="144" t="s">
        <v>201</v>
      </c>
      <c r="M17" s="199">
        <v>1.5455245097543755E-2</v>
      </c>
      <c r="N17" s="200">
        <v>6.3279031905128244E-3</v>
      </c>
      <c r="O17" s="149">
        <f t="shared" si="1"/>
        <v>9.7799294762904816E-5</v>
      </c>
      <c r="P17" s="150">
        <v>0</v>
      </c>
      <c r="Q17" s="151" t="s">
        <v>2028</v>
      </c>
    </row>
    <row r="18" spans="1:17" x14ac:dyDescent="0.25">
      <c r="A18" s="142">
        <v>116</v>
      </c>
      <c r="B18" s="143" t="s">
        <v>372</v>
      </c>
      <c r="C18" s="144" t="s">
        <v>264</v>
      </c>
      <c r="D18" s="193">
        <v>4.765511609847217E-3</v>
      </c>
      <c r="E18" s="194">
        <v>6.8218978052149715E-3</v>
      </c>
      <c r="F18" s="145">
        <f t="shared" si="0"/>
        <v>3.2509833191943197E-5</v>
      </c>
      <c r="G18" s="146">
        <v>0</v>
      </c>
      <c r="H18" s="147" t="s">
        <v>2028</v>
      </c>
      <c r="J18" s="148">
        <v>76</v>
      </c>
      <c r="K18" s="143" t="s">
        <v>402</v>
      </c>
      <c r="L18" s="144" t="s">
        <v>127</v>
      </c>
      <c r="M18" s="199">
        <v>4.7887822709618465E-2</v>
      </c>
      <c r="N18" s="200">
        <v>2.8798594133897914E-3</v>
      </c>
      <c r="O18" s="149">
        <f t="shared" si="1"/>
        <v>1.3791019701703616E-4</v>
      </c>
      <c r="P18" s="150">
        <v>0</v>
      </c>
      <c r="Q18" s="151" t="s">
        <v>2028</v>
      </c>
    </row>
    <row r="19" spans="1:17" x14ac:dyDescent="0.25">
      <c r="A19" s="142">
        <v>124</v>
      </c>
      <c r="B19" s="143" t="s">
        <v>469</v>
      </c>
      <c r="C19" s="144" t="s">
        <v>218</v>
      </c>
      <c r="D19" s="193">
        <v>1.1020457646194545E-2</v>
      </c>
      <c r="E19" s="194">
        <v>3.5446082119830625E-3</v>
      </c>
      <c r="F19" s="145">
        <f t="shared" si="0"/>
        <v>3.9063204672512718E-5</v>
      </c>
      <c r="G19" s="146">
        <v>1.639</v>
      </c>
      <c r="H19" s="147" t="s">
        <v>2028</v>
      </c>
      <c r="I19" s="82"/>
      <c r="J19" s="148">
        <v>47</v>
      </c>
      <c r="K19" s="143" t="s">
        <v>280</v>
      </c>
      <c r="L19" s="144" t="s">
        <v>172</v>
      </c>
      <c r="M19" s="199">
        <v>2.2124529897833974E-2</v>
      </c>
      <c r="N19" s="200">
        <v>6.4021400608407445E-3</v>
      </c>
      <c r="O19" s="149">
        <f t="shared" si="1"/>
        <v>1.4164433918619168E-4</v>
      </c>
      <c r="P19" s="150">
        <v>0</v>
      </c>
      <c r="Q19" s="151" t="s">
        <v>2028</v>
      </c>
    </row>
    <row r="20" spans="1:17" x14ac:dyDescent="0.25">
      <c r="A20" s="142">
        <v>36</v>
      </c>
      <c r="B20" s="143" t="s">
        <v>291</v>
      </c>
      <c r="C20" s="144" t="s">
        <v>188</v>
      </c>
      <c r="D20" s="193">
        <v>1.3446136588633603E-2</v>
      </c>
      <c r="E20" s="194">
        <v>3.3227821506278984E-3</v>
      </c>
      <c r="F20" s="145">
        <f t="shared" si="0"/>
        <v>4.4678582651616436E-5</v>
      </c>
      <c r="G20" s="146">
        <v>0</v>
      </c>
      <c r="H20" s="147" t="s">
        <v>2028</v>
      </c>
      <c r="I20" s="82"/>
      <c r="J20" s="148">
        <v>82</v>
      </c>
      <c r="K20" s="143" t="s">
        <v>326</v>
      </c>
      <c r="L20" s="144" t="s">
        <v>168</v>
      </c>
      <c r="M20" s="199">
        <v>1.2277762236097306E-2</v>
      </c>
      <c r="N20" s="200">
        <v>1.4118908884769922E-2</v>
      </c>
      <c r="O20" s="149">
        <f t="shared" si="1"/>
        <v>1.7334860632032688E-4</v>
      </c>
      <c r="P20" s="150">
        <v>3.5013999999999998</v>
      </c>
      <c r="Q20" s="151" t="s">
        <v>2028</v>
      </c>
    </row>
    <row r="21" spans="1:17" x14ac:dyDescent="0.25">
      <c r="A21" s="142">
        <v>54</v>
      </c>
      <c r="B21" s="143" t="s">
        <v>288</v>
      </c>
      <c r="C21" s="144" t="s">
        <v>157</v>
      </c>
      <c r="D21" s="193">
        <v>1.0631813434858644E-2</v>
      </c>
      <c r="E21" s="194">
        <v>4.2771125903813545E-3</v>
      </c>
      <c r="F21" s="145">
        <f t="shared" si="0"/>
        <v>4.5473463100819543E-5</v>
      </c>
      <c r="G21" s="146">
        <v>1.5371999999999999</v>
      </c>
      <c r="H21" s="147" t="s">
        <v>2028</v>
      </c>
      <c r="I21" s="82"/>
      <c r="J21" s="148">
        <v>121</v>
      </c>
      <c r="K21" s="143" t="s">
        <v>463</v>
      </c>
      <c r="L21" s="144" t="s">
        <v>112</v>
      </c>
      <c r="M21" s="199">
        <v>8.9493075704672798E-2</v>
      </c>
      <c r="N21" s="200">
        <v>5.9193024749131275E-3</v>
      </c>
      <c r="O21" s="149">
        <f t="shared" si="1"/>
        <v>5.2973658450625757E-4</v>
      </c>
      <c r="P21" s="150">
        <v>1.1000000000000001</v>
      </c>
      <c r="Q21" s="151" t="s">
        <v>2028</v>
      </c>
    </row>
    <row r="22" spans="1:17" x14ac:dyDescent="0.25">
      <c r="A22" s="142">
        <v>123</v>
      </c>
      <c r="B22" s="143" t="s">
        <v>295</v>
      </c>
      <c r="C22" s="144" t="s">
        <v>262</v>
      </c>
      <c r="D22" s="193">
        <v>6.5838739062263566E-3</v>
      </c>
      <c r="E22" s="194">
        <v>1.0345474953165755E-2</v>
      </c>
      <c r="F22" s="145">
        <f t="shared" si="0"/>
        <v>6.8113302591666354E-5</v>
      </c>
      <c r="G22" s="146">
        <v>0</v>
      </c>
      <c r="H22" s="147" t="s">
        <v>2028</v>
      </c>
      <c r="I22" s="82"/>
      <c r="J22" s="148">
        <v>64</v>
      </c>
      <c r="K22" s="143" t="s">
        <v>281</v>
      </c>
      <c r="L22" s="144" t="s">
        <v>152</v>
      </c>
      <c r="M22" s="199">
        <v>0.10654216835304482</v>
      </c>
      <c r="N22" s="200">
        <v>8.9697790986168081E-3</v>
      </c>
      <c r="O22" s="149">
        <f t="shared" si="1"/>
        <v>9.5565971481445457E-4</v>
      </c>
      <c r="P22" s="150">
        <v>14.086799999999998</v>
      </c>
      <c r="Q22" s="151" t="s">
        <v>2028</v>
      </c>
    </row>
    <row r="23" spans="1:17" x14ac:dyDescent="0.25">
      <c r="A23" s="142">
        <v>58</v>
      </c>
      <c r="B23" s="143" t="s">
        <v>312</v>
      </c>
      <c r="C23" s="144" t="s">
        <v>124</v>
      </c>
      <c r="D23" s="193">
        <v>2.6357596070801365E-2</v>
      </c>
      <c r="E23" s="194">
        <v>3.2846067151662767E-3</v>
      </c>
      <c r="F23" s="145">
        <f t="shared" si="0"/>
        <v>8.6574337049794434E-5</v>
      </c>
      <c r="G23" s="146">
        <v>0</v>
      </c>
      <c r="H23" s="147" t="s">
        <v>2028</v>
      </c>
      <c r="I23" s="82"/>
      <c r="J23" s="148">
        <v>102</v>
      </c>
      <c r="K23" s="143" t="s">
        <v>285</v>
      </c>
      <c r="L23" s="144" t="s">
        <v>144</v>
      </c>
      <c r="M23" s="199">
        <v>0.47161171843304733</v>
      </c>
      <c r="N23" s="200">
        <v>2.270637484581122E-3</v>
      </c>
      <c r="O23" s="149">
        <f t="shared" si="1"/>
        <v>1.070859246041795E-3</v>
      </c>
      <c r="P23" s="150">
        <v>0.96</v>
      </c>
      <c r="Q23" s="151" t="s">
        <v>2028</v>
      </c>
    </row>
    <row r="24" spans="1:17" x14ac:dyDescent="0.25">
      <c r="A24" s="142">
        <v>104</v>
      </c>
      <c r="B24" s="143" t="s">
        <v>301</v>
      </c>
      <c r="C24" s="144" t="s">
        <v>129</v>
      </c>
      <c r="D24" s="193">
        <v>7.6629814403225451E-3</v>
      </c>
      <c r="E24" s="194">
        <v>1.1983634375662713E-2</v>
      </c>
      <c r="F24" s="145">
        <f t="shared" si="0"/>
        <v>9.1830367808314614E-5</v>
      </c>
      <c r="G24" s="146">
        <v>0</v>
      </c>
      <c r="H24" s="147" t="s">
        <v>2028</v>
      </c>
      <c r="I24" s="82"/>
      <c r="J24" s="148">
        <v>66</v>
      </c>
      <c r="K24" s="143" t="s">
        <v>328</v>
      </c>
      <c r="L24" s="144" t="s">
        <v>250</v>
      </c>
      <c r="M24" s="199">
        <v>0.33914928683566326</v>
      </c>
      <c r="N24" s="200">
        <v>3.4971880894566899E-3</v>
      </c>
      <c r="O24" s="149">
        <f t="shared" si="1"/>
        <v>1.1860688464694121E-3</v>
      </c>
      <c r="P24" s="150">
        <v>23.849999999999998</v>
      </c>
      <c r="Q24" s="151" t="s">
        <v>2028</v>
      </c>
    </row>
    <row r="25" spans="1:17" x14ac:dyDescent="0.25">
      <c r="A25" s="142">
        <v>121</v>
      </c>
      <c r="B25" s="143" t="s">
        <v>463</v>
      </c>
      <c r="C25" s="144" t="s">
        <v>112</v>
      </c>
      <c r="D25" s="193">
        <v>8.1398769142390793E-3</v>
      </c>
      <c r="E25" s="194">
        <v>1.2162817469501354E-2</v>
      </c>
      <c r="F25" s="145">
        <f t="shared" si="0"/>
        <v>9.9003837132097841E-5</v>
      </c>
      <c r="G25" s="146">
        <v>0</v>
      </c>
      <c r="H25" s="147" t="s">
        <v>2028</v>
      </c>
      <c r="I25" s="82"/>
      <c r="J25" s="148">
        <v>61</v>
      </c>
      <c r="K25" s="143" t="s">
        <v>409</v>
      </c>
      <c r="L25" s="144" t="s">
        <v>94</v>
      </c>
      <c r="M25" s="199">
        <v>2.3635950873319257E-2</v>
      </c>
      <c r="N25" s="200">
        <v>5.8840090753102862E-2</v>
      </c>
      <c r="O25" s="149">
        <f t="shared" si="1"/>
        <v>1.390741494421986E-3</v>
      </c>
      <c r="P25" s="150">
        <v>0</v>
      </c>
      <c r="Q25" s="151" t="s">
        <v>2028</v>
      </c>
    </row>
    <row r="26" spans="1:17" x14ac:dyDescent="0.25">
      <c r="A26" s="142">
        <v>144</v>
      </c>
      <c r="B26" s="143" t="s">
        <v>457</v>
      </c>
      <c r="C26" s="144" t="s">
        <v>110</v>
      </c>
      <c r="D26" s="193">
        <v>6.1048503620746717E-3</v>
      </c>
      <c r="E26" s="194">
        <v>1.6237492679767297E-2</v>
      </c>
      <c r="F26" s="145">
        <f t="shared" si="0"/>
        <v>9.9127463065262216E-5</v>
      </c>
      <c r="G26" s="146">
        <v>0</v>
      </c>
      <c r="H26" s="147" t="s">
        <v>2028</v>
      </c>
      <c r="I26" s="82"/>
      <c r="J26" s="148">
        <v>137</v>
      </c>
      <c r="K26" s="143" t="s">
        <v>445</v>
      </c>
      <c r="L26" s="144" t="s">
        <v>238</v>
      </c>
      <c r="M26" s="199">
        <v>7.5607035785035647E-3</v>
      </c>
      <c r="N26" s="200">
        <v>0.25185523678081284</v>
      </c>
      <c r="O26" s="149">
        <f t="shared" si="1"/>
        <v>1.9042027899935543E-3</v>
      </c>
      <c r="P26" s="150">
        <v>0</v>
      </c>
      <c r="Q26" s="151" t="s">
        <v>2028</v>
      </c>
    </row>
    <row r="27" spans="1:17" x14ac:dyDescent="0.25">
      <c r="A27" s="142">
        <v>80</v>
      </c>
      <c r="B27" s="143" t="s">
        <v>317</v>
      </c>
      <c r="C27" s="144" t="s">
        <v>109</v>
      </c>
      <c r="D27" s="193">
        <v>4.3687487135954358E-3</v>
      </c>
      <c r="E27" s="194">
        <v>2.4187069327051443E-2</v>
      </c>
      <c r="F27" s="145">
        <f t="shared" si="0"/>
        <v>1.0566722800819962E-4</v>
      </c>
      <c r="G27" s="146">
        <v>0</v>
      </c>
      <c r="H27" s="147" t="s">
        <v>2028</v>
      </c>
      <c r="I27" s="82"/>
      <c r="J27" s="148">
        <v>115</v>
      </c>
      <c r="K27" s="143" t="s">
        <v>442</v>
      </c>
      <c r="L27" s="144" t="s">
        <v>259</v>
      </c>
      <c r="M27" s="199">
        <v>3.9211347695488882E-2</v>
      </c>
      <c r="N27" s="200">
        <v>4.9853910122195012E-2</v>
      </c>
      <c r="O27" s="149">
        <f t="shared" si="1"/>
        <v>1.9548390037810413E-3</v>
      </c>
      <c r="P27" s="150">
        <v>36.895000000000003</v>
      </c>
      <c r="Q27" s="151" t="s">
        <v>2028</v>
      </c>
    </row>
    <row r="28" spans="1:17" x14ac:dyDescent="0.25">
      <c r="A28" s="142">
        <v>85</v>
      </c>
      <c r="B28" s="143" t="s">
        <v>299</v>
      </c>
      <c r="C28" s="144" t="s">
        <v>94</v>
      </c>
      <c r="D28" s="193">
        <v>8.5644870012602462E-3</v>
      </c>
      <c r="E28" s="194">
        <v>1.5684949040372081E-2</v>
      </c>
      <c r="F28" s="145">
        <f t="shared" si="0"/>
        <v>1.3433354217169606E-4</v>
      </c>
      <c r="G28" s="146">
        <v>0</v>
      </c>
      <c r="H28" s="147" t="s">
        <v>2028</v>
      </c>
      <c r="I28" s="82"/>
      <c r="J28" s="148">
        <v>122</v>
      </c>
      <c r="K28" s="143" t="s">
        <v>422</v>
      </c>
      <c r="L28" s="144" t="s">
        <v>268</v>
      </c>
      <c r="M28" s="199">
        <v>0.15674674632214378</v>
      </c>
      <c r="N28" s="200">
        <v>1.5962252149709706E-2</v>
      </c>
      <c r="O28" s="149">
        <f t="shared" si="1"/>
        <v>2.5020310884406416E-3</v>
      </c>
      <c r="P28" s="150">
        <v>0</v>
      </c>
      <c r="Q28" s="151" t="s">
        <v>2028</v>
      </c>
    </row>
    <row r="29" spans="1:17" x14ac:dyDescent="0.25">
      <c r="A29" s="142">
        <v>138</v>
      </c>
      <c r="B29" s="143" t="s">
        <v>456</v>
      </c>
      <c r="C29" s="144" t="s">
        <v>165</v>
      </c>
      <c r="D29" s="193">
        <v>8.2860965080256421E-3</v>
      </c>
      <c r="E29" s="194">
        <v>1.7648407926796499E-2</v>
      </c>
      <c r="F29" s="145">
        <f t="shared" si="0"/>
        <v>1.4623641129444054E-4</v>
      </c>
      <c r="G29" s="146">
        <v>0</v>
      </c>
      <c r="H29" s="147" t="s">
        <v>2028</v>
      </c>
      <c r="I29" s="82"/>
      <c r="J29" s="148">
        <v>113</v>
      </c>
      <c r="K29" s="143" t="s">
        <v>315</v>
      </c>
      <c r="L29" s="144" t="s">
        <v>224</v>
      </c>
      <c r="M29" s="199">
        <v>9.8006501593408835E-3</v>
      </c>
      <c r="N29" s="200">
        <v>0.26527345949162029</v>
      </c>
      <c r="O29" s="149">
        <f t="shared" si="1"/>
        <v>2.599852373035456E-3</v>
      </c>
      <c r="P29" s="150">
        <v>3.6707999999999998</v>
      </c>
      <c r="Q29" s="151" t="s">
        <v>2028</v>
      </c>
    </row>
    <row r="30" spans="1:17" x14ac:dyDescent="0.25">
      <c r="A30" s="142">
        <v>77</v>
      </c>
      <c r="B30" s="143" t="s">
        <v>318</v>
      </c>
      <c r="C30" s="144" t="s">
        <v>114</v>
      </c>
      <c r="D30" s="193">
        <v>8.8398195407506271E-3</v>
      </c>
      <c r="E30" s="194">
        <v>1.7412250214320104E-2</v>
      </c>
      <c r="F30" s="145">
        <f t="shared" si="0"/>
        <v>1.5392114969298615E-4</v>
      </c>
      <c r="G30" s="146">
        <v>0</v>
      </c>
      <c r="H30" s="147" t="s">
        <v>2028</v>
      </c>
      <c r="I30" s="82"/>
      <c r="J30" s="148">
        <v>107</v>
      </c>
      <c r="K30" s="143" t="s">
        <v>320</v>
      </c>
      <c r="L30" s="144" t="s">
        <v>86</v>
      </c>
      <c r="M30" s="199">
        <v>7.0515518313557244E-3</v>
      </c>
      <c r="N30" s="200">
        <v>0.38045928724459277</v>
      </c>
      <c r="O30" s="149">
        <f t="shared" si="1"/>
        <v>2.6828283837259017E-3</v>
      </c>
      <c r="P30" s="150">
        <v>6.3333000000000004</v>
      </c>
      <c r="Q30" s="151" t="s">
        <v>2028</v>
      </c>
    </row>
    <row r="31" spans="1:17" x14ac:dyDescent="0.25">
      <c r="A31" s="142">
        <v>69</v>
      </c>
      <c r="B31" s="143" t="s">
        <v>331</v>
      </c>
      <c r="C31" s="144" t="s">
        <v>181</v>
      </c>
      <c r="D31" s="193">
        <v>2.7339692407869643E-3</v>
      </c>
      <c r="E31" s="194">
        <v>7.4625509016870276E-2</v>
      </c>
      <c r="F31" s="145">
        <f t="shared" si="0"/>
        <v>2.0402384623019359E-4</v>
      </c>
      <c r="G31" s="146">
        <v>0</v>
      </c>
      <c r="H31" s="147" t="s">
        <v>2028</v>
      </c>
      <c r="I31" s="82"/>
      <c r="J31" s="148">
        <v>138</v>
      </c>
      <c r="K31" s="143" t="s">
        <v>456</v>
      </c>
      <c r="L31" s="144" t="s">
        <v>165</v>
      </c>
      <c r="M31" s="199">
        <v>0.19032228036031668</v>
      </c>
      <c r="N31" s="200">
        <v>1.4387745093253862E-2</v>
      </c>
      <c r="O31" s="149">
        <f t="shared" si="1"/>
        <v>2.7383084553910322E-3</v>
      </c>
      <c r="P31" s="150">
        <v>1.0395999999999999</v>
      </c>
      <c r="Q31" s="151" t="s">
        <v>2028</v>
      </c>
    </row>
    <row r="32" spans="1:17" x14ac:dyDescent="0.25">
      <c r="A32" s="142">
        <v>98</v>
      </c>
      <c r="B32" s="143" t="s">
        <v>365</v>
      </c>
      <c r="C32" s="144" t="s">
        <v>91</v>
      </c>
      <c r="D32" s="193">
        <v>1.7332581822311836E-2</v>
      </c>
      <c r="E32" s="194">
        <v>1.2716476442031969E-2</v>
      </c>
      <c r="F32" s="145">
        <f t="shared" si="0"/>
        <v>2.2040936842302001E-4</v>
      </c>
      <c r="G32" s="146">
        <v>0</v>
      </c>
      <c r="H32" s="147" t="s">
        <v>2028</v>
      </c>
      <c r="I32" s="82"/>
      <c r="J32" s="148">
        <v>60</v>
      </c>
      <c r="K32" s="143" t="s">
        <v>313</v>
      </c>
      <c r="L32" s="144" t="s">
        <v>207</v>
      </c>
      <c r="M32" s="199">
        <v>3.0520922198142247E-3</v>
      </c>
      <c r="N32" s="200">
        <v>0.92048522717870807</v>
      </c>
      <c r="O32" s="149">
        <f t="shared" si="1"/>
        <v>2.8094058003260642E-3</v>
      </c>
      <c r="P32" s="150">
        <v>0</v>
      </c>
      <c r="Q32" s="151" t="s">
        <v>2028</v>
      </c>
    </row>
    <row r="33" spans="1:17" x14ac:dyDescent="0.25">
      <c r="A33" s="142">
        <v>141</v>
      </c>
      <c r="B33" s="143" t="s">
        <v>411</v>
      </c>
      <c r="C33" s="144" t="s">
        <v>273</v>
      </c>
      <c r="D33" s="193">
        <v>2.0911607580990119E-2</v>
      </c>
      <c r="E33" s="194">
        <v>1.080597930855073E-2</v>
      </c>
      <c r="F33" s="145">
        <f t="shared" si="0"/>
        <v>2.2597039882871182E-4</v>
      </c>
      <c r="G33" s="146">
        <v>0</v>
      </c>
      <c r="H33" s="147" t="s">
        <v>2028</v>
      </c>
      <c r="I33" s="82"/>
      <c r="J33" s="148">
        <v>140</v>
      </c>
      <c r="K33" s="143" t="s">
        <v>289</v>
      </c>
      <c r="L33" s="144" t="s">
        <v>257</v>
      </c>
      <c r="M33" s="199">
        <v>0.90467809385728304</v>
      </c>
      <c r="N33" s="200">
        <v>3.2220842988497445E-3</v>
      </c>
      <c r="O33" s="149">
        <f t="shared" si="1"/>
        <v>2.9149490817308673E-3</v>
      </c>
      <c r="P33" s="150">
        <v>0</v>
      </c>
      <c r="Q33" s="151" t="s">
        <v>2028</v>
      </c>
    </row>
    <row r="34" spans="1:17" x14ac:dyDescent="0.25">
      <c r="A34" s="142">
        <v>95</v>
      </c>
      <c r="B34" s="143" t="s">
        <v>293</v>
      </c>
      <c r="C34" s="144" t="s">
        <v>238</v>
      </c>
      <c r="D34" s="193">
        <v>2.7757632538858913E-2</v>
      </c>
      <c r="E34" s="194">
        <v>1.128643069536963E-2</v>
      </c>
      <c r="F34" s="145">
        <f t="shared" si="0"/>
        <v>3.1328459591736807E-4</v>
      </c>
      <c r="G34" s="146">
        <v>1.6471</v>
      </c>
      <c r="H34" s="147" t="s">
        <v>2028</v>
      </c>
      <c r="I34" s="82"/>
      <c r="J34" s="148">
        <v>133</v>
      </c>
      <c r="K34" s="143" t="s">
        <v>431</v>
      </c>
      <c r="L34" s="144" t="s">
        <v>271</v>
      </c>
      <c r="M34" s="199">
        <v>2.6416831260666681E-2</v>
      </c>
      <c r="N34" s="200">
        <v>0.11222180356773302</v>
      </c>
      <c r="O34" s="149">
        <f t="shared" si="1"/>
        <v>2.9645444486164855E-3</v>
      </c>
      <c r="P34" s="150">
        <v>0</v>
      </c>
      <c r="Q34" s="151" t="s">
        <v>2028</v>
      </c>
    </row>
    <row r="35" spans="1:17" x14ac:dyDescent="0.25">
      <c r="A35" s="142">
        <v>10</v>
      </c>
      <c r="B35" s="143" t="s">
        <v>368</v>
      </c>
      <c r="C35" s="144" t="s">
        <v>190</v>
      </c>
      <c r="D35" s="193">
        <v>7.3196722388608887E-2</v>
      </c>
      <c r="E35" s="194">
        <v>4.5120506337907726E-3</v>
      </c>
      <c r="F35" s="145">
        <f t="shared" si="0"/>
        <v>3.3026731764492997E-4</v>
      </c>
      <c r="G35" s="146">
        <v>0.52200000000000002</v>
      </c>
      <c r="H35" s="147" t="s">
        <v>2028</v>
      </c>
      <c r="I35" s="82"/>
      <c r="J35" s="148">
        <v>86</v>
      </c>
      <c r="K35" s="143" t="s">
        <v>423</v>
      </c>
      <c r="L35" s="144" t="s">
        <v>93</v>
      </c>
      <c r="M35" s="199">
        <v>0.24951987907221265</v>
      </c>
      <c r="N35" s="200">
        <v>1.2220133789059352E-2</v>
      </c>
      <c r="O35" s="149">
        <f t="shared" si="1"/>
        <v>3.0491663052923494E-3</v>
      </c>
      <c r="P35" s="150">
        <v>0</v>
      </c>
      <c r="Q35" s="151" t="s">
        <v>2028</v>
      </c>
    </row>
    <row r="36" spans="1:17" x14ac:dyDescent="0.25">
      <c r="A36" s="142">
        <v>9</v>
      </c>
      <c r="B36" s="143" t="s">
        <v>355</v>
      </c>
      <c r="C36" s="144" t="s">
        <v>230</v>
      </c>
      <c r="D36" s="193">
        <v>2.6730927950976122E-2</v>
      </c>
      <c r="E36" s="194">
        <v>1.2637609269477414E-2</v>
      </c>
      <c r="F36" s="145">
        <f t="shared" ref="F36:F67" si="2">D36*E36</f>
        <v>3.3781502285498873E-4</v>
      </c>
      <c r="G36" s="146">
        <v>0</v>
      </c>
      <c r="H36" s="147" t="s">
        <v>2028</v>
      </c>
      <c r="I36" s="82"/>
      <c r="J36" s="148">
        <v>117</v>
      </c>
      <c r="K36" s="143" t="s">
        <v>447</v>
      </c>
      <c r="L36" s="144" t="s">
        <v>102</v>
      </c>
      <c r="M36" s="199">
        <v>0.10235428324705802</v>
      </c>
      <c r="N36" s="200">
        <v>3.340051575745185E-2</v>
      </c>
      <c r="O36" s="149">
        <f t="shared" si="1"/>
        <v>3.4186858504360513E-3</v>
      </c>
      <c r="P36" s="150">
        <v>44.9328</v>
      </c>
      <c r="Q36" s="151" t="s">
        <v>2028</v>
      </c>
    </row>
    <row r="37" spans="1:17" ht="15" customHeight="1" x14ac:dyDescent="0.25">
      <c r="A37" s="142">
        <v>107</v>
      </c>
      <c r="B37" s="143" t="s">
        <v>320</v>
      </c>
      <c r="C37" s="144" t="s">
        <v>86</v>
      </c>
      <c r="D37" s="193">
        <v>1.0195528260070971E-2</v>
      </c>
      <c r="E37" s="194">
        <v>3.4536996468062964E-2</v>
      </c>
      <c r="F37" s="145">
        <f t="shared" si="2"/>
        <v>3.5212292350810724E-4</v>
      </c>
      <c r="G37" s="146">
        <v>0</v>
      </c>
      <c r="H37" s="147" t="s">
        <v>2028</v>
      </c>
      <c r="I37" s="82"/>
      <c r="J37" s="148">
        <v>139</v>
      </c>
      <c r="K37" s="143" t="s">
        <v>455</v>
      </c>
      <c r="L37" s="144" t="s">
        <v>241</v>
      </c>
      <c r="M37" s="199">
        <v>0.60515471670712218</v>
      </c>
      <c r="N37" s="200">
        <v>6.115415882380351E-3</v>
      </c>
      <c r="O37" s="149">
        <f t="shared" ref="O37:O50" si="3">M37*N37</f>
        <v>3.7007727658481169E-3</v>
      </c>
      <c r="P37" s="150">
        <v>0</v>
      </c>
      <c r="Q37" s="151" t="s">
        <v>2028</v>
      </c>
    </row>
    <row r="38" spans="1:17" ht="15.75" customHeight="1" x14ac:dyDescent="0.25">
      <c r="A38" s="142">
        <v>109</v>
      </c>
      <c r="B38" s="143" t="s">
        <v>319</v>
      </c>
      <c r="C38" s="144" t="s">
        <v>205</v>
      </c>
      <c r="D38" s="193">
        <v>4.8540520236264682E-3</v>
      </c>
      <c r="E38" s="194">
        <v>7.9635047911639084E-2</v>
      </c>
      <c r="F38" s="145">
        <f t="shared" si="2"/>
        <v>3.8655266546708245E-4</v>
      </c>
      <c r="G38" s="146">
        <v>0</v>
      </c>
      <c r="H38" s="147" t="s">
        <v>2028</v>
      </c>
      <c r="I38" s="82"/>
      <c r="J38" s="148">
        <v>42</v>
      </c>
      <c r="K38" s="143" t="s">
        <v>421</v>
      </c>
      <c r="L38" s="144" t="s">
        <v>184</v>
      </c>
      <c r="M38" s="199">
        <v>0.29030046183615899</v>
      </c>
      <c r="N38" s="200">
        <v>1.2797886850863405E-2</v>
      </c>
      <c r="O38" s="149">
        <f t="shared" si="3"/>
        <v>3.715232463332553E-3</v>
      </c>
      <c r="P38" s="150">
        <v>445.86880000000002</v>
      </c>
      <c r="Q38" s="151" t="s">
        <v>2029</v>
      </c>
    </row>
    <row r="39" spans="1:17" x14ac:dyDescent="0.25">
      <c r="A39" s="142">
        <v>20</v>
      </c>
      <c r="B39" s="143" t="s">
        <v>292</v>
      </c>
      <c r="C39" s="144" t="s">
        <v>138</v>
      </c>
      <c r="D39" s="193">
        <v>1.7062910412111432E-2</v>
      </c>
      <c r="E39" s="194">
        <v>2.4277567294381842E-2</v>
      </c>
      <c r="F39" s="145">
        <f t="shared" si="2"/>
        <v>4.1424595576804391E-4</v>
      </c>
      <c r="G39" s="146">
        <v>51.927600000000005</v>
      </c>
      <c r="H39" s="147" t="s">
        <v>2028</v>
      </c>
      <c r="I39" s="82"/>
      <c r="J39" s="148">
        <v>124</v>
      </c>
      <c r="K39" s="143" t="s">
        <v>469</v>
      </c>
      <c r="L39" s="144" t="s">
        <v>218</v>
      </c>
      <c r="M39" s="199">
        <v>0.152977322092713</v>
      </c>
      <c r="N39" s="200">
        <v>2.4292336367751247E-2</v>
      </c>
      <c r="O39" s="149">
        <f t="shared" si="3"/>
        <v>3.7161765649140082E-3</v>
      </c>
      <c r="P39" s="150">
        <v>2.3220000000000001</v>
      </c>
      <c r="Q39" s="151" t="s">
        <v>2028</v>
      </c>
    </row>
    <row r="40" spans="1:17" x14ac:dyDescent="0.25">
      <c r="A40" s="142">
        <v>50</v>
      </c>
      <c r="B40" s="143" t="s">
        <v>410</v>
      </c>
      <c r="C40" s="144" t="s">
        <v>189</v>
      </c>
      <c r="D40" s="193">
        <v>0.10248655803880066</v>
      </c>
      <c r="E40" s="194">
        <v>4.0939035982467606E-3</v>
      </c>
      <c r="F40" s="145">
        <f t="shared" si="2"/>
        <v>4.1957008872697149E-4</v>
      </c>
      <c r="G40" s="146">
        <v>0</v>
      </c>
      <c r="H40" s="147" t="s">
        <v>2028</v>
      </c>
      <c r="I40" s="82"/>
      <c r="J40" s="148">
        <v>67</v>
      </c>
      <c r="K40" s="143" t="s">
        <v>428</v>
      </c>
      <c r="L40" s="144" t="s">
        <v>186</v>
      </c>
      <c r="M40" s="199">
        <v>2.8860629073015856E-2</v>
      </c>
      <c r="N40" s="200">
        <v>0.13836639490539088</v>
      </c>
      <c r="O40" s="149">
        <f t="shared" si="3"/>
        <v>3.9933411995349173E-3</v>
      </c>
      <c r="P40" s="150">
        <v>0</v>
      </c>
      <c r="Q40" s="151" t="s">
        <v>2028</v>
      </c>
    </row>
    <row r="41" spans="1:17" x14ac:dyDescent="0.25">
      <c r="A41" s="142">
        <v>117</v>
      </c>
      <c r="B41" s="143" t="s">
        <v>447</v>
      </c>
      <c r="C41" s="144" t="s">
        <v>102</v>
      </c>
      <c r="D41" s="193">
        <v>1.0501249406471971E-2</v>
      </c>
      <c r="E41" s="194">
        <v>4.1787195450471805E-2</v>
      </c>
      <c r="F41" s="145">
        <f t="shared" si="2"/>
        <v>4.3881776142239528E-4</v>
      </c>
      <c r="G41" s="146">
        <v>11.0236</v>
      </c>
      <c r="H41" s="147" t="s">
        <v>2028</v>
      </c>
      <c r="I41" s="82"/>
      <c r="J41" s="148">
        <v>141</v>
      </c>
      <c r="K41" s="143" t="s">
        <v>411</v>
      </c>
      <c r="L41" s="144" t="s">
        <v>273</v>
      </c>
      <c r="M41" s="199">
        <v>0.6711412221059565</v>
      </c>
      <c r="N41" s="200">
        <v>6.5573941217774295E-3</v>
      </c>
      <c r="O41" s="149">
        <f t="shared" si="3"/>
        <v>4.4009375047201196E-3</v>
      </c>
      <c r="P41" s="150">
        <v>178.96119999999999</v>
      </c>
      <c r="Q41" s="151" t="s">
        <v>2029</v>
      </c>
    </row>
    <row r="42" spans="1:17" x14ac:dyDescent="0.25">
      <c r="A42" s="142">
        <v>91</v>
      </c>
      <c r="B42" s="143" t="s">
        <v>374</v>
      </c>
      <c r="C42" s="144" t="s">
        <v>201</v>
      </c>
      <c r="D42" s="193">
        <v>5.2788662762117453E-2</v>
      </c>
      <c r="E42" s="194">
        <v>9.6335192901179385E-3</v>
      </c>
      <c r="F42" s="145">
        <f t="shared" si="2"/>
        <v>5.0854060101838895E-4</v>
      </c>
      <c r="G42" s="146">
        <v>0</v>
      </c>
      <c r="H42" s="147" t="s">
        <v>2028</v>
      </c>
      <c r="I42" s="82"/>
      <c r="J42" s="148">
        <v>136</v>
      </c>
      <c r="K42" s="143" t="s">
        <v>462</v>
      </c>
      <c r="L42" s="144" t="s">
        <v>158</v>
      </c>
      <c r="M42" s="199">
        <v>6.0890959652207827E-3</v>
      </c>
      <c r="N42" s="200">
        <v>0.74813282557689065</v>
      </c>
      <c r="O42" s="149">
        <f t="shared" si="3"/>
        <v>4.5554525696694685E-3</v>
      </c>
      <c r="P42" s="150">
        <v>3.5412000000000003</v>
      </c>
      <c r="Q42" s="151" t="s">
        <v>2028</v>
      </c>
    </row>
    <row r="43" spans="1:17" x14ac:dyDescent="0.25">
      <c r="A43" s="142">
        <v>33</v>
      </c>
      <c r="B43" s="143" t="s">
        <v>436</v>
      </c>
      <c r="C43" s="144" t="s">
        <v>216</v>
      </c>
      <c r="D43" s="193">
        <v>2.6195046531273983E-2</v>
      </c>
      <c r="E43" s="194">
        <v>2.3085372341624624E-2</v>
      </c>
      <c r="F43" s="145">
        <f t="shared" si="2"/>
        <v>6.0472240268064244E-4</v>
      </c>
      <c r="G43" s="146">
        <v>0</v>
      </c>
      <c r="H43" s="147" t="s">
        <v>2028</v>
      </c>
      <c r="I43" s="82"/>
      <c r="J43" s="148">
        <v>38</v>
      </c>
      <c r="K43" s="143" t="s">
        <v>286</v>
      </c>
      <c r="L43" s="144" t="s">
        <v>151</v>
      </c>
      <c r="M43" s="199">
        <v>0.19638604989685254</v>
      </c>
      <c r="N43" s="200">
        <v>2.522288169137258E-2</v>
      </c>
      <c r="O43" s="149">
        <f t="shared" si="3"/>
        <v>4.953422102384304E-3</v>
      </c>
      <c r="P43" s="150">
        <v>19.967499999999998</v>
      </c>
      <c r="Q43" s="151" t="s">
        <v>2028</v>
      </c>
    </row>
    <row r="44" spans="1:17" x14ac:dyDescent="0.25">
      <c r="A44" s="142">
        <v>108</v>
      </c>
      <c r="B44" s="143" t="s">
        <v>377</v>
      </c>
      <c r="C44" s="144" t="s">
        <v>228</v>
      </c>
      <c r="D44" s="193">
        <v>3.8223585514025736E-2</v>
      </c>
      <c r="E44" s="194">
        <v>1.6592663087859217E-2</v>
      </c>
      <c r="F44" s="145">
        <f t="shared" si="2"/>
        <v>6.342310764442051E-4</v>
      </c>
      <c r="G44" s="146">
        <v>0</v>
      </c>
      <c r="H44" s="147" t="s">
        <v>2028</v>
      </c>
      <c r="I44" s="82"/>
      <c r="J44" s="148">
        <v>78</v>
      </c>
      <c r="K44" s="143" t="s">
        <v>382</v>
      </c>
      <c r="L44" s="144" t="s">
        <v>239</v>
      </c>
      <c r="M44" s="199">
        <v>0.11841600107686674</v>
      </c>
      <c r="N44" s="200">
        <v>4.5184076308074049E-2</v>
      </c>
      <c r="O44" s="149">
        <f t="shared" si="3"/>
        <v>5.350517628754126E-3</v>
      </c>
      <c r="P44" s="150">
        <v>0</v>
      </c>
      <c r="Q44" s="151" t="s">
        <v>2028</v>
      </c>
    </row>
    <row r="45" spans="1:17" x14ac:dyDescent="0.25">
      <c r="A45" s="142">
        <v>113</v>
      </c>
      <c r="B45" s="143" t="s">
        <v>315</v>
      </c>
      <c r="C45" s="144" t="s">
        <v>224</v>
      </c>
      <c r="D45" s="193">
        <v>7.8752924830995958E-3</v>
      </c>
      <c r="E45" s="194">
        <v>9.4266950529617199E-2</v>
      </c>
      <c r="F45" s="145">
        <f t="shared" si="2"/>
        <v>7.4237980691061584E-4</v>
      </c>
      <c r="G45" s="146">
        <v>0</v>
      </c>
      <c r="H45" s="147" t="s">
        <v>2028</v>
      </c>
      <c r="I45" s="82"/>
      <c r="J45" s="148">
        <v>97</v>
      </c>
      <c r="K45" s="143" t="s">
        <v>336</v>
      </c>
      <c r="L45" s="144" t="s">
        <v>112</v>
      </c>
      <c r="M45" s="199">
        <v>0.91202057383646951</v>
      </c>
      <c r="N45" s="200">
        <v>5.9193024749131275E-3</v>
      </c>
      <c r="O45" s="149">
        <f t="shared" si="3"/>
        <v>5.3985256398819048E-3</v>
      </c>
      <c r="P45" s="150">
        <v>0</v>
      </c>
      <c r="Q45" s="151" t="s">
        <v>2028</v>
      </c>
    </row>
    <row r="46" spans="1:17" x14ac:dyDescent="0.25">
      <c r="A46" s="142">
        <v>100</v>
      </c>
      <c r="B46" s="143" t="s">
        <v>375</v>
      </c>
      <c r="C46" s="144" t="s">
        <v>117</v>
      </c>
      <c r="D46" s="193">
        <v>8.1155338324424245E-2</v>
      </c>
      <c r="E46" s="194">
        <v>9.7154968026186457E-3</v>
      </c>
      <c r="F46" s="145">
        <f t="shared" si="2"/>
        <v>7.8846443000637817E-4</v>
      </c>
      <c r="G46" s="146">
        <v>0</v>
      </c>
      <c r="H46" s="147" t="s">
        <v>2028</v>
      </c>
      <c r="I46" s="82"/>
      <c r="J46" s="148">
        <v>19</v>
      </c>
      <c r="K46" s="143" t="s">
        <v>302</v>
      </c>
      <c r="L46" s="144" t="s">
        <v>235</v>
      </c>
      <c r="M46" s="199">
        <v>0.53941718318382448</v>
      </c>
      <c r="N46" s="200">
        <v>1.0047729406252854E-2</v>
      </c>
      <c r="O46" s="149">
        <f t="shared" si="3"/>
        <v>5.4199178937141962E-3</v>
      </c>
      <c r="P46" s="150">
        <v>1474.8</v>
      </c>
      <c r="Q46" s="151" t="s">
        <v>2029</v>
      </c>
    </row>
    <row r="47" spans="1:17" x14ac:dyDescent="0.25">
      <c r="A47" s="142">
        <v>45</v>
      </c>
      <c r="B47" s="143" t="s">
        <v>419</v>
      </c>
      <c r="C47" s="144" t="s">
        <v>209</v>
      </c>
      <c r="D47" s="193">
        <v>6.6599313695376782E-3</v>
      </c>
      <c r="E47" s="194">
        <v>0.1372815587834107</v>
      </c>
      <c r="F47" s="145">
        <f t="shared" si="2"/>
        <v>9.1428575980066773E-4</v>
      </c>
      <c r="G47" s="146">
        <v>36.620100000000001</v>
      </c>
      <c r="H47" s="147" t="s">
        <v>2028</v>
      </c>
      <c r="I47" s="82"/>
      <c r="J47" s="148">
        <v>51</v>
      </c>
      <c r="K47" s="143" t="s">
        <v>395</v>
      </c>
      <c r="L47" s="144" t="s">
        <v>107</v>
      </c>
      <c r="M47" s="199">
        <v>0.19983888546652134</v>
      </c>
      <c r="N47" s="200">
        <v>2.7152117478684977E-2</v>
      </c>
      <c r="O47" s="149">
        <f t="shared" si="3"/>
        <v>5.426048894996459E-3</v>
      </c>
      <c r="P47" s="150">
        <v>302.08749999999998</v>
      </c>
      <c r="Q47" s="151" t="s">
        <v>2029</v>
      </c>
    </row>
    <row r="48" spans="1:17" x14ac:dyDescent="0.25">
      <c r="A48" s="142">
        <v>122</v>
      </c>
      <c r="B48" s="143" t="s">
        <v>422</v>
      </c>
      <c r="C48" s="144" t="s">
        <v>268</v>
      </c>
      <c r="D48" s="193">
        <v>0.14989673174810184</v>
      </c>
      <c r="E48" s="194">
        <v>6.8510653554104571E-3</v>
      </c>
      <c r="F48" s="145">
        <f t="shared" si="2"/>
        <v>1.0269523057686752E-3</v>
      </c>
      <c r="G48" s="146">
        <v>0</v>
      </c>
      <c r="H48" s="147" t="s">
        <v>2028</v>
      </c>
      <c r="I48" s="82"/>
      <c r="J48" s="148">
        <v>36</v>
      </c>
      <c r="K48" s="143" t="s">
        <v>291</v>
      </c>
      <c r="L48" s="144" t="s">
        <v>188</v>
      </c>
      <c r="M48" s="199">
        <v>0.35772265563375621</v>
      </c>
      <c r="N48" s="200">
        <v>1.6227383594967754E-2</v>
      </c>
      <c r="O48" s="149">
        <f t="shared" si="3"/>
        <v>5.8049027535795146E-3</v>
      </c>
      <c r="P48" s="150">
        <v>0</v>
      </c>
      <c r="Q48" s="151" t="s">
        <v>2028</v>
      </c>
    </row>
    <row r="49" spans="1:17" x14ac:dyDescent="0.25">
      <c r="A49" s="142">
        <v>48</v>
      </c>
      <c r="B49" s="143" t="s">
        <v>386</v>
      </c>
      <c r="C49" s="144" t="s">
        <v>115</v>
      </c>
      <c r="D49" s="193">
        <v>2.64458907062236E-2</v>
      </c>
      <c r="E49" s="194">
        <v>3.9939199266851251E-2</v>
      </c>
      <c r="F49" s="145">
        <f t="shared" si="2"/>
        <v>1.0562276987052339E-3</v>
      </c>
      <c r="G49" s="146">
        <v>6.1639999999999997</v>
      </c>
      <c r="H49" s="147" t="s">
        <v>2028</v>
      </c>
      <c r="I49" s="82"/>
      <c r="J49" s="148">
        <v>40</v>
      </c>
      <c r="K49" s="143" t="s">
        <v>316</v>
      </c>
      <c r="L49" s="144" t="s">
        <v>135</v>
      </c>
      <c r="M49" s="199">
        <v>1.3591328172760253</v>
      </c>
      <c r="N49" s="200">
        <v>4.3420880465347414E-3</v>
      </c>
      <c r="O49" s="149">
        <f t="shared" si="3"/>
        <v>5.9014743595473167E-3</v>
      </c>
      <c r="P49" s="150">
        <v>0</v>
      </c>
      <c r="Q49" s="151" t="s">
        <v>2028</v>
      </c>
    </row>
    <row r="50" spans="1:17" ht="15.75" thickBot="1" x14ac:dyDescent="0.3">
      <c r="A50" s="142">
        <v>64</v>
      </c>
      <c r="B50" s="143" t="s">
        <v>281</v>
      </c>
      <c r="C50" s="144" t="s">
        <v>152</v>
      </c>
      <c r="D50" s="193">
        <v>0.85711942336424529</v>
      </c>
      <c r="E50" s="194">
        <v>1.2948756203644055E-3</v>
      </c>
      <c r="F50" s="145">
        <f t="shared" si="2"/>
        <v>1.1098630450551586E-3</v>
      </c>
      <c r="G50" s="146">
        <v>0</v>
      </c>
      <c r="H50" s="147" t="s">
        <v>2028</v>
      </c>
      <c r="I50" s="82"/>
      <c r="J50" s="152">
        <v>33</v>
      </c>
      <c r="K50" s="153" t="s">
        <v>436</v>
      </c>
      <c r="L50" s="154" t="s">
        <v>216</v>
      </c>
      <c r="M50" s="201">
        <v>4.6572424894089963E-2</v>
      </c>
      <c r="N50" s="202">
        <v>0.15031050010154665</v>
      </c>
      <c r="O50" s="155">
        <f t="shared" si="3"/>
        <v>7.0003244767723833E-3</v>
      </c>
      <c r="P50" s="156">
        <v>9.2541000000000011</v>
      </c>
      <c r="Q50" s="157" t="s">
        <v>2028</v>
      </c>
    </row>
    <row r="51" spans="1:17" x14ac:dyDescent="0.25">
      <c r="A51" s="142">
        <v>37</v>
      </c>
      <c r="B51" s="143" t="s">
        <v>363</v>
      </c>
      <c r="C51" s="144" t="s">
        <v>175</v>
      </c>
      <c r="D51" s="193">
        <v>7.5451208341943743E-2</v>
      </c>
      <c r="E51" s="194">
        <v>1.5943451910316851E-2</v>
      </c>
      <c r="F51" s="145">
        <f t="shared" si="2"/>
        <v>1.2029527117750777E-3</v>
      </c>
      <c r="G51" s="146">
        <v>0</v>
      </c>
      <c r="H51" s="147" t="s">
        <v>2028</v>
      </c>
      <c r="I51" s="82"/>
      <c r="J51" s="217" t="s">
        <v>2947</v>
      </c>
      <c r="K51" s="218"/>
      <c r="L51" s="218"/>
      <c r="M51" s="218"/>
      <c r="N51" s="218"/>
      <c r="O51" s="218"/>
      <c r="P51" s="218"/>
      <c r="Q51" s="219"/>
    </row>
    <row r="52" spans="1:17" ht="15.75" thickBot="1" x14ac:dyDescent="0.3">
      <c r="A52" s="142">
        <v>103</v>
      </c>
      <c r="B52" s="143" t="s">
        <v>406</v>
      </c>
      <c r="C52" s="144" t="s">
        <v>164</v>
      </c>
      <c r="D52" s="193">
        <v>1.6031201471974392E-2</v>
      </c>
      <c r="E52" s="194">
        <v>8.2266140906588764E-2</v>
      </c>
      <c r="F52" s="145">
        <f t="shared" si="2"/>
        <v>1.3188250791953586E-3</v>
      </c>
      <c r="G52" s="146">
        <v>0</v>
      </c>
      <c r="H52" s="147" t="s">
        <v>2028</v>
      </c>
      <c r="I52" s="82"/>
      <c r="J52" s="217"/>
      <c r="K52" s="218"/>
      <c r="L52" s="218"/>
      <c r="M52" s="218"/>
      <c r="N52" s="218"/>
      <c r="O52" s="218"/>
      <c r="P52" s="218"/>
      <c r="Q52" s="219"/>
    </row>
    <row r="53" spans="1:17" x14ac:dyDescent="0.25">
      <c r="A53" s="142">
        <v>49</v>
      </c>
      <c r="B53" s="143" t="s">
        <v>332</v>
      </c>
      <c r="C53" s="144" t="s">
        <v>202</v>
      </c>
      <c r="D53" s="193">
        <v>0.11338533761885017</v>
      </c>
      <c r="E53" s="194">
        <v>1.247693043383568E-2</v>
      </c>
      <c r="F53" s="145">
        <f t="shared" si="2"/>
        <v>1.4147009696873652E-3</v>
      </c>
      <c r="G53" s="146">
        <v>0</v>
      </c>
      <c r="H53" s="147" t="s">
        <v>2028</v>
      </c>
      <c r="I53" s="82"/>
      <c r="J53" s="132">
        <v>92</v>
      </c>
      <c r="K53" s="158" t="s">
        <v>314</v>
      </c>
      <c r="L53" s="158" t="s">
        <v>236</v>
      </c>
      <c r="M53" s="197">
        <v>0.7109323331585532</v>
      </c>
      <c r="N53" s="198">
        <v>1.0674517641654682E-2</v>
      </c>
      <c r="O53" s="139">
        <f t="shared" ref="O53:O70" si="4">M53*N53</f>
        <v>7.5888597323236998E-3</v>
      </c>
      <c r="P53" s="140">
        <v>27.215999999999998</v>
      </c>
      <c r="Q53" s="141" t="s">
        <v>2026</v>
      </c>
    </row>
    <row r="54" spans="1:17" x14ac:dyDescent="0.25">
      <c r="A54" s="142">
        <v>139</v>
      </c>
      <c r="B54" s="143" t="s">
        <v>455</v>
      </c>
      <c r="C54" s="144" t="s">
        <v>241</v>
      </c>
      <c r="D54" s="193">
        <v>0.12621306879447919</v>
      </c>
      <c r="E54" s="194">
        <v>1.2013669536470683E-2</v>
      </c>
      <c r="F54" s="145">
        <f t="shared" si="2"/>
        <v>1.5162820996807132E-3</v>
      </c>
      <c r="G54" s="146">
        <v>0</v>
      </c>
      <c r="H54" s="147" t="s">
        <v>2028</v>
      </c>
      <c r="I54" s="82"/>
      <c r="J54" s="142">
        <v>111</v>
      </c>
      <c r="K54" s="159" t="s">
        <v>429</v>
      </c>
      <c r="L54" s="159" t="s">
        <v>187</v>
      </c>
      <c r="M54" s="199">
        <v>0.83321482636190758</v>
      </c>
      <c r="N54" s="200">
        <v>1.0318266581776063E-2</v>
      </c>
      <c r="O54" s="149">
        <f t="shared" si="4"/>
        <v>8.597332698290416E-3</v>
      </c>
      <c r="P54" s="150">
        <v>200.143</v>
      </c>
      <c r="Q54" s="151" t="s">
        <v>2027</v>
      </c>
    </row>
    <row r="55" spans="1:17" x14ac:dyDescent="0.25">
      <c r="A55" s="142">
        <v>128</v>
      </c>
      <c r="B55" s="143" t="s">
        <v>458</v>
      </c>
      <c r="C55" s="144" t="s">
        <v>177</v>
      </c>
      <c r="D55" s="193">
        <v>4.4611619520317725E-2</v>
      </c>
      <c r="E55" s="194">
        <v>3.4596826865961404E-2</v>
      </c>
      <c r="F55" s="145">
        <f t="shared" si="2"/>
        <v>1.5434204767545763E-3</v>
      </c>
      <c r="G55" s="146">
        <v>0</v>
      </c>
      <c r="H55" s="147" t="s">
        <v>2028</v>
      </c>
      <c r="I55" s="82"/>
      <c r="J55" s="142">
        <v>87</v>
      </c>
      <c r="K55" s="159" t="s">
        <v>350</v>
      </c>
      <c r="L55" s="159" t="s">
        <v>187</v>
      </c>
      <c r="M55" s="199">
        <v>0.84068281888213403</v>
      </c>
      <c r="N55" s="200">
        <v>1.0318266581776063E-2</v>
      </c>
      <c r="O55" s="149">
        <f t="shared" si="4"/>
        <v>8.6743894359448213E-3</v>
      </c>
      <c r="P55" s="150">
        <v>326.18849999999992</v>
      </c>
      <c r="Q55" s="151" t="s">
        <v>2027</v>
      </c>
    </row>
    <row r="56" spans="1:17" x14ac:dyDescent="0.25">
      <c r="A56" s="142">
        <v>60</v>
      </c>
      <c r="B56" s="143" t="s">
        <v>313</v>
      </c>
      <c r="C56" s="144" t="s">
        <v>207</v>
      </c>
      <c r="D56" s="193">
        <v>5.7534003743725136E-3</v>
      </c>
      <c r="E56" s="194">
        <v>0.276181984063819</v>
      </c>
      <c r="F56" s="145">
        <f t="shared" si="2"/>
        <v>1.5889855305077198E-3</v>
      </c>
      <c r="G56" s="146">
        <v>0</v>
      </c>
      <c r="H56" s="147" t="s">
        <v>2028</v>
      </c>
      <c r="I56" s="82"/>
      <c r="J56" s="142">
        <v>53</v>
      </c>
      <c r="K56" s="159" t="s">
        <v>407</v>
      </c>
      <c r="L56" s="159" t="s">
        <v>222</v>
      </c>
      <c r="M56" s="199">
        <v>5.8378566194184432E-2</v>
      </c>
      <c r="N56" s="200">
        <v>0.16759986330692786</v>
      </c>
      <c r="O56" s="149">
        <f t="shared" si="4"/>
        <v>9.7842397141997498E-3</v>
      </c>
      <c r="P56" s="150">
        <v>1145.5157999999999</v>
      </c>
      <c r="Q56" s="151" t="s">
        <v>2027</v>
      </c>
    </row>
    <row r="57" spans="1:17" x14ac:dyDescent="0.25">
      <c r="A57" s="142">
        <v>96</v>
      </c>
      <c r="B57" s="143" t="s">
        <v>400</v>
      </c>
      <c r="C57" s="144" t="s">
        <v>120</v>
      </c>
      <c r="D57" s="193">
        <v>3.639028564045637E-2</v>
      </c>
      <c r="E57" s="194">
        <v>4.5998210739416845E-2</v>
      </c>
      <c r="F57" s="145">
        <f t="shared" si="2"/>
        <v>1.6738880277572868E-3</v>
      </c>
      <c r="G57" s="146">
        <v>11.687000000000001</v>
      </c>
      <c r="H57" s="147" t="s">
        <v>2028</v>
      </c>
      <c r="I57" s="82"/>
      <c r="J57" s="142">
        <v>118</v>
      </c>
      <c r="K57" s="159" t="s">
        <v>287</v>
      </c>
      <c r="L57" s="159" t="s">
        <v>275</v>
      </c>
      <c r="M57" s="199">
        <v>0.15248073578728194</v>
      </c>
      <c r="N57" s="200">
        <v>6.71949721703054E-2</v>
      </c>
      <c r="O57" s="149">
        <f t="shared" si="4"/>
        <v>1.0245938797734101E-2</v>
      </c>
      <c r="P57" s="150">
        <v>2.1384000000000003</v>
      </c>
      <c r="Q57" s="151" t="s">
        <v>2026</v>
      </c>
    </row>
    <row r="58" spans="1:17" x14ac:dyDescent="0.25">
      <c r="A58" s="142">
        <v>39</v>
      </c>
      <c r="B58" s="143" t="s">
        <v>290</v>
      </c>
      <c r="C58" s="144" t="s">
        <v>229</v>
      </c>
      <c r="D58" s="193">
        <v>0.14447635247924884</v>
      </c>
      <c r="E58" s="194">
        <v>1.2171419841053948E-2</v>
      </c>
      <c r="F58" s="145">
        <f t="shared" si="2"/>
        <v>1.758482343129033E-3</v>
      </c>
      <c r="G58" s="146">
        <v>22.032</v>
      </c>
      <c r="H58" s="147" t="s">
        <v>2028</v>
      </c>
      <c r="I58" s="82"/>
      <c r="J58" s="142">
        <v>83</v>
      </c>
      <c r="K58" s="159" t="s">
        <v>420</v>
      </c>
      <c r="L58" s="159" t="s">
        <v>150</v>
      </c>
      <c r="M58" s="199">
        <v>1.6240173122810769E-2</v>
      </c>
      <c r="N58" s="200">
        <v>0.66935550131200294</v>
      </c>
      <c r="O58" s="149">
        <f t="shared" si="4"/>
        <v>1.0870449222012718E-2</v>
      </c>
      <c r="P58" s="150">
        <v>3.2993999999999994</v>
      </c>
      <c r="Q58" s="151" t="s">
        <v>2026</v>
      </c>
    </row>
    <row r="59" spans="1:17" x14ac:dyDescent="0.25">
      <c r="A59" s="142">
        <v>88</v>
      </c>
      <c r="B59" s="143" t="s">
        <v>392</v>
      </c>
      <c r="C59" s="144" t="s">
        <v>221</v>
      </c>
      <c r="D59" s="193">
        <v>3.2244039652893426E-3</v>
      </c>
      <c r="E59" s="194">
        <v>0.57779246964608955</v>
      </c>
      <c r="F59" s="145">
        <f t="shared" si="2"/>
        <v>1.8630363302411734E-3</v>
      </c>
      <c r="G59" s="146">
        <v>0</v>
      </c>
      <c r="H59" s="147" t="s">
        <v>2028</v>
      </c>
      <c r="I59" s="82"/>
      <c r="J59" s="142">
        <v>43</v>
      </c>
      <c r="K59" s="159" t="s">
        <v>302</v>
      </c>
      <c r="L59" s="159" t="s">
        <v>90</v>
      </c>
      <c r="M59" s="199">
        <v>0.53941718318382448</v>
      </c>
      <c r="N59" s="200">
        <v>2.1659445052990552E-2</v>
      </c>
      <c r="O59" s="149">
        <f t="shared" si="4"/>
        <v>1.1683476839808986E-2</v>
      </c>
      <c r="P59" s="150">
        <v>0</v>
      </c>
      <c r="Q59" s="151" t="s">
        <v>2026</v>
      </c>
    </row>
    <row r="60" spans="1:17" x14ac:dyDescent="0.25">
      <c r="A60" s="142">
        <v>111</v>
      </c>
      <c r="B60" s="143" t="s">
        <v>429</v>
      </c>
      <c r="C60" s="144" t="s">
        <v>187</v>
      </c>
      <c r="D60" s="193">
        <v>0.56489971350364077</v>
      </c>
      <c r="E60" s="194">
        <v>3.4253547444360066E-3</v>
      </c>
      <c r="F60" s="145">
        <f t="shared" si="2"/>
        <v>1.9349819137802367E-3</v>
      </c>
      <c r="G60" s="146">
        <v>5.6063999999999998</v>
      </c>
      <c r="H60" s="147" t="s">
        <v>2028</v>
      </c>
      <c r="I60" s="82"/>
      <c r="J60" s="142">
        <v>57</v>
      </c>
      <c r="K60" s="159" t="s">
        <v>438</v>
      </c>
      <c r="L60" s="159" t="s">
        <v>119</v>
      </c>
      <c r="M60" s="199">
        <v>0.32841421013792743</v>
      </c>
      <c r="N60" s="200">
        <v>3.5733907330795414E-2</v>
      </c>
      <c r="O60" s="149">
        <f t="shared" si="4"/>
        <v>1.173552295118507E-2</v>
      </c>
      <c r="P60" s="150">
        <v>710.09349999999995</v>
      </c>
      <c r="Q60" s="151" t="s">
        <v>2027</v>
      </c>
    </row>
    <row r="61" spans="1:17" x14ac:dyDescent="0.25">
      <c r="A61" s="142">
        <v>71</v>
      </c>
      <c r="B61" s="143" t="s">
        <v>357</v>
      </c>
      <c r="C61" s="144" t="s">
        <v>191</v>
      </c>
      <c r="D61" s="193">
        <v>0.32489939141651841</v>
      </c>
      <c r="E61" s="194">
        <v>6.2180421433949383E-3</v>
      </c>
      <c r="F61" s="145">
        <f t="shared" si="2"/>
        <v>2.020238108191279E-3</v>
      </c>
      <c r="G61" s="146">
        <v>78.933999999999997</v>
      </c>
      <c r="H61" s="147" t="s">
        <v>2028</v>
      </c>
      <c r="I61" s="82"/>
      <c r="J61" s="142">
        <v>75</v>
      </c>
      <c r="K61" s="159" t="s">
        <v>282</v>
      </c>
      <c r="L61" s="159" t="s">
        <v>88</v>
      </c>
      <c r="M61" s="199">
        <v>2.1039856370025339E-2</v>
      </c>
      <c r="N61" s="200">
        <v>0.57049842950125806</v>
      </c>
      <c r="O61" s="149">
        <f t="shared" si="4"/>
        <v>1.2003205016031497E-2</v>
      </c>
      <c r="P61" s="150">
        <v>0</v>
      </c>
      <c r="Q61" s="151" t="s">
        <v>2026</v>
      </c>
    </row>
    <row r="62" spans="1:17" x14ac:dyDescent="0.25">
      <c r="A62" s="142">
        <v>129</v>
      </c>
      <c r="B62" s="143" t="s">
        <v>346</v>
      </c>
      <c r="C62" s="144" t="s">
        <v>265</v>
      </c>
      <c r="D62" s="193">
        <v>4.9928339413982989E-2</v>
      </c>
      <c r="E62" s="194">
        <v>4.0621806769128105E-2</v>
      </c>
      <c r="F62" s="145">
        <f t="shared" si="2"/>
        <v>2.0281793559782596E-3</v>
      </c>
      <c r="G62" s="146">
        <v>0</v>
      </c>
      <c r="H62" s="147" t="s">
        <v>2028</v>
      </c>
      <c r="I62" s="82"/>
      <c r="J62" s="142">
        <v>120</v>
      </c>
      <c r="K62" s="159" t="s">
        <v>358</v>
      </c>
      <c r="L62" s="159" t="s">
        <v>267</v>
      </c>
      <c r="M62" s="199">
        <v>0.88902336089953793</v>
      </c>
      <c r="N62" s="200">
        <v>1.4592681290050926E-2</v>
      </c>
      <c r="O62" s="149">
        <f t="shared" si="4"/>
        <v>1.2973234565016879E-2</v>
      </c>
      <c r="P62" s="150">
        <v>348.97499999999997</v>
      </c>
      <c r="Q62" s="151" t="s">
        <v>2027</v>
      </c>
    </row>
    <row r="63" spans="1:17" x14ac:dyDescent="0.25">
      <c r="A63" s="142">
        <v>3</v>
      </c>
      <c r="B63" s="143" t="s">
        <v>353</v>
      </c>
      <c r="C63" s="144" t="s">
        <v>192</v>
      </c>
      <c r="D63" s="193">
        <v>0.59882088832121771</v>
      </c>
      <c r="E63" s="194">
        <v>3.4639442446192568E-3</v>
      </c>
      <c r="F63" s="145">
        <f t="shared" si="2"/>
        <v>2.074282169658073E-3</v>
      </c>
      <c r="G63" s="146">
        <v>4.2379999999999995</v>
      </c>
      <c r="H63" s="147" t="s">
        <v>2028</v>
      </c>
      <c r="I63" s="82"/>
      <c r="J63" s="142">
        <v>142</v>
      </c>
      <c r="K63" s="159" t="s">
        <v>454</v>
      </c>
      <c r="L63" s="159" t="s">
        <v>108</v>
      </c>
      <c r="M63" s="199">
        <v>0.21445241489853864</v>
      </c>
      <c r="N63" s="200">
        <v>6.0636914937454461E-2</v>
      </c>
      <c r="O63" s="149">
        <f t="shared" si="4"/>
        <v>1.3003732840334379E-2</v>
      </c>
      <c r="P63" s="150">
        <v>575.30849999999998</v>
      </c>
      <c r="Q63" s="151" t="s">
        <v>2027</v>
      </c>
    </row>
    <row r="64" spans="1:17" x14ac:dyDescent="0.25">
      <c r="A64" s="142">
        <v>31</v>
      </c>
      <c r="B64" s="143" t="s">
        <v>401</v>
      </c>
      <c r="C64" s="144" t="s">
        <v>173</v>
      </c>
      <c r="D64" s="193">
        <v>9.5091231289903419E-2</v>
      </c>
      <c r="E64" s="194">
        <v>2.2075640890629751E-2</v>
      </c>
      <c r="F64" s="145">
        <f t="shared" si="2"/>
        <v>2.0991998738037233E-3</v>
      </c>
      <c r="G64" s="146">
        <v>0</v>
      </c>
      <c r="H64" s="147" t="s">
        <v>2028</v>
      </c>
      <c r="I64" s="82"/>
      <c r="J64" s="142">
        <v>54</v>
      </c>
      <c r="K64" s="159" t="s">
        <v>288</v>
      </c>
      <c r="L64" s="159" t="s">
        <v>157</v>
      </c>
      <c r="M64" s="199">
        <v>1.7606618157362728</v>
      </c>
      <c r="N64" s="200">
        <v>7.4042942671249659E-3</v>
      </c>
      <c r="O64" s="149">
        <f t="shared" si="4"/>
        <v>1.3036458188601918E-2</v>
      </c>
      <c r="P64" s="150">
        <v>72.877499999999998</v>
      </c>
      <c r="Q64" s="151" t="s">
        <v>2026</v>
      </c>
    </row>
    <row r="65" spans="1:17" x14ac:dyDescent="0.25">
      <c r="A65" s="142">
        <v>2</v>
      </c>
      <c r="B65" s="143" t="s">
        <v>403</v>
      </c>
      <c r="C65" s="144" t="s">
        <v>101</v>
      </c>
      <c r="D65" s="193">
        <v>5.8246736511764215E-2</v>
      </c>
      <c r="E65" s="194">
        <v>4.0417743561348467E-2</v>
      </c>
      <c r="F65" s="145">
        <f t="shared" si="2"/>
        <v>2.3542016596179187E-3</v>
      </c>
      <c r="G65" s="146">
        <v>0</v>
      </c>
      <c r="H65" s="147" t="s">
        <v>2028</v>
      </c>
      <c r="I65" s="82"/>
      <c r="J65" s="142">
        <v>63</v>
      </c>
      <c r="K65" s="159" t="s">
        <v>391</v>
      </c>
      <c r="L65" s="159" t="s">
        <v>122</v>
      </c>
      <c r="M65" s="199">
        <v>0.92235199492972242</v>
      </c>
      <c r="N65" s="200">
        <v>1.4227773627436026E-2</v>
      </c>
      <c r="O65" s="149">
        <f t="shared" si="4"/>
        <v>1.3123015388674112E-2</v>
      </c>
      <c r="P65" s="150">
        <v>208.82330000000002</v>
      </c>
      <c r="Q65" s="151" t="s">
        <v>2027</v>
      </c>
    </row>
    <row r="66" spans="1:17" x14ac:dyDescent="0.25">
      <c r="A66" s="142">
        <v>76</v>
      </c>
      <c r="B66" s="143" t="s">
        <v>402</v>
      </c>
      <c r="C66" s="144" t="s">
        <v>127</v>
      </c>
      <c r="D66" s="193">
        <v>0.21872145487054212</v>
      </c>
      <c r="E66" s="194">
        <v>1.1072810577842263E-2</v>
      </c>
      <c r="F66" s="145">
        <f t="shared" si="2"/>
        <v>2.4218612390915877E-3</v>
      </c>
      <c r="G66" s="146">
        <v>0</v>
      </c>
      <c r="H66" s="147" t="s">
        <v>2028</v>
      </c>
      <c r="I66" s="82"/>
      <c r="J66" s="142">
        <v>12</v>
      </c>
      <c r="K66" s="159" t="s">
        <v>335</v>
      </c>
      <c r="L66" s="159" t="s">
        <v>200</v>
      </c>
      <c r="M66" s="199">
        <v>0.93320013110582434</v>
      </c>
      <c r="N66" s="200">
        <v>1.4285434667456121E-2</v>
      </c>
      <c r="O66" s="149">
        <f t="shared" si="4"/>
        <v>1.3331169504573741E-2</v>
      </c>
      <c r="P66" s="150">
        <v>15.759</v>
      </c>
      <c r="Q66" s="151" t="s">
        <v>2026</v>
      </c>
    </row>
    <row r="67" spans="1:17" x14ac:dyDescent="0.25">
      <c r="A67" s="142">
        <v>130</v>
      </c>
      <c r="B67" s="143" t="s">
        <v>465</v>
      </c>
      <c r="C67" s="144" t="s">
        <v>261</v>
      </c>
      <c r="D67" s="193">
        <v>0.22911432872801277</v>
      </c>
      <c r="E67" s="194">
        <v>1.062239608179881E-2</v>
      </c>
      <c r="F67" s="145">
        <f t="shared" si="2"/>
        <v>2.4337431477644074E-3</v>
      </c>
      <c r="G67" s="146">
        <v>1.6897999999999997</v>
      </c>
      <c r="H67" s="147" t="s">
        <v>2028</v>
      </c>
      <c r="I67" s="82"/>
      <c r="J67" s="142">
        <v>16</v>
      </c>
      <c r="K67" s="159" t="s">
        <v>394</v>
      </c>
      <c r="L67" s="159" t="s">
        <v>155</v>
      </c>
      <c r="M67" s="199">
        <v>0.65265457682929406</v>
      </c>
      <c r="N67" s="200">
        <v>2.0451273247232532E-2</v>
      </c>
      <c r="O67" s="149">
        <f t="shared" si="4"/>
        <v>1.3347617086792812E-2</v>
      </c>
      <c r="P67" s="150">
        <v>0</v>
      </c>
      <c r="Q67" s="151" t="s">
        <v>2026</v>
      </c>
    </row>
    <row r="68" spans="1:17" x14ac:dyDescent="0.25">
      <c r="A68" s="142">
        <v>94</v>
      </c>
      <c r="B68" s="143" t="s">
        <v>327</v>
      </c>
      <c r="C68" s="144" t="s">
        <v>139</v>
      </c>
      <c r="D68" s="193">
        <v>3.4329923969254124E-3</v>
      </c>
      <c r="E68" s="194">
        <v>0.73752742592039733</v>
      </c>
      <c r="F68" s="145">
        <f t="shared" ref="F68:F81" si="5">D68*E68</f>
        <v>2.5319260457086945E-3</v>
      </c>
      <c r="G68" s="146">
        <v>45.329599999999999</v>
      </c>
      <c r="H68" s="147" t="s">
        <v>2028</v>
      </c>
      <c r="I68" s="82"/>
      <c r="J68" s="142">
        <v>59</v>
      </c>
      <c r="K68" s="159" t="s">
        <v>354</v>
      </c>
      <c r="L68" s="159" t="s">
        <v>133</v>
      </c>
      <c r="M68" s="199">
        <v>0.62150721674622755</v>
      </c>
      <c r="N68" s="200">
        <v>2.2693551100543032E-2</v>
      </c>
      <c r="O68" s="149">
        <f t="shared" si="4"/>
        <v>1.4104205782586789E-2</v>
      </c>
      <c r="P68" s="150">
        <v>0</v>
      </c>
      <c r="Q68" s="151" t="s">
        <v>2026</v>
      </c>
    </row>
    <row r="69" spans="1:17" x14ac:dyDescent="0.25">
      <c r="A69" s="142">
        <v>40</v>
      </c>
      <c r="B69" s="143" t="s">
        <v>316</v>
      </c>
      <c r="C69" s="144" t="s">
        <v>135</v>
      </c>
      <c r="D69" s="193">
        <v>0.76625161651608575</v>
      </c>
      <c r="E69" s="194">
        <v>3.4238556701308609E-3</v>
      </c>
      <c r="F69" s="145">
        <f t="shared" si="5"/>
        <v>2.6235349419555382E-3</v>
      </c>
      <c r="G69" s="146">
        <v>0</v>
      </c>
      <c r="H69" s="147" t="s">
        <v>2028</v>
      </c>
      <c r="I69" s="82"/>
      <c r="J69" s="142">
        <v>132</v>
      </c>
      <c r="K69" s="159" t="s">
        <v>349</v>
      </c>
      <c r="L69" s="159" t="s">
        <v>263</v>
      </c>
      <c r="M69" s="199">
        <v>0.43629117519473676</v>
      </c>
      <c r="N69" s="200">
        <v>3.2573998509578678E-2</v>
      </c>
      <c r="O69" s="149">
        <f t="shared" si="4"/>
        <v>1.4211748090535685E-2</v>
      </c>
      <c r="P69" s="150">
        <v>0</v>
      </c>
      <c r="Q69" s="151" t="s">
        <v>2026</v>
      </c>
    </row>
    <row r="70" spans="1:17" x14ac:dyDescent="0.25">
      <c r="A70" s="142">
        <v>22</v>
      </c>
      <c r="B70" s="143" t="s">
        <v>351</v>
      </c>
      <c r="C70" s="144" t="s">
        <v>174</v>
      </c>
      <c r="D70" s="193">
        <v>0.19427853265745446</v>
      </c>
      <c r="E70" s="194">
        <v>1.3569304500967173E-2</v>
      </c>
      <c r="F70" s="145">
        <f t="shared" si="5"/>
        <v>2.6362245676300948E-3</v>
      </c>
      <c r="G70" s="146">
        <v>4.2189000000000005</v>
      </c>
      <c r="H70" s="147" t="s">
        <v>2028</v>
      </c>
      <c r="I70" s="82"/>
      <c r="J70" s="142">
        <v>35</v>
      </c>
      <c r="K70" s="159" t="s">
        <v>385</v>
      </c>
      <c r="L70" s="159" t="s">
        <v>121</v>
      </c>
      <c r="M70" s="199">
        <v>0.67100523781009846</v>
      </c>
      <c r="N70" s="200">
        <v>2.224251774238464E-2</v>
      </c>
      <c r="O70" s="149">
        <f t="shared" si="4"/>
        <v>1.492484590722414E-2</v>
      </c>
      <c r="P70" s="150">
        <v>1165.3688</v>
      </c>
      <c r="Q70" s="151" t="s">
        <v>2027</v>
      </c>
    </row>
    <row r="71" spans="1:17" x14ac:dyDescent="0.25">
      <c r="A71" s="142">
        <v>142</v>
      </c>
      <c r="B71" s="143" t="s">
        <v>454</v>
      </c>
      <c r="C71" s="144" t="s">
        <v>108</v>
      </c>
      <c r="D71" s="193">
        <v>7.7671000565291123E-2</v>
      </c>
      <c r="E71" s="194">
        <v>3.4353825901459689E-2</v>
      </c>
      <c r="F71" s="145">
        <f t="shared" si="5"/>
        <v>2.6682960310121882E-3</v>
      </c>
      <c r="G71" s="146">
        <v>23.7056</v>
      </c>
      <c r="H71" s="147" t="s">
        <v>2028</v>
      </c>
      <c r="I71" s="82"/>
      <c r="J71" s="142">
        <v>144</v>
      </c>
      <c r="K71" s="159" t="s">
        <v>457</v>
      </c>
      <c r="L71" s="159" t="s">
        <v>110</v>
      </c>
      <c r="M71" s="199">
        <v>1.009028997699887</v>
      </c>
      <c r="N71" s="200">
        <v>1.5840325857739059E-2</v>
      </c>
      <c r="O71" s="149">
        <f t="shared" ref="O71:O97" si="6">M71*N71</f>
        <v>1.5983348123474045E-2</v>
      </c>
      <c r="P71" s="150">
        <v>22.606399999999997</v>
      </c>
      <c r="Q71" s="151" t="s">
        <v>2026</v>
      </c>
    </row>
    <row r="72" spans="1:17" x14ac:dyDescent="0.25">
      <c r="A72" s="142">
        <v>53</v>
      </c>
      <c r="B72" s="143" t="s">
        <v>407</v>
      </c>
      <c r="C72" s="144" t="s">
        <v>222</v>
      </c>
      <c r="D72" s="193">
        <v>7.3015109796412472E-2</v>
      </c>
      <c r="E72" s="194">
        <v>3.8338933564597055E-2</v>
      </c>
      <c r="F72" s="145">
        <f t="shared" si="5"/>
        <v>2.7993214436964173E-3</v>
      </c>
      <c r="G72" s="146">
        <v>0</v>
      </c>
      <c r="H72" s="147" t="s">
        <v>2028</v>
      </c>
      <c r="I72" s="82"/>
      <c r="J72" s="142">
        <v>8</v>
      </c>
      <c r="K72" s="159" t="s">
        <v>310</v>
      </c>
      <c r="L72" s="159" t="s">
        <v>163</v>
      </c>
      <c r="M72" s="199">
        <v>0.88337925945611695</v>
      </c>
      <c r="N72" s="200">
        <v>1.8916996162644598E-2</v>
      </c>
      <c r="O72" s="149">
        <f t="shared" si="6"/>
        <v>1.6710882061291191E-2</v>
      </c>
      <c r="P72" s="150">
        <v>0</v>
      </c>
      <c r="Q72" s="151" t="s">
        <v>2026</v>
      </c>
    </row>
    <row r="73" spans="1:17" x14ac:dyDescent="0.25">
      <c r="A73" s="142">
        <v>119</v>
      </c>
      <c r="B73" s="143" t="s">
        <v>448</v>
      </c>
      <c r="C73" s="144" t="s">
        <v>162</v>
      </c>
      <c r="D73" s="193">
        <v>8.9028491801556291E-3</v>
      </c>
      <c r="E73" s="194">
        <v>0.31828241756114983</v>
      </c>
      <c r="F73" s="145">
        <f t="shared" si="5"/>
        <v>2.8336203602422343E-3</v>
      </c>
      <c r="G73" s="146">
        <v>0</v>
      </c>
      <c r="H73" s="147" t="s">
        <v>2028</v>
      </c>
      <c r="I73" s="82"/>
      <c r="J73" s="142">
        <v>96</v>
      </c>
      <c r="K73" s="159" t="s">
        <v>400</v>
      </c>
      <c r="L73" s="159" t="s">
        <v>120</v>
      </c>
      <c r="M73" s="199">
        <v>0.1620890118438377</v>
      </c>
      <c r="N73" s="200">
        <v>0.10312215742862324</v>
      </c>
      <c r="O73" s="149">
        <f t="shared" si="6"/>
        <v>1.6714968596810209E-2</v>
      </c>
      <c r="P73" s="150">
        <v>0</v>
      </c>
      <c r="Q73" s="151" t="s">
        <v>2026</v>
      </c>
    </row>
    <row r="74" spans="1:17" x14ac:dyDescent="0.25">
      <c r="A74" s="142">
        <v>140</v>
      </c>
      <c r="B74" s="143" t="s">
        <v>289</v>
      </c>
      <c r="C74" s="144" t="s">
        <v>257</v>
      </c>
      <c r="D74" s="193">
        <v>0.12859323102297285</v>
      </c>
      <c r="E74" s="194">
        <v>2.2970865827189182E-2</v>
      </c>
      <c r="F74" s="145">
        <f t="shared" si="5"/>
        <v>2.9538978561134506E-3</v>
      </c>
      <c r="G74" s="146">
        <v>0</v>
      </c>
      <c r="H74" s="147" t="s">
        <v>2028</v>
      </c>
      <c r="I74" s="82"/>
      <c r="J74" s="142">
        <v>15</v>
      </c>
      <c r="K74" s="159" t="s">
        <v>337</v>
      </c>
      <c r="L74" s="159" t="s">
        <v>208</v>
      </c>
      <c r="M74" s="199">
        <v>6.6314258673622496E-3</v>
      </c>
      <c r="N74" s="200">
        <v>2.7773793540289158</v>
      </c>
      <c r="O74" s="149">
        <f t="shared" si="6"/>
        <v>1.8417985291785208E-2</v>
      </c>
      <c r="P74" s="150">
        <v>0</v>
      </c>
      <c r="Q74" s="151" t="s">
        <v>2026</v>
      </c>
    </row>
    <row r="75" spans="1:17" x14ac:dyDescent="0.25">
      <c r="A75" s="142">
        <v>16</v>
      </c>
      <c r="B75" s="143" t="s">
        <v>394</v>
      </c>
      <c r="C75" s="144" t="s">
        <v>155</v>
      </c>
      <c r="D75" s="193">
        <v>0.42564204093912972</v>
      </c>
      <c r="E75" s="194">
        <v>7.1027396160667586E-3</v>
      </c>
      <c r="F75" s="145">
        <f t="shared" si="5"/>
        <v>3.0232245864418657E-3</v>
      </c>
      <c r="G75" s="146">
        <v>0</v>
      </c>
      <c r="H75" s="147" t="s">
        <v>2028</v>
      </c>
      <c r="I75" s="82"/>
      <c r="J75" s="142">
        <v>104</v>
      </c>
      <c r="K75" s="159" t="s">
        <v>301</v>
      </c>
      <c r="L75" s="159" t="s">
        <v>129</v>
      </c>
      <c r="M75" s="199">
        <v>3.6293975559326563E-2</v>
      </c>
      <c r="N75" s="200">
        <v>0.50866052701390918</v>
      </c>
      <c r="O75" s="149">
        <f t="shared" si="6"/>
        <v>1.846131273543699E-2</v>
      </c>
      <c r="P75" s="150">
        <v>0</v>
      </c>
      <c r="Q75" s="151" t="s">
        <v>2026</v>
      </c>
    </row>
    <row r="76" spans="1:17" x14ac:dyDescent="0.25">
      <c r="A76" s="142">
        <v>125</v>
      </c>
      <c r="B76" s="143" t="s">
        <v>450</v>
      </c>
      <c r="C76" s="144" t="s">
        <v>266</v>
      </c>
      <c r="D76" s="193">
        <v>0.12509320056762155</v>
      </c>
      <c r="E76" s="194">
        <v>2.5189803876212346E-2</v>
      </c>
      <c r="F76" s="145">
        <f t="shared" si="5"/>
        <v>3.1510731885460819E-3</v>
      </c>
      <c r="G76" s="146">
        <v>0</v>
      </c>
      <c r="H76" s="147" t="s">
        <v>2028</v>
      </c>
      <c r="I76" s="82"/>
      <c r="J76" s="142">
        <v>29</v>
      </c>
      <c r="K76" s="159" t="s">
        <v>381</v>
      </c>
      <c r="L76" s="159" t="s">
        <v>134</v>
      </c>
      <c r="M76" s="199">
        <v>5.5161365600146325E-2</v>
      </c>
      <c r="N76" s="200">
        <v>0.3926053308144935</v>
      </c>
      <c r="O76" s="149">
        <f t="shared" si="6"/>
        <v>2.1656646189624672E-2</v>
      </c>
      <c r="P76" s="150">
        <v>4.3052999999999999</v>
      </c>
      <c r="Q76" s="151" t="s">
        <v>2026</v>
      </c>
    </row>
    <row r="77" spans="1:17" x14ac:dyDescent="0.25">
      <c r="A77" s="142">
        <v>102</v>
      </c>
      <c r="B77" s="143" t="s">
        <v>285</v>
      </c>
      <c r="C77" s="144" t="s">
        <v>144</v>
      </c>
      <c r="D77" s="193">
        <v>0.78206494528369741</v>
      </c>
      <c r="E77" s="194">
        <v>4.1660702498002291E-3</v>
      </c>
      <c r="F77" s="145">
        <f t="shared" si="5"/>
        <v>3.2581375019580558E-3</v>
      </c>
      <c r="G77" s="146">
        <v>0.9827999999999999</v>
      </c>
      <c r="H77" s="147" t="s">
        <v>2028</v>
      </c>
      <c r="I77" s="82"/>
      <c r="J77" s="142">
        <v>50</v>
      </c>
      <c r="K77" s="159" t="s">
        <v>410</v>
      </c>
      <c r="L77" s="159" t="s">
        <v>189</v>
      </c>
      <c r="M77" s="199">
        <v>4.3461570392016868E-2</v>
      </c>
      <c r="N77" s="200">
        <v>0.5399711007993937</v>
      </c>
      <c r="O77" s="149">
        <f t="shared" si="6"/>
        <v>2.3467992007047685E-2</v>
      </c>
      <c r="P77" s="150">
        <v>21.906400000000001</v>
      </c>
      <c r="Q77" s="151" t="s">
        <v>2026</v>
      </c>
    </row>
    <row r="78" spans="1:17" x14ac:dyDescent="0.25">
      <c r="A78" s="142">
        <v>59</v>
      </c>
      <c r="B78" s="143" t="s">
        <v>354</v>
      </c>
      <c r="C78" s="144" t="s">
        <v>133</v>
      </c>
      <c r="D78" s="193">
        <v>0.72990177490652908</v>
      </c>
      <c r="E78" s="194">
        <v>4.5313318138877519E-3</v>
      </c>
      <c r="F78" s="145">
        <f t="shared" si="5"/>
        <v>3.307427133647092E-3</v>
      </c>
      <c r="G78" s="146">
        <v>0</v>
      </c>
      <c r="H78" s="147" t="s">
        <v>2028</v>
      </c>
      <c r="I78" s="82"/>
      <c r="J78" s="142">
        <v>98</v>
      </c>
      <c r="K78" s="159" t="s">
        <v>365</v>
      </c>
      <c r="L78" s="159" t="s">
        <v>91</v>
      </c>
      <c r="M78" s="199">
        <v>1.0480441271418768</v>
      </c>
      <c r="N78" s="200">
        <v>2.2729709530533576E-2</v>
      </c>
      <c r="O78" s="149">
        <f t="shared" si="6"/>
        <v>2.3821738585116461E-2</v>
      </c>
      <c r="P78" s="150">
        <v>0</v>
      </c>
      <c r="Q78" s="151" t="s">
        <v>2026</v>
      </c>
    </row>
    <row r="79" spans="1:17" x14ac:dyDescent="0.25">
      <c r="A79" s="142">
        <v>51</v>
      </c>
      <c r="B79" s="143" t="s">
        <v>395</v>
      </c>
      <c r="C79" s="144" t="s">
        <v>107</v>
      </c>
      <c r="D79" s="193">
        <v>0.17043275371048849</v>
      </c>
      <c r="E79" s="194">
        <v>1.9485953044313695E-2</v>
      </c>
      <c r="F79" s="145">
        <f t="shared" si="5"/>
        <v>3.3210446360156594E-3</v>
      </c>
      <c r="G79" s="146">
        <v>28.346399999999999</v>
      </c>
      <c r="H79" s="147" t="s">
        <v>2028</v>
      </c>
      <c r="I79" s="82"/>
      <c r="J79" s="142">
        <v>41</v>
      </c>
      <c r="K79" s="159" t="s">
        <v>398</v>
      </c>
      <c r="L79" s="159" t="s">
        <v>243</v>
      </c>
      <c r="M79" s="199">
        <v>1.3086203729897234</v>
      </c>
      <c r="N79" s="200">
        <v>1.8687562391221251E-2</v>
      </c>
      <c r="O79" s="149">
        <f t="shared" si="6"/>
        <v>2.4454924866668681E-2</v>
      </c>
      <c r="P79" s="150">
        <v>88.590600000000009</v>
      </c>
      <c r="Q79" s="151" t="s">
        <v>2027</v>
      </c>
    </row>
    <row r="80" spans="1:17" x14ac:dyDescent="0.25">
      <c r="A80" s="142">
        <v>81</v>
      </c>
      <c r="B80" s="143" t="s">
        <v>441</v>
      </c>
      <c r="C80" s="144" t="s">
        <v>203</v>
      </c>
      <c r="D80" s="193">
        <v>0.29213560109476766</v>
      </c>
      <c r="E80" s="194">
        <v>1.1920612118366113E-2</v>
      </c>
      <c r="F80" s="145">
        <f t="shared" si="5"/>
        <v>3.4824351866164561E-3</v>
      </c>
      <c r="G80" s="146">
        <v>5.8692000000000002</v>
      </c>
      <c r="H80" s="147" t="s">
        <v>2028</v>
      </c>
      <c r="I80" s="82"/>
      <c r="J80" s="142">
        <v>39</v>
      </c>
      <c r="K80" s="159" t="s">
        <v>290</v>
      </c>
      <c r="L80" s="159" t="s">
        <v>229</v>
      </c>
      <c r="M80" s="199">
        <v>0.7262400767689734</v>
      </c>
      <c r="N80" s="200">
        <v>3.602274767318564E-2</v>
      </c>
      <c r="O80" s="149">
        <f t="shared" si="6"/>
        <v>2.6161163035603698E-2</v>
      </c>
      <c r="P80" s="150">
        <v>0</v>
      </c>
      <c r="Q80" s="151" t="s">
        <v>2026</v>
      </c>
    </row>
    <row r="81" spans="1:17" x14ac:dyDescent="0.25">
      <c r="A81" s="142">
        <v>12</v>
      </c>
      <c r="B81" s="143" t="s">
        <v>335</v>
      </c>
      <c r="C81" s="144" t="s">
        <v>200</v>
      </c>
      <c r="D81" s="193">
        <v>0.62578685722942995</v>
      </c>
      <c r="E81" s="194">
        <v>5.702693111181845E-3</v>
      </c>
      <c r="F81" s="145">
        <f t="shared" si="5"/>
        <v>3.5686703997904069E-3</v>
      </c>
      <c r="G81" s="146">
        <v>0</v>
      </c>
      <c r="H81" s="147" t="s">
        <v>2028</v>
      </c>
      <c r="I81" s="82"/>
      <c r="J81" s="142">
        <v>45</v>
      </c>
      <c r="K81" s="159" t="s">
        <v>419</v>
      </c>
      <c r="L81" s="159" t="s">
        <v>209</v>
      </c>
      <c r="M81" s="199">
        <v>2.4415665137393704E-2</v>
      </c>
      <c r="N81" s="200">
        <v>1.0746212881055139</v>
      </c>
      <c r="O81" s="149">
        <f t="shared" si="6"/>
        <v>2.6237593519898912E-2</v>
      </c>
      <c r="P81" s="150">
        <v>57.9803</v>
      </c>
      <c r="Q81" s="151" t="s">
        <v>2026</v>
      </c>
    </row>
    <row r="82" spans="1:17" ht="15" customHeight="1" x14ac:dyDescent="0.25">
      <c r="A82" s="142">
        <v>92</v>
      </c>
      <c r="B82" s="143" t="s">
        <v>314</v>
      </c>
      <c r="C82" s="144" t="s">
        <v>236</v>
      </c>
      <c r="D82" s="193">
        <v>0.37889844062375044</v>
      </c>
      <c r="E82" s="194">
        <v>9.8066766306595613E-3</v>
      </c>
      <c r="F82" s="145">
        <f t="shared" ref="F82:F115" si="7">D82*E82</f>
        <v>3.7157344830582827E-3</v>
      </c>
      <c r="G82" s="146">
        <v>14.899199999999999</v>
      </c>
      <c r="H82" s="147" t="s">
        <v>2028</v>
      </c>
      <c r="I82" s="82"/>
      <c r="J82" s="142">
        <v>79</v>
      </c>
      <c r="K82" s="159" t="s">
        <v>430</v>
      </c>
      <c r="L82" s="159" t="s">
        <v>233</v>
      </c>
      <c r="M82" s="199">
        <v>0.78423235902739941</v>
      </c>
      <c r="N82" s="200">
        <v>3.6370163955591214E-2</v>
      </c>
      <c r="O82" s="149">
        <f t="shared" si="6"/>
        <v>2.8522659477106589E-2</v>
      </c>
      <c r="P82" s="150">
        <v>34.973400000000005</v>
      </c>
      <c r="Q82" s="151" t="s">
        <v>2026</v>
      </c>
    </row>
    <row r="83" spans="1:17" ht="15.75" customHeight="1" x14ac:dyDescent="0.25">
      <c r="A83" s="142">
        <v>99</v>
      </c>
      <c r="B83" s="143" t="s">
        <v>379</v>
      </c>
      <c r="C83" s="144" t="s">
        <v>97</v>
      </c>
      <c r="D83" s="193">
        <v>0.12191901471483298</v>
      </c>
      <c r="E83" s="194">
        <v>3.1014168233771719E-2</v>
      </c>
      <c r="F83" s="145">
        <f t="shared" si="7"/>
        <v>3.7812168332615197E-3</v>
      </c>
      <c r="G83" s="146">
        <v>23.372799999999998</v>
      </c>
      <c r="H83" s="147" t="s">
        <v>2028</v>
      </c>
      <c r="I83" s="82"/>
      <c r="J83" s="142">
        <v>99</v>
      </c>
      <c r="K83" s="159" t="s">
        <v>379</v>
      </c>
      <c r="L83" s="159" t="s">
        <v>97</v>
      </c>
      <c r="M83" s="199">
        <v>0.55713247442149971</v>
      </c>
      <c r="N83" s="200">
        <v>5.9082235835623019E-2</v>
      </c>
      <c r="O83" s="149">
        <f t="shared" si="6"/>
        <v>3.2916632245455255E-2</v>
      </c>
      <c r="P83" s="150">
        <v>18.353999999999999</v>
      </c>
      <c r="Q83" s="151" t="s">
        <v>2026</v>
      </c>
    </row>
    <row r="84" spans="1:17" x14ac:dyDescent="0.25">
      <c r="A84" s="142">
        <v>7</v>
      </c>
      <c r="B84" s="143" t="s">
        <v>397</v>
      </c>
      <c r="C84" s="144" t="s">
        <v>195</v>
      </c>
      <c r="D84" s="193">
        <v>0.28894481062923499</v>
      </c>
      <c r="E84" s="194">
        <v>1.3216805767858369E-2</v>
      </c>
      <c r="F84" s="145">
        <f t="shared" si="7"/>
        <v>3.8189274397172172E-3</v>
      </c>
      <c r="G84" s="146">
        <v>764.85450000000003</v>
      </c>
      <c r="H84" s="147" t="s">
        <v>2029</v>
      </c>
      <c r="I84" s="82"/>
      <c r="J84" s="142">
        <v>131</v>
      </c>
      <c r="K84" s="159" t="s">
        <v>424</v>
      </c>
      <c r="L84" s="159" t="s">
        <v>260</v>
      </c>
      <c r="M84" s="199">
        <v>0.50341054707554067</v>
      </c>
      <c r="N84" s="200">
        <v>7.5343807504996405E-2</v>
      </c>
      <c r="O84" s="149">
        <f t="shared" si="6"/>
        <v>3.7928867354844464E-2</v>
      </c>
      <c r="P84" s="150">
        <v>69.900000000000006</v>
      </c>
      <c r="Q84" s="151" t="s">
        <v>2026</v>
      </c>
    </row>
    <row r="85" spans="1:17" x14ac:dyDescent="0.25">
      <c r="A85" s="142">
        <v>87</v>
      </c>
      <c r="B85" s="143" t="s">
        <v>350</v>
      </c>
      <c r="C85" s="144" t="s">
        <v>187</v>
      </c>
      <c r="D85" s="193">
        <v>1.2069496950785625</v>
      </c>
      <c r="E85" s="194">
        <v>3.4253547444360066E-3</v>
      </c>
      <c r="F85" s="145">
        <f t="shared" si="7"/>
        <v>4.1342308643329455E-3</v>
      </c>
      <c r="G85" s="146">
        <v>434.18680000000001</v>
      </c>
      <c r="H85" s="147" t="s">
        <v>2029</v>
      </c>
      <c r="I85" s="82"/>
      <c r="J85" s="142">
        <v>143</v>
      </c>
      <c r="K85" s="159" t="s">
        <v>352</v>
      </c>
      <c r="L85" s="159" t="s">
        <v>276</v>
      </c>
      <c r="M85" s="199">
        <v>0.36302859130073034</v>
      </c>
      <c r="N85" s="200">
        <v>0.10639672789198394</v>
      </c>
      <c r="O85" s="149">
        <f t="shared" si="6"/>
        <v>3.8625054245634054E-2</v>
      </c>
      <c r="P85" s="150">
        <v>827.41920000000005</v>
      </c>
      <c r="Q85" s="151" t="s">
        <v>2027</v>
      </c>
    </row>
    <row r="86" spans="1:17" x14ac:dyDescent="0.25">
      <c r="A86" s="142">
        <v>136</v>
      </c>
      <c r="B86" s="143" t="s">
        <v>462</v>
      </c>
      <c r="C86" s="144" t="s">
        <v>158</v>
      </c>
      <c r="D86" s="193">
        <v>3.609508390805418E-2</v>
      </c>
      <c r="E86" s="194">
        <v>0.11760053965291922</v>
      </c>
      <c r="F86" s="145">
        <f t="shared" si="7"/>
        <v>4.244801346404572E-3</v>
      </c>
      <c r="G86" s="146">
        <v>0</v>
      </c>
      <c r="H86" s="147" t="s">
        <v>2028</v>
      </c>
      <c r="I86" s="82"/>
      <c r="J86" s="142">
        <v>31</v>
      </c>
      <c r="K86" s="159" t="s">
        <v>401</v>
      </c>
      <c r="L86" s="159" t="s">
        <v>173</v>
      </c>
      <c r="M86" s="199">
        <v>0.15493706912634334</v>
      </c>
      <c r="N86" s="200">
        <v>0.2533747278140972</v>
      </c>
      <c r="O86" s="149">
        <f t="shared" si="6"/>
        <v>3.9257137718201204E-2</v>
      </c>
      <c r="P86" s="150">
        <v>0</v>
      </c>
      <c r="Q86" s="151" t="s">
        <v>2026</v>
      </c>
    </row>
    <row r="87" spans="1:17" x14ac:dyDescent="0.25">
      <c r="A87" s="142">
        <v>42</v>
      </c>
      <c r="B87" s="143" t="s">
        <v>421</v>
      </c>
      <c r="C87" s="144" t="s">
        <v>184</v>
      </c>
      <c r="D87" s="193">
        <v>0.92138556809024652</v>
      </c>
      <c r="E87" s="194">
        <v>4.8669842650475685E-3</v>
      </c>
      <c r="F87" s="145">
        <f t="shared" si="7"/>
        <v>4.4843690619371449E-3</v>
      </c>
      <c r="G87" s="146">
        <v>1222.5761999999997</v>
      </c>
      <c r="H87" s="147" t="s">
        <v>2029</v>
      </c>
      <c r="I87" s="82"/>
      <c r="J87" s="142">
        <v>49</v>
      </c>
      <c r="K87" s="159" t="s">
        <v>332</v>
      </c>
      <c r="L87" s="159" t="s">
        <v>202</v>
      </c>
      <c r="M87" s="199">
        <v>0.40911002136069852</v>
      </c>
      <c r="N87" s="200">
        <v>9.7204247699753582E-2</v>
      </c>
      <c r="O87" s="149">
        <f t="shared" si="6"/>
        <v>3.9767231852796819E-2</v>
      </c>
      <c r="P87" s="150">
        <v>0</v>
      </c>
      <c r="Q87" s="151" t="s">
        <v>2026</v>
      </c>
    </row>
    <row r="88" spans="1:17" x14ac:dyDescent="0.25">
      <c r="A88" s="142">
        <v>30</v>
      </c>
      <c r="B88" s="143" t="s">
        <v>376</v>
      </c>
      <c r="C88" s="144" t="s">
        <v>215</v>
      </c>
      <c r="D88" s="193">
        <v>4.3603900582540753E-2</v>
      </c>
      <c r="E88" s="194">
        <v>0.10454052766145581</v>
      </c>
      <c r="F88" s="145">
        <f t="shared" si="7"/>
        <v>4.5583747749964711E-3</v>
      </c>
      <c r="G88" s="146">
        <v>4.7321</v>
      </c>
      <c r="H88" s="147" t="s">
        <v>2028</v>
      </c>
      <c r="I88" s="82"/>
      <c r="J88" s="142">
        <v>9</v>
      </c>
      <c r="K88" s="159" t="s">
        <v>355</v>
      </c>
      <c r="L88" s="159" t="s">
        <v>230</v>
      </c>
      <c r="M88" s="199">
        <v>0.14362128815517411</v>
      </c>
      <c r="N88" s="200">
        <v>0.28967567698377533</v>
      </c>
      <c r="O88" s="149">
        <f t="shared" si="6"/>
        <v>4.1603593875631936E-2</v>
      </c>
      <c r="P88" s="150">
        <v>0</v>
      </c>
      <c r="Q88" s="151" t="s">
        <v>2026</v>
      </c>
    </row>
    <row r="89" spans="1:17" x14ac:dyDescent="0.25">
      <c r="A89" s="142">
        <v>27</v>
      </c>
      <c r="B89" s="143" t="s">
        <v>297</v>
      </c>
      <c r="C89" s="144" t="s">
        <v>89</v>
      </c>
      <c r="D89" s="193">
        <v>2.6054229654989981E-2</v>
      </c>
      <c r="E89" s="194">
        <v>0.19323593199785452</v>
      </c>
      <c r="F89" s="145">
        <f t="shared" si="7"/>
        <v>5.0346133498681287E-3</v>
      </c>
      <c r="G89" s="146">
        <v>0</v>
      </c>
      <c r="H89" s="147" t="s">
        <v>2028</v>
      </c>
      <c r="I89" s="82"/>
      <c r="J89" s="142">
        <v>17</v>
      </c>
      <c r="K89" s="159" t="s">
        <v>325</v>
      </c>
      <c r="L89" s="159" t="s">
        <v>206</v>
      </c>
      <c r="M89" s="199">
        <v>5.0939979518058072E-2</v>
      </c>
      <c r="N89" s="200">
        <v>0.85575587746176274</v>
      </c>
      <c r="O89" s="149">
        <f t="shared" si="6"/>
        <v>4.3592186870360004E-2</v>
      </c>
      <c r="P89" s="150">
        <v>79.569699999999997</v>
      </c>
      <c r="Q89" s="151" t="s">
        <v>2026</v>
      </c>
    </row>
    <row r="90" spans="1:17" x14ac:dyDescent="0.25">
      <c r="A90" s="142">
        <v>57</v>
      </c>
      <c r="B90" s="143" t="s">
        <v>438</v>
      </c>
      <c r="C90" s="144" t="s">
        <v>119</v>
      </c>
      <c r="D90" s="193">
        <v>0.32956544255071135</v>
      </c>
      <c r="E90" s="194">
        <v>1.6934672679184221E-2</v>
      </c>
      <c r="F90" s="145">
        <f t="shared" si="7"/>
        <v>5.581082895966788E-3</v>
      </c>
      <c r="G90" s="146">
        <v>106.7968</v>
      </c>
      <c r="H90" s="147" t="s">
        <v>2029</v>
      </c>
      <c r="I90" s="82"/>
      <c r="J90" s="142">
        <v>69</v>
      </c>
      <c r="K90" s="159" t="s">
        <v>331</v>
      </c>
      <c r="L90" s="159" t="s">
        <v>181</v>
      </c>
      <c r="M90" s="199">
        <v>0.37359154929577465</v>
      </c>
      <c r="N90" s="200">
        <v>0.12700005677129314</v>
      </c>
      <c r="O90" s="149">
        <f t="shared" si="6"/>
        <v>4.7446147969838738E-2</v>
      </c>
      <c r="P90" s="150">
        <v>0</v>
      </c>
      <c r="Q90" s="151" t="s">
        <v>2026</v>
      </c>
    </row>
    <row r="91" spans="1:17" x14ac:dyDescent="0.25">
      <c r="A91" s="142">
        <v>135</v>
      </c>
      <c r="B91" s="143" t="s">
        <v>343</v>
      </c>
      <c r="C91" s="144" t="s">
        <v>272</v>
      </c>
      <c r="D91" s="193">
        <v>0.10190195977776997</v>
      </c>
      <c r="E91" s="194">
        <v>5.751565213361217E-2</v>
      </c>
      <c r="F91" s="145">
        <f t="shared" si="7"/>
        <v>5.8609576703115571E-3</v>
      </c>
      <c r="G91" s="146">
        <v>0</v>
      </c>
      <c r="H91" s="147" t="s">
        <v>2028</v>
      </c>
      <c r="I91" s="82"/>
      <c r="J91" s="142">
        <v>85</v>
      </c>
      <c r="K91" s="159" t="s">
        <v>299</v>
      </c>
      <c r="L91" s="159" t="s">
        <v>94</v>
      </c>
      <c r="M91" s="199">
        <v>0.82983494510398093</v>
      </c>
      <c r="N91" s="200">
        <v>5.8840090753102862E-2</v>
      </c>
      <c r="O91" s="149">
        <f t="shared" si="6"/>
        <v>4.8827563480014373E-2</v>
      </c>
      <c r="P91" s="150">
        <v>0</v>
      </c>
      <c r="Q91" s="151" t="s">
        <v>2026</v>
      </c>
    </row>
    <row r="92" spans="1:17" x14ac:dyDescent="0.25">
      <c r="A92" s="142">
        <v>4</v>
      </c>
      <c r="B92" s="143" t="s">
        <v>338</v>
      </c>
      <c r="C92" s="144" t="s">
        <v>237</v>
      </c>
      <c r="D92" s="193">
        <v>0.72413962538917642</v>
      </c>
      <c r="E92" s="194">
        <v>8.195388936946043E-3</v>
      </c>
      <c r="F92" s="145">
        <f t="shared" si="7"/>
        <v>5.934605874718708E-3</v>
      </c>
      <c r="G92" s="146">
        <v>347.85400000000004</v>
      </c>
      <c r="H92" s="147" t="s">
        <v>2029</v>
      </c>
      <c r="I92" s="82"/>
      <c r="J92" s="142">
        <v>48</v>
      </c>
      <c r="K92" s="159" t="s">
        <v>386</v>
      </c>
      <c r="L92" s="159" t="s">
        <v>115</v>
      </c>
      <c r="M92" s="199">
        <v>0.20292788102875983</v>
      </c>
      <c r="N92" s="200">
        <v>0.24731845905884992</v>
      </c>
      <c r="O92" s="149">
        <f t="shared" si="6"/>
        <v>5.0187810836110507E-2</v>
      </c>
      <c r="P92" s="150">
        <v>1247.1083999999998</v>
      </c>
      <c r="Q92" s="151" t="s">
        <v>2027</v>
      </c>
    </row>
    <row r="93" spans="1:17" x14ac:dyDescent="0.25">
      <c r="A93" s="142">
        <v>43</v>
      </c>
      <c r="B93" s="143" t="s">
        <v>302</v>
      </c>
      <c r="C93" s="144" t="s">
        <v>90</v>
      </c>
      <c r="D93" s="193">
        <v>0.63716271220344689</v>
      </c>
      <c r="E93" s="194">
        <v>9.5532134217186059E-3</v>
      </c>
      <c r="F93" s="145">
        <f t="shared" si="7"/>
        <v>6.0869513740405981E-3</v>
      </c>
      <c r="G93" s="146">
        <v>0</v>
      </c>
      <c r="H93" s="147" t="s">
        <v>2028</v>
      </c>
      <c r="I93" s="82"/>
      <c r="J93" s="142">
        <v>28</v>
      </c>
      <c r="K93" s="159" t="s">
        <v>437</v>
      </c>
      <c r="L93" s="159" t="s">
        <v>160</v>
      </c>
      <c r="M93" s="199">
        <v>0.29580007507395778</v>
      </c>
      <c r="N93" s="200">
        <v>0.17077812305335738</v>
      </c>
      <c r="O93" s="149">
        <f t="shared" si="6"/>
        <v>5.0516181620172712E-2</v>
      </c>
      <c r="P93" s="150">
        <v>1.6244999999999998</v>
      </c>
      <c r="Q93" s="151" t="s">
        <v>2026</v>
      </c>
    </row>
    <row r="94" spans="1:17" x14ac:dyDescent="0.25">
      <c r="A94" s="142">
        <v>23</v>
      </c>
      <c r="B94" s="143" t="s">
        <v>362</v>
      </c>
      <c r="C94" s="144" t="s">
        <v>246</v>
      </c>
      <c r="D94" s="193">
        <v>0.24783789394138825</v>
      </c>
      <c r="E94" s="194">
        <v>2.7444279590862271E-2</v>
      </c>
      <c r="F94" s="145">
        <f t="shared" si="7"/>
        <v>6.8017324545379294E-3</v>
      </c>
      <c r="G94" s="146">
        <v>0.51119999999999999</v>
      </c>
      <c r="H94" s="147" t="s">
        <v>2028</v>
      </c>
      <c r="I94" s="82"/>
      <c r="J94" s="142">
        <v>30</v>
      </c>
      <c r="K94" s="159" t="s">
        <v>376</v>
      </c>
      <c r="L94" s="159" t="s">
        <v>215</v>
      </c>
      <c r="M94" s="199">
        <v>8.0351149397421606E-2</v>
      </c>
      <c r="N94" s="200">
        <v>0.65669695374687287</v>
      </c>
      <c r="O94" s="149">
        <f t="shared" si="6"/>
        <v>5.2766355039346645E-2</v>
      </c>
      <c r="P94" s="150">
        <v>15.933999999999999</v>
      </c>
      <c r="Q94" s="151" t="s">
        <v>2026</v>
      </c>
    </row>
    <row r="95" spans="1:17" ht="15.75" thickBot="1" x14ac:dyDescent="0.3">
      <c r="A95" s="160">
        <v>63</v>
      </c>
      <c r="B95" s="153" t="s">
        <v>391</v>
      </c>
      <c r="C95" s="154" t="s">
        <v>122</v>
      </c>
      <c r="D95" s="195">
        <v>0.83788079050255537</v>
      </c>
      <c r="E95" s="196">
        <v>8.1427501643941899E-3</v>
      </c>
      <c r="F95" s="161">
        <f t="shared" si="7"/>
        <v>6.8226539446074163E-3</v>
      </c>
      <c r="G95" s="162">
        <v>0</v>
      </c>
      <c r="H95" s="163" t="s">
        <v>2028</v>
      </c>
      <c r="I95" s="82"/>
      <c r="J95" s="142">
        <v>10</v>
      </c>
      <c r="K95" s="159" t="s">
        <v>368</v>
      </c>
      <c r="L95" s="159" t="s">
        <v>190</v>
      </c>
      <c r="M95" s="199">
        <v>0.13603154509924351</v>
      </c>
      <c r="N95" s="200">
        <v>0.43917021461417471</v>
      </c>
      <c r="O95" s="149">
        <f t="shared" si="6"/>
        <v>5.9741002855532556E-2</v>
      </c>
      <c r="P95" s="150">
        <v>4.4615999999999998</v>
      </c>
      <c r="Q95" s="151" t="s">
        <v>2026</v>
      </c>
    </row>
    <row r="96" spans="1:17" x14ac:dyDescent="0.25">
      <c r="A96" s="217" t="s">
        <v>2947</v>
      </c>
      <c r="B96" s="218"/>
      <c r="C96" s="218"/>
      <c r="D96" s="218"/>
      <c r="E96" s="218"/>
      <c r="F96" s="218"/>
      <c r="G96" s="218"/>
      <c r="H96" s="219"/>
      <c r="I96" s="82"/>
      <c r="J96" s="142">
        <v>7</v>
      </c>
      <c r="K96" s="159" t="s">
        <v>397</v>
      </c>
      <c r="L96" s="159" t="s">
        <v>195</v>
      </c>
      <c r="M96" s="199">
        <v>0.46943386902924844</v>
      </c>
      <c r="N96" s="200">
        <v>0.12842064129391059</v>
      </c>
      <c r="O96" s="149">
        <f t="shared" si="6"/>
        <v>6.028499850581772E-2</v>
      </c>
      <c r="P96" s="150">
        <v>443.50200000000007</v>
      </c>
      <c r="Q96" s="151" t="s">
        <v>2027</v>
      </c>
    </row>
    <row r="97" spans="1:17" ht="15.75" thickBot="1" x14ac:dyDescent="0.3">
      <c r="A97" s="217"/>
      <c r="B97" s="218"/>
      <c r="C97" s="218"/>
      <c r="D97" s="218"/>
      <c r="E97" s="218"/>
      <c r="F97" s="218"/>
      <c r="G97" s="218"/>
      <c r="H97" s="219"/>
      <c r="I97" s="82"/>
      <c r="J97" s="142">
        <v>4</v>
      </c>
      <c r="K97" s="159" t="s">
        <v>338</v>
      </c>
      <c r="L97" s="159" t="s">
        <v>237</v>
      </c>
      <c r="M97" s="199">
        <v>9.4332404959440064E-2</v>
      </c>
      <c r="N97" s="200">
        <v>0.71773138902486799</v>
      </c>
      <c r="O97" s="149">
        <f t="shared" si="6"/>
        <v>6.7705328041595264E-2</v>
      </c>
      <c r="P97" s="150">
        <v>1847.1590000000001</v>
      </c>
      <c r="Q97" s="151" t="s">
        <v>2027</v>
      </c>
    </row>
    <row r="98" spans="1:17" x14ac:dyDescent="0.25">
      <c r="A98" s="132">
        <v>25</v>
      </c>
      <c r="B98" s="133" t="s">
        <v>443</v>
      </c>
      <c r="C98" s="134" t="s">
        <v>149</v>
      </c>
      <c r="D98" s="191">
        <v>7.554153530280691E-3</v>
      </c>
      <c r="E98" s="192">
        <v>0.99277969580319114</v>
      </c>
      <c r="F98" s="135">
        <f t="shared" si="7"/>
        <v>7.4996102438426668E-3</v>
      </c>
      <c r="G98" s="136">
        <v>135.4068</v>
      </c>
      <c r="H98" s="137" t="s">
        <v>2027</v>
      </c>
      <c r="I98" s="82"/>
      <c r="J98" s="142">
        <v>105</v>
      </c>
      <c r="K98" s="159" t="s">
        <v>371</v>
      </c>
      <c r="L98" s="159" t="s">
        <v>96</v>
      </c>
      <c r="M98" s="199">
        <v>0.65868312124726935</v>
      </c>
      <c r="N98" s="200">
        <v>0.10787613767882027</v>
      </c>
      <c r="O98" s="149">
        <f>M98*N98</f>
        <v>7.1056191074385502E-2</v>
      </c>
      <c r="P98" s="150">
        <v>0</v>
      </c>
      <c r="Q98" s="151" t="s">
        <v>2026</v>
      </c>
    </row>
    <row r="99" spans="1:17" x14ac:dyDescent="0.25">
      <c r="A99" s="142">
        <v>29</v>
      </c>
      <c r="B99" s="143" t="s">
        <v>381</v>
      </c>
      <c r="C99" s="144" t="s">
        <v>134</v>
      </c>
      <c r="D99" s="193">
        <v>0.25992697658793057</v>
      </c>
      <c r="E99" s="194">
        <v>3.0835410090269702E-2</v>
      </c>
      <c r="F99" s="145">
        <f t="shared" si="7"/>
        <v>8.0149549166127713E-3</v>
      </c>
      <c r="G99" s="146">
        <v>0</v>
      </c>
      <c r="H99" s="147" t="s">
        <v>2026</v>
      </c>
      <c r="I99" s="82"/>
      <c r="J99" s="142">
        <v>11</v>
      </c>
      <c r="K99" s="159" t="s">
        <v>416</v>
      </c>
      <c r="L99" s="159" t="s">
        <v>105</v>
      </c>
      <c r="M99" s="199">
        <v>0.14043192597076071</v>
      </c>
      <c r="N99" s="200">
        <v>0.52729428268412926</v>
      </c>
      <c r="O99" s="149">
        <f>M99*N99</f>
        <v>7.4048951670703009E-2</v>
      </c>
      <c r="P99" s="150">
        <v>157.18690000000001</v>
      </c>
      <c r="Q99" s="151" t="s">
        <v>2027</v>
      </c>
    </row>
    <row r="100" spans="1:17" x14ac:dyDescent="0.25">
      <c r="A100" s="142">
        <v>74</v>
      </c>
      <c r="B100" s="143" t="s">
        <v>321</v>
      </c>
      <c r="C100" s="144" t="s">
        <v>219</v>
      </c>
      <c r="D100" s="193">
        <v>0.53107616444217853</v>
      </c>
      <c r="E100" s="194">
        <v>1.5713759855098763E-2</v>
      </c>
      <c r="F100" s="145">
        <f t="shared" si="7"/>
        <v>8.3452033128113348E-3</v>
      </c>
      <c r="G100" s="146">
        <v>104.16</v>
      </c>
      <c r="H100" s="147" t="s">
        <v>2027</v>
      </c>
      <c r="I100" s="82"/>
      <c r="J100" s="142">
        <v>130</v>
      </c>
      <c r="K100" s="159" t="s">
        <v>465</v>
      </c>
      <c r="L100" s="159" t="s">
        <v>261</v>
      </c>
      <c r="M100" s="199">
        <v>1.1985282867596272</v>
      </c>
      <c r="N100" s="200">
        <v>6.5825883799618595E-2</v>
      </c>
      <c r="O100" s="149">
        <f>M100*N100</f>
        <v>7.8894183734795176E-2</v>
      </c>
      <c r="P100" s="150">
        <v>286.4862</v>
      </c>
      <c r="Q100" s="151" t="s">
        <v>2027</v>
      </c>
    </row>
    <row r="101" spans="1:17" x14ac:dyDescent="0.25">
      <c r="A101" s="142">
        <v>97</v>
      </c>
      <c r="B101" s="143" t="s">
        <v>336</v>
      </c>
      <c r="C101" s="144" t="s">
        <v>112</v>
      </c>
      <c r="D101" s="193">
        <v>0.70798003486063166</v>
      </c>
      <c r="E101" s="194">
        <v>1.2162817469501354E-2</v>
      </c>
      <c r="F101" s="145">
        <f t="shared" si="7"/>
        <v>8.6110319360610688E-3</v>
      </c>
      <c r="G101" s="146">
        <v>0</v>
      </c>
      <c r="H101" s="147" t="s">
        <v>2026</v>
      </c>
      <c r="I101" s="82"/>
      <c r="J101" s="142">
        <v>27</v>
      </c>
      <c r="K101" s="159" t="s">
        <v>297</v>
      </c>
      <c r="L101" s="159" t="s">
        <v>89</v>
      </c>
      <c r="M101" s="199">
        <v>0.3249683548697283</v>
      </c>
      <c r="N101" s="200">
        <v>0.26644603983809095</v>
      </c>
      <c r="O101" s="149">
        <f>M101*N101</f>
        <v>8.6586531227738503E-2</v>
      </c>
      <c r="P101" s="150">
        <v>31.372499999999999</v>
      </c>
      <c r="Q101" s="151" t="s">
        <v>2026</v>
      </c>
    </row>
    <row r="102" spans="1:17" x14ac:dyDescent="0.25">
      <c r="A102" s="142">
        <v>38</v>
      </c>
      <c r="B102" s="143" t="s">
        <v>286</v>
      </c>
      <c r="C102" s="144" t="s">
        <v>151</v>
      </c>
      <c r="D102" s="193">
        <v>0.6782342790349033</v>
      </c>
      <c r="E102" s="194">
        <v>1.3092076414239233E-2</v>
      </c>
      <c r="F102" s="145">
        <f t="shared" si="7"/>
        <v>8.8794950078814085E-3</v>
      </c>
      <c r="G102" s="146">
        <v>0</v>
      </c>
      <c r="H102" s="147" t="s">
        <v>2026</v>
      </c>
      <c r="I102" s="82"/>
      <c r="J102" s="142">
        <v>90</v>
      </c>
      <c r="K102" s="159" t="s">
        <v>399</v>
      </c>
      <c r="L102" s="159" t="s">
        <v>166</v>
      </c>
      <c r="M102" s="199">
        <v>0.38713683640760427</v>
      </c>
      <c r="N102" s="200">
        <v>0.22792846836309005</v>
      </c>
      <c r="O102" s="149">
        <f>M102*N102</f>
        <v>8.8239506169317403E-2</v>
      </c>
      <c r="P102" s="150">
        <v>0</v>
      </c>
      <c r="Q102" s="151" t="s">
        <v>2026</v>
      </c>
    </row>
    <row r="103" spans="1:17" x14ac:dyDescent="0.25">
      <c r="A103" s="142">
        <v>106</v>
      </c>
      <c r="B103" s="143" t="s">
        <v>370</v>
      </c>
      <c r="C103" s="144" t="s">
        <v>156</v>
      </c>
      <c r="D103" s="193">
        <v>0.72244296770243488</v>
      </c>
      <c r="E103" s="194">
        <v>1.4772423855980075E-2</v>
      </c>
      <c r="F103" s="145">
        <f t="shared" si="7"/>
        <v>1.0672233730672491E-2</v>
      </c>
      <c r="G103" s="146">
        <v>0</v>
      </c>
      <c r="H103" s="147" t="s">
        <v>2026</v>
      </c>
      <c r="I103" s="82"/>
      <c r="J103" s="142">
        <v>128</v>
      </c>
      <c r="K103" s="159" t="s">
        <v>458</v>
      </c>
      <c r="L103" s="159" t="s">
        <v>177</v>
      </c>
      <c r="M103" s="199">
        <v>0.29992397555611011</v>
      </c>
      <c r="N103" s="200">
        <v>0.3033835746673344</v>
      </c>
      <c r="O103" s="149">
        <f t="shared" ref="O103:O116" si="8">M103*N103</f>
        <v>9.0992007832650906E-2</v>
      </c>
      <c r="P103" s="150">
        <v>0</v>
      </c>
      <c r="Q103" s="151" t="s">
        <v>2026</v>
      </c>
    </row>
    <row r="104" spans="1:17" x14ac:dyDescent="0.25">
      <c r="A104" s="142">
        <v>47</v>
      </c>
      <c r="B104" s="143" t="s">
        <v>280</v>
      </c>
      <c r="C104" s="144" t="s">
        <v>172</v>
      </c>
      <c r="D104" s="193">
        <v>0.74155701247621941</v>
      </c>
      <c r="E104" s="194">
        <v>1.5446660534431791E-2</v>
      </c>
      <c r="F104" s="145">
        <f t="shared" si="7"/>
        <v>1.1454579438647562E-2</v>
      </c>
      <c r="G104" s="146">
        <v>0</v>
      </c>
      <c r="H104" s="147" t="s">
        <v>2026</v>
      </c>
      <c r="I104" s="82"/>
      <c r="J104" s="142">
        <v>2</v>
      </c>
      <c r="K104" s="159" t="s">
        <v>403</v>
      </c>
      <c r="L104" s="159" t="s">
        <v>101</v>
      </c>
      <c r="M104" s="199">
        <v>1.2823300805628051</v>
      </c>
      <c r="N104" s="200">
        <v>7.1271998018800284E-2</v>
      </c>
      <c r="O104" s="149">
        <f t="shared" si="8"/>
        <v>9.1394226961320255E-2</v>
      </c>
      <c r="P104" s="150">
        <v>0</v>
      </c>
      <c r="Q104" s="151" t="s">
        <v>2026</v>
      </c>
    </row>
    <row r="105" spans="1:17" x14ac:dyDescent="0.25">
      <c r="A105" s="142">
        <v>32</v>
      </c>
      <c r="B105" s="143" t="s">
        <v>440</v>
      </c>
      <c r="C105" s="144" t="s">
        <v>211</v>
      </c>
      <c r="D105" s="193">
        <v>5.8559132473870242E-2</v>
      </c>
      <c r="E105" s="194">
        <v>0.19648450881604446</v>
      </c>
      <c r="F105" s="145">
        <f t="shared" si="7"/>
        <v>1.1505962380822073E-2</v>
      </c>
      <c r="G105" s="146">
        <v>0</v>
      </c>
      <c r="H105" s="147" t="s">
        <v>2026</v>
      </c>
      <c r="I105" s="82"/>
      <c r="J105" s="142">
        <v>88</v>
      </c>
      <c r="K105" s="159" t="s">
        <v>392</v>
      </c>
      <c r="L105" s="159" t="s">
        <v>221</v>
      </c>
      <c r="M105" s="199">
        <v>0.10751533085703939</v>
      </c>
      <c r="N105" s="200">
        <v>0.86240628164245448</v>
      </c>
      <c r="O105" s="149">
        <f t="shared" si="8"/>
        <v>9.2721896703977583E-2</v>
      </c>
      <c r="P105" s="150">
        <v>60.296899999999994</v>
      </c>
      <c r="Q105" s="151" t="s">
        <v>2026</v>
      </c>
    </row>
    <row r="106" spans="1:17" x14ac:dyDescent="0.25">
      <c r="A106" s="142">
        <v>17</v>
      </c>
      <c r="B106" s="143" t="s">
        <v>325</v>
      </c>
      <c r="C106" s="144" t="s">
        <v>206</v>
      </c>
      <c r="D106" s="193">
        <v>2.4559203066965473E-2</v>
      </c>
      <c r="E106" s="194">
        <v>0.46867036099420434</v>
      </c>
      <c r="F106" s="145">
        <f t="shared" si="7"/>
        <v>1.1510170567124679E-2</v>
      </c>
      <c r="G106" s="146">
        <v>48.331099999999999</v>
      </c>
      <c r="H106" s="147" t="s">
        <v>2026</v>
      </c>
      <c r="I106" s="82"/>
      <c r="J106" s="142">
        <v>81</v>
      </c>
      <c r="K106" s="159" t="s">
        <v>441</v>
      </c>
      <c r="L106" s="159" t="s">
        <v>203</v>
      </c>
      <c r="M106" s="199">
        <v>0.99663246242756232</v>
      </c>
      <c r="N106" s="200">
        <v>9.5945136504081041E-2</v>
      </c>
      <c r="O106" s="149">
        <f t="shared" si="8"/>
        <v>9.5622037652010883E-2</v>
      </c>
      <c r="P106" s="150">
        <v>854.11650000000009</v>
      </c>
      <c r="Q106" s="151" t="s">
        <v>2027</v>
      </c>
    </row>
    <row r="107" spans="1:17" x14ac:dyDescent="0.25">
      <c r="A107" s="142">
        <v>21</v>
      </c>
      <c r="B107" s="143" t="s">
        <v>360</v>
      </c>
      <c r="C107" s="144" t="s">
        <v>212</v>
      </c>
      <c r="D107" s="193">
        <v>0.86102872182617396</v>
      </c>
      <c r="E107" s="194">
        <v>1.3906968249835828E-2</v>
      </c>
      <c r="F107" s="145">
        <f t="shared" si="7"/>
        <v>1.1974299096633327E-2</v>
      </c>
      <c r="G107" s="146">
        <v>0</v>
      </c>
      <c r="H107" s="147" t="s">
        <v>2026</v>
      </c>
      <c r="I107" s="82"/>
      <c r="J107" s="142">
        <v>93</v>
      </c>
      <c r="K107" s="159" t="s">
        <v>331</v>
      </c>
      <c r="L107" s="159" t="s">
        <v>193</v>
      </c>
      <c r="M107" s="199">
        <v>0.37359154929577465</v>
      </c>
      <c r="N107" s="200">
        <v>0.28524925928360767</v>
      </c>
      <c r="O107" s="149">
        <f t="shared" si="8"/>
        <v>0.10656671271123512</v>
      </c>
      <c r="P107" s="150">
        <v>0</v>
      </c>
      <c r="Q107" s="151" t="s">
        <v>2026</v>
      </c>
    </row>
    <row r="108" spans="1:17" x14ac:dyDescent="0.25">
      <c r="A108" s="142">
        <v>105</v>
      </c>
      <c r="B108" s="143" t="s">
        <v>371</v>
      </c>
      <c r="C108" s="144" t="s">
        <v>96</v>
      </c>
      <c r="D108" s="193">
        <v>0.30224449889384336</v>
      </c>
      <c r="E108" s="194">
        <v>3.9846778597305337E-2</v>
      </c>
      <c r="F108" s="145">
        <f t="shared" si="7"/>
        <v>1.2043469629676474E-2</v>
      </c>
      <c r="G108" s="146">
        <v>0</v>
      </c>
      <c r="H108" s="147" t="s">
        <v>2026</v>
      </c>
      <c r="I108" s="82"/>
      <c r="J108" s="142">
        <v>114</v>
      </c>
      <c r="K108" s="159" t="s">
        <v>380</v>
      </c>
      <c r="L108" s="159" t="s">
        <v>166</v>
      </c>
      <c r="M108" s="199">
        <v>0.53116841776664658</v>
      </c>
      <c r="N108" s="200">
        <v>0.22792846836309005</v>
      </c>
      <c r="O108" s="149">
        <f t="shared" si="8"/>
        <v>0.1210684039043977</v>
      </c>
      <c r="P108" s="150">
        <v>590.45359999999994</v>
      </c>
      <c r="Q108" s="151" t="s">
        <v>2027</v>
      </c>
    </row>
    <row r="109" spans="1:17" x14ac:dyDescent="0.25">
      <c r="A109" s="142">
        <v>86</v>
      </c>
      <c r="B109" s="143" t="s">
        <v>423</v>
      </c>
      <c r="C109" s="144" t="s">
        <v>93</v>
      </c>
      <c r="D109" s="193">
        <v>0.71866740989774769</v>
      </c>
      <c r="E109" s="194">
        <v>1.6840016023054429E-2</v>
      </c>
      <c r="F109" s="145">
        <f t="shared" si="7"/>
        <v>1.2102370697925096E-2</v>
      </c>
      <c r="G109" s="146">
        <v>0</v>
      </c>
      <c r="H109" s="147" t="s">
        <v>2026</v>
      </c>
      <c r="I109" s="82"/>
      <c r="J109" s="142">
        <v>84</v>
      </c>
      <c r="K109" s="159" t="s">
        <v>359</v>
      </c>
      <c r="L109" s="159" t="s">
        <v>214</v>
      </c>
      <c r="M109" s="199">
        <v>0.75456306240107995</v>
      </c>
      <c r="N109" s="200">
        <v>0.16383308479924458</v>
      </c>
      <c r="O109" s="149">
        <f t="shared" si="8"/>
        <v>0.1236223941887338</v>
      </c>
      <c r="P109" s="150">
        <v>1676.2608</v>
      </c>
      <c r="Q109" s="151" t="s">
        <v>2027</v>
      </c>
    </row>
    <row r="110" spans="1:17" x14ac:dyDescent="0.25">
      <c r="A110" s="142">
        <v>6</v>
      </c>
      <c r="B110" s="143" t="s">
        <v>432</v>
      </c>
      <c r="C110" s="144" t="s">
        <v>146</v>
      </c>
      <c r="D110" s="193">
        <v>3.7825158428200188E-2</v>
      </c>
      <c r="E110" s="194">
        <v>0.32154591069692107</v>
      </c>
      <c r="F110" s="145">
        <f t="shared" si="7"/>
        <v>1.2162525014050948E-2</v>
      </c>
      <c r="G110" s="146">
        <v>0</v>
      </c>
      <c r="H110" s="147" t="s">
        <v>2026</v>
      </c>
      <c r="I110" s="82"/>
      <c r="J110" s="142">
        <v>103</v>
      </c>
      <c r="K110" s="159" t="s">
        <v>406</v>
      </c>
      <c r="L110" s="159" t="s">
        <v>164</v>
      </c>
      <c r="M110" s="199">
        <v>0.39373462037796525</v>
      </c>
      <c r="N110" s="200">
        <v>0.32272131784368602</v>
      </c>
      <c r="O110" s="149">
        <f t="shared" si="8"/>
        <v>0.12706655556906038</v>
      </c>
      <c r="P110" s="150">
        <v>2.4533999999999998</v>
      </c>
      <c r="Q110" s="151" t="s">
        <v>2026</v>
      </c>
    </row>
    <row r="111" spans="1:17" x14ac:dyDescent="0.25">
      <c r="A111" s="142">
        <v>46</v>
      </c>
      <c r="B111" s="143" t="s">
        <v>396</v>
      </c>
      <c r="C111" s="144" t="s">
        <v>234</v>
      </c>
      <c r="D111" s="193">
        <v>0.30904671515994198</v>
      </c>
      <c r="E111" s="194">
        <v>4.4970692915262386E-2</v>
      </c>
      <c r="F111" s="145">
        <f t="shared" si="7"/>
        <v>1.3898044923928316E-2</v>
      </c>
      <c r="G111" s="146">
        <v>0</v>
      </c>
      <c r="H111" s="147" t="s">
        <v>2026</v>
      </c>
      <c r="I111" s="82"/>
      <c r="J111" s="142">
        <v>125</v>
      </c>
      <c r="K111" s="159" t="s">
        <v>450</v>
      </c>
      <c r="L111" s="159" t="s">
        <v>266</v>
      </c>
      <c r="M111" s="199">
        <v>1.0885516291080601</v>
      </c>
      <c r="N111" s="200">
        <v>0.11686548152183492</v>
      </c>
      <c r="O111" s="149">
        <f t="shared" si="8"/>
        <v>0.12721411029709129</v>
      </c>
      <c r="P111" s="150">
        <v>0</v>
      </c>
      <c r="Q111" s="151" t="s">
        <v>2026</v>
      </c>
    </row>
    <row r="112" spans="1:17" x14ac:dyDescent="0.25">
      <c r="A112" s="142">
        <v>14</v>
      </c>
      <c r="B112" s="143" t="s">
        <v>389</v>
      </c>
      <c r="C112" s="144" t="s">
        <v>153</v>
      </c>
      <c r="D112" s="193">
        <v>0.51133639337750991</v>
      </c>
      <c r="E112" s="194">
        <v>2.7684135197998182E-2</v>
      </c>
      <c r="F112" s="145">
        <f t="shared" si="7"/>
        <v>1.4155905845919766E-2</v>
      </c>
      <c r="G112" s="146">
        <v>0</v>
      </c>
      <c r="H112" s="147" t="s">
        <v>2026</v>
      </c>
      <c r="I112" s="82"/>
      <c r="J112" s="142">
        <v>3</v>
      </c>
      <c r="K112" s="159" t="s">
        <v>353</v>
      </c>
      <c r="L112" s="159" t="s">
        <v>192</v>
      </c>
      <c r="M112" s="199">
        <v>0.62783491856898754</v>
      </c>
      <c r="N112" s="200">
        <v>0.22290505120709328</v>
      </c>
      <c r="O112" s="149">
        <f t="shared" si="8"/>
        <v>0.13994757467322141</v>
      </c>
      <c r="P112" s="150">
        <v>4.3940000000000001</v>
      </c>
      <c r="Q112" s="151" t="s">
        <v>2026</v>
      </c>
    </row>
    <row r="113" spans="1:17" x14ac:dyDescent="0.25">
      <c r="A113" s="142">
        <v>143</v>
      </c>
      <c r="B113" s="143" t="s">
        <v>352</v>
      </c>
      <c r="C113" s="144" t="s">
        <v>276</v>
      </c>
      <c r="D113" s="193">
        <v>0.27100990311451295</v>
      </c>
      <c r="E113" s="194">
        <v>5.227684593511505E-2</v>
      </c>
      <c r="F113" s="145">
        <f t="shared" si="7"/>
        <v>1.4167542952007849E-2</v>
      </c>
      <c r="G113" s="146">
        <v>214.97899999999998</v>
      </c>
      <c r="H113" s="147" t="s">
        <v>2027</v>
      </c>
      <c r="I113" s="82"/>
      <c r="J113" s="142">
        <v>58</v>
      </c>
      <c r="K113" s="159" t="s">
        <v>312</v>
      </c>
      <c r="L113" s="159" t="s">
        <v>124</v>
      </c>
      <c r="M113" s="199">
        <v>0.25418248849225944</v>
      </c>
      <c r="N113" s="200">
        <v>0.563599840056492</v>
      </c>
      <c r="O113" s="149">
        <f t="shared" si="8"/>
        <v>0.14325720985939855</v>
      </c>
      <c r="P113" s="150">
        <v>162.94320000000002</v>
      </c>
      <c r="Q113" s="151" t="s">
        <v>2027</v>
      </c>
    </row>
    <row r="114" spans="1:17" x14ac:dyDescent="0.25">
      <c r="A114" s="142">
        <v>75</v>
      </c>
      <c r="B114" s="143" t="s">
        <v>282</v>
      </c>
      <c r="C114" s="144" t="s">
        <v>88</v>
      </c>
      <c r="D114" s="193">
        <v>3.0036416242969068E-2</v>
      </c>
      <c r="E114" s="194">
        <v>0.49193390575374074</v>
      </c>
      <c r="F114" s="145">
        <f t="shared" si="7"/>
        <v>1.4775931557248873E-2</v>
      </c>
      <c r="G114" s="146">
        <v>0</v>
      </c>
      <c r="H114" s="147" t="s">
        <v>2026</v>
      </c>
      <c r="I114" s="82"/>
      <c r="J114" s="142">
        <v>18</v>
      </c>
      <c r="K114" s="159" t="s">
        <v>284</v>
      </c>
      <c r="L114" s="159" t="s">
        <v>240</v>
      </c>
      <c r="M114" s="199">
        <v>0.33701448790854399</v>
      </c>
      <c r="N114" s="200">
        <v>0.42583918270465249</v>
      </c>
      <c r="O114" s="149">
        <f t="shared" si="8"/>
        <v>0.14351397409060135</v>
      </c>
      <c r="P114" s="150">
        <v>14.6294</v>
      </c>
      <c r="Q114" s="151" t="s">
        <v>2026</v>
      </c>
    </row>
    <row r="115" spans="1:17" x14ac:dyDescent="0.25">
      <c r="A115" s="142">
        <v>83</v>
      </c>
      <c r="B115" s="143" t="s">
        <v>420</v>
      </c>
      <c r="C115" s="144" t="s">
        <v>150</v>
      </c>
      <c r="D115" s="193">
        <v>1.5920339459558414E-2</v>
      </c>
      <c r="E115" s="194">
        <v>1.0080514038148614</v>
      </c>
      <c r="F115" s="145">
        <f t="shared" si="7"/>
        <v>1.6048520541416991E-2</v>
      </c>
      <c r="G115" s="146">
        <v>5.0358000000000001</v>
      </c>
      <c r="H115" s="147" t="s">
        <v>2026</v>
      </c>
      <c r="I115" s="82"/>
      <c r="J115" s="142">
        <v>37</v>
      </c>
      <c r="K115" s="159" t="s">
        <v>363</v>
      </c>
      <c r="L115" s="159" t="s">
        <v>175</v>
      </c>
      <c r="M115" s="199">
        <v>0.70952089930922091</v>
      </c>
      <c r="N115" s="200">
        <v>0.20303468582350401</v>
      </c>
      <c r="O115" s="149">
        <f t="shared" si="8"/>
        <v>0.14405735287645768</v>
      </c>
      <c r="P115" s="150">
        <v>25.1873</v>
      </c>
      <c r="Q115" s="151" t="s">
        <v>2026</v>
      </c>
    </row>
    <row r="116" spans="1:17" x14ac:dyDescent="0.25">
      <c r="A116" s="142">
        <v>90</v>
      </c>
      <c r="B116" s="143" t="s">
        <v>399</v>
      </c>
      <c r="C116" s="144" t="s">
        <v>166</v>
      </c>
      <c r="D116" s="193">
        <v>0.51821640087717991</v>
      </c>
      <c r="E116" s="194">
        <v>3.3290996679835622E-2</v>
      </c>
      <c r="F116" s="145">
        <f t="shared" ref="F116:F141" si="9">D116*E116</f>
        <v>1.7251940481038563E-2</v>
      </c>
      <c r="G116" s="146">
        <v>0</v>
      </c>
      <c r="H116" s="147" t="s">
        <v>2026</v>
      </c>
      <c r="I116" s="82"/>
      <c r="J116" s="142">
        <v>32</v>
      </c>
      <c r="K116" s="159" t="s">
        <v>440</v>
      </c>
      <c r="L116" s="159" t="s">
        <v>211</v>
      </c>
      <c r="M116" s="199">
        <v>0.11674394083700129</v>
      </c>
      <c r="N116" s="200">
        <v>1.2393125014963216</v>
      </c>
      <c r="O116" s="149">
        <f t="shared" si="8"/>
        <v>0.14468222535324263</v>
      </c>
      <c r="P116" s="150">
        <v>60.313999999999993</v>
      </c>
      <c r="Q116" s="151" t="s">
        <v>2026</v>
      </c>
    </row>
    <row r="117" spans="1:17" ht="15" customHeight="1" x14ac:dyDescent="0.25">
      <c r="A117" s="142">
        <v>15</v>
      </c>
      <c r="B117" s="143" t="s">
        <v>337</v>
      </c>
      <c r="C117" s="144" t="s">
        <v>208</v>
      </c>
      <c r="D117" s="193">
        <v>8.0681205135376029E-3</v>
      </c>
      <c r="E117" s="194">
        <v>2.478024101089269</v>
      </c>
      <c r="F117" s="145">
        <f t="shared" si="9"/>
        <v>1.9992997083038911E-2</v>
      </c>
      <c r="G117" s="146">
        <v>0</v>
      </c>
      <c r="H117" s="147" t="s">
        <v>2026</v>
      </c>
      <c r="I117" s="82"/>
      <c r="J117" s="142">
        <v>74</v>
      </c>
      <c r="K117" s="159" t="s">
        <v>321</v>
      </c>
      <c r="L117" s="159" t="s">
        <v>219</v>
      </c>
      <c r="M117" s="199">
        <v>0.74411866802162441</v>
      </c>
      <c r="N117" s="200">
        <v>0.21967005915551877</v>
      </c>
      <c r="O117" s="149">
        <f t="shared" ref="O117:O151" si="10">M117*N117</f>
        <v>0.16346059182303607</v>
      </c>
      <c r="P117" s="150">
        <v>46.783799999999999</v>
      </c>
      <c r="Q117" s="151" t="s">
        <v>2026</v>
      </c>
    </row>
    <row r="118" spans="1:17" ht="15.75" customHeight="1" x14ac:dyDescent="0.25">
      <c r="A118" s="142">
        <v>79</v>
      </c>
      <c r="B118" s="143" t="s">
        <v>430</v>
      </c>
      <c r="C118" s="144" t="s">
        <v>233</v>
      </c>
      <c r="D118" s="193">
        <v>0.98499409887836165</v>
      </c>
      <c r="E118" s="194">
        <v>2.2268410225750022E-2</v>
      </c>
      <c r="F118" s="145">
        <f t="shared" si="9"/>
        <v>2.1934252663766335E-2</v>
      </c>
      <c r="G118" s="146">
        <v>374.87299999999999</v>
      </c>
      <c r="H118" s="147" t="s">
        <v>2027</v>
      </c>
      <c r="I118" s="82"/>
      <c r="J118" s="142">
        <v>6</v>
      </c>
      <c r="K118" s="159" t="s">
        <v>432</v>
      </c>
      <c r="L118" s="159" t="s">
        <v>146</v>
      </c>
      <c r="M118" s="199">
        <v>0.18255849877190558</v>
      </c>
      <c r="N118" s="200">
        <v>0.90097008222593522</v>
      </c>
      <c r="O118" s="149">
        <f t="shared" si="10"/>
        <v>0.16447974564956708</v>
      </c>
      <c r="P118" s="150">
        <v>1.9501999999999999</v>
      </c>
      <c r="Q118" s="151" t="s">
        <v>2026</v>
      </c>
    </row>
    <row r="119" spans="1:17" ht="15" customHeight="1" thickBot="1" x14ac:dyDescent="0.3">
      <c r="A119" s="142">
        <v>56</v>
      </c>
      <c r="B119" s="143" t="s">
        <v>283</v>
      </c>
      <c r="C119" s="144" t="s">
        <v>180</v>
      </c>
      <c r="D119" s="193">
        <v>1.2411615144304746</v>
      </c>
      <c r="E119" s="194">
        <v>2.0554700425289524E-2</v>
      </c>
      <c r="F119" s="145">
        <f t="shared" si="9"/>
        <v>2.5511703108517067E-2</v>
      </c>
      <c r="G119" s="146">
        <v>79.227199999999996</v>
      </c>
      <c r="H119" s="147" t="s">
        <v>2026</v>
      </c>
      <c r="I119" s="82"/>
      <c r="J119" s="160">
        <v>100</v>
      </c>
      <c r="K119" s="164" t="s">
        <v>375</v>
      </c>
      <c r="L119" s="164" t="s">
        <v>117</v>
      </c>
      <c r="M119" s="201">
        <v>0.69327929280278522</v>
      </c>
      <c r="N119" s="202">
        <v>0.23868611941147388</v>
      </c>
      <c r="O119" s="155">
        <f t="shared" si="10"/>
        <v>0.16547614406742775</v>
      </c>
      <c r="P119" s="156">
        <v>0</v>
      </c>
      <c r="Q119" s="157" t="s">
        <v>2026</v>
      </c>
    </row>
    <row r="120" spans="1:17" ht="15.75" customHeight="1" x14ac:dyDescent="0.25">
      <c r="A120" s="142">
        <v>8</v>
      </c>
      <c r="B120" s="143" t="s">
        <v>310</v>
      </c>
      <c r="C120" s="144" t="s">
        <v>163</v>
      </c>
      <c r="D120" s="193">
        <v>6.079577033179541E-2</v>
      </c>
      <c r="E120" s="194">
        <v>0.44362988625247302</v>
      </c>
      <c r="F120" s="145">
        <f t="shared" si="9"/>
        <v>2.6970820676925873E-2</v>
      </c>
      <c r="G120" s="146">
        <v>0</v>
      </c>
      <c r="H120" s="147" t="s">
        <v>2026</v>
      </c>
      <c r="I120" s="82"/>
      <c r="J120" s="217" t="s">
        <v>2948</v>
      </c>
      <c r="K120" s="218"/>
      <c r="L120" s="218"/>
      <c r="M120" s="218"/>
      <c r="N120" s="218"/>
      <c r="O120" s="218"/>
      <c r="P120" s="218"/>
      <c r="Q120" s="219"/>
    </row>
    <row r="121" spans="1:17" ht="15.75" thickBot="1" x14ac:dyDescent="0.3">
      <c r="A121" s="142">
        <v>67</v>
      </c>
      <c r="B121" s="143" t="s">
        <v>428</v>
      </c>
      <c r="C121" s="144" t="s">
        <v>186</v>
      </c>
      <c r="D121" s="193">
        <v>0.42285741212161332</v>
      </c>
      <c r="E121" s="194">
        <v>6.7477957211774242E-2</v>
      </c>
      <c r="F121" s="145">
        <f t="shared" si="9"/>
        <v>2.853355436182381E-2</v>
      </c>
      <c r="G121" s="146">
        <v>0</v>
      </c>
      <c r="H121" s="147" t="s">
        <v>2026</v>
      </c>
      <c r="I121" s="82"/>
      <c r="J121" s="220"/>
      <c r="K121" s="221"/>
      <c r="L121" s="221"/>
      <c r="M121" s="221"/>
      <c r="N121" s="221"/>
      <c r="O121" s="221"/>
      <c r="P121" s="221"/>
      <c r="Q121" s="222"/>
    </row>
    <row r="122" spans="1:17" x14ac:dyDescent="0.25">
      <c r="A122" s="142">
        <v>24</v>
      </c>
      <c r="B122" s="143" t="s">
        <v>348</v>
      </c>
      <c r="C122" s="144" t="s">
        <v>145</v>
      </c>
      <c r="D122" s="193">
        <v>0.25190801952517511</v>
      </c>
      <c r="E122" s="194">
        <v>0.12059504661170388</v>
      </c>
      <c r="F122" s="145">
        <f t="shared" si="9"/>
        <v>3.0378859356500504E-2</v>
      </c>
      <c r="G122" s="146">
        <v>37.274999999999999</v>
      </c>
      <c r="H122" s="147" t="s">
        <v>2026</v>
      </c>
      <c r="I122" s="82"/>
      <c r="J122" s="142">
        <v>89</v>
      </c>
      <c r="K122" s="165" t="s">
        <v>393</v>
      </c>
      <c r="L122" s="144" t="s">
        <v>224</v>
      </c>
      <c r="M122" s="203">
        <v>0.62809341547230291</v>
      </c>
      <c r="N122" s="203">
        <v>0.26527345949162029</v>
      </c>
      <c r="O122" s="167">
        <f t="shared" ref="O122:O144" si="11">M122*N122</f>
        <v>0.16661651320624538</v>
      </c>
      <c r="P122" s="168">
        <v>708.62069999999994</v>
      </c>
      <c r="Q122" s="147" t="s">
        <v>2027</v>
      </c>
    </row>
    <row r="123" spans="1:17" x14ac:dyDescent="0.25">
      <c r="A123" s="142">
        <v>78</v>
      </c>
      <c r="B123" s="143" t="s">
        <v>382</v>
      </c>
      <c r="C123" s="144" t="s">
        <v>239</v>
      </c>
      <c r="D123" s="193">
        <v>6.4958569120531232E-2</v>
      </c>
      <c r="E123" s="194">
        <v>0.49840925553917403</v>
      </c>
      <c r="F123" s="145">
        <f t="shared" si="9"/>
        <v>3.2375952076253947E-2</v>
      </c>
      <c r="G123" s="146">
        <v>0.94499999999999995</v>
      </c>
      <c r="H123" s="147" t="s">
        <v>2026</v>
      </c>
      <c r="I123" s="82"/>
      <c r="J123" s="142">
        <v>62</v>
      </c>
      <c r="K123" s="165" t="s">
        <v>383</v>
      </c>
      <c r="L123" s="144" t="s">
        <v>106</v>
      </c>
      <c r="M123" s="203">
        <v>1.8564501648941747</v>
      </c>
      <c r="N123" s="203">
        <v>9.1022476173228478E-2</v>
      </c>
      <c r="O123" s="167">
        <f t="shared" si="11"/>
        <v>0.16897869090086609</v>
      </c>
      <c r="P123" s="168">
        <v>161.73950000000002</v>
      </c>
      <c r="Q123" s="147" t="s">
        <v>2027</v>
      </c>
    </row>
    <row r="124" spans="1:17" x14ac:dyDescent="0.25">
      <c r="A124" s="142">
        <v>126</v>
      </c>
      <c r="B124" s="143" t="s">
        <v>460</v>
      </c>
      <c r="C124" s="144" t="s">
        <v>118</v>
      </c>
      <c r="D124" s="193">
        <v>2.5076998948533994E-2</v>
      </c>
      <c r="E124" s="194">
        <v>1.3217157671344699</v>
      </c>
      <c r="F124" s="145">
        <f t="shared" si="9"/>
        <v>3.3144664902691905E-2</v>
      </c>
      <c r="G124" s="146">
        <v>127.05239999999999</v>
      </c>
      <c r="H124" s="147" t="s">
        <v>2027</v>
      </c>
      <c r="I124" s="82"/>
      <c r="J124" s="142">
        <v>1</v>
      </c>
      <c r="K124" s="165" t="s">
        <v>427</v>
      </c>
      <c r="L124" s="144" t="s">
        <v>98</v>
      </c>
      <c r="M124" s="203">
        <v>0.48913791341807283</v>
      </c>
      <c r="N124" s="203">
        <v>0.41596615041228091</v>
      </c>
      <c r="O124" s="167">
        <f t="shared" si="11"/>
        <v>0.20346481486521131</v>
      </c>
      <c r="P124" s="168">
        <v>582.22579999999994</v>
      </c>
      <c r="Q124" s="147" t="s">
        <v>2027</v>
      </c>
    </row>
    <row r="125" spans="1:17" x14ac:dyDescent="0.25">
      <c r="A125" s="142">
        <v>5</v>
      </c>
      <c r="B125" s="143" t="s">
        <v>367</v>
      </c>
      <c r="C125" s="144" t="s">
        <v>232</v>
      </c>
      <c r="D125" s="193">
        <v>0.63803144574937265</v>
      </c>
      <c r="E125" s="194">
        <v>5.3647168999744095E-2</v>
      </c>
      <c r="F125" s="145">
        <f t="shared" si="9"/>
        <v>3.4228580797267649E-2</v>
      </c>
      <c r="G125" s="146">
        <v>74.156499999999994</v>
      </c>
      <c r="H125" s="147" t="s">
        <v>2026</v>
      </c>
      <c r="I125" s="82"/>
      <c r="J125" s="142">
        <v>108</v>
      </c>
      <c r="K125" s="165" t="s">
        <v>377</v>
      </c>
      <c r="L125" s="144" t="s">
        <v>228</v>
      </c>
      <c r="M125" s="203">
        <v>0.55265932946963814</v>
      </c>
      <c r="N125" s="203">
        <v>0.37446934773863055</v>
      </c>
      <c r="O125" s="167">
        <f t="shared" si="11"/>
        <v>0.20695397862816431</v>
      </c>
      <c r="P125" s="168">
        <v>316.12349999999998</v>
      </c>
      <c r="Q125" s="147" t="s">
        <v>2027</v>
      </c>
    </row>
    <row r="126" spans="1:17" x14ac:dyDescent="0.25">
      <c r="A126" s="142">
        <v>18</v>
      </c>
      <c r="B126" s="143" t="s">
        <v>284</v>
      </c>
      <c r="C126" s="144" t="s">
        <v>240</v>
      </c>
      <c r="D126" s="193">
        <v>0.66648875825660725</v>
      </c>
      <c r="E126" s="194">
        <v>5.2721744872113341E-2</v>
      </c>
      <c r="F126" s="145">
        <f t="shared" si="9"/>
        <v>3.5138450272936474E-2</v>
      </c>
      <c r="G126" s="146">
        <v>54.355199999999996</v>
      </c>
      <c r="H126" s="147" t="s">
        <v>2026</v>
      </c>
      <c r="I126" s="82"/>
      <c r="J126" s="142">
        <v>112</v>
      </c>
      <c r="K126" s="165" t="s">
        <v>341</v>
      </c>
      <c r="L126" s="144" t="s">
        <v>221</v>
      </c>
      <c r="M126" s="203">
        <v>0.26124867932955337</v>
      </c>
      <c r="N126" s="203">
        <v>0.86240628164245448</v>
      </c>
      <c r="O126" s="167">
        <f t="shared" si="11"/>
        <v>0.22530250212460207</v>
      </c>
      <c r="P126" s="168">
        <v>166.85150000000002</v>
      </c>
      <c r="Q126" s="147" t="s">
        <v>2027</v>
      </c>
    </row>
    <row r="127" spans="1:17" x14ac:dyDescent="0.25">
      <c r="A127" s="142">
        <v>44</v>
      </c>
      <c r="B127" s="143" t="s">
        <v>356</v>
      </c>
      <c r="C127" s="144" t="s">
        <v>148</v>
      </c>
      <c r="D127" s="193">
        <v>0.94231230687423728</v>
      </c>
      <c r="E127" s="194">
        <v>3.9310331913689545E-2</v>
      </c>
      <c r="F127" s="145">
        <f t="shared" si="9"/>
        <v>3.7042609549580746E-2</v>
      </c>
      <c r="G127" s="146">
        <v>115.41199999999999</v>
      </c>
      <c r="H127" s="147" t="s">
        <v>2027</v>
      </c>
      <c r="I127" s="82"/>
      <c r="J127" s="142">
        <v>95</v>
      </c>
      <c r="K127" s="165" t="s">
        <v>293</v>
      </c>
      <c r="L127" s="144" t="s">
        <v>238</v>
      </c>
      <c r="M127" s="203">
        <v>0.91665595013293555</v>
      </c>
      <c r="N127" s="203">
        <v>0.25185523678081284</v>
      </c>
      <c r="O127" s="167">
        <f t="shared" si="11"/>
        <v>0.23086460136727144</v>
      </c>
      <c r="P127" s="168">
        <v>1160.7408</v>
      </c>
      <c r="Q127" s="147" t="s">
        <v>2027</v>
      </c>
    </row>
    <row r="128" spans="1:17" x14ac:dyDescent="0.25">
      <c r="A128" s="142">
        <v>62</v>
      </c>
      <c r="B128" s="143" t="s">
        <v>383</v>
      </c>
      <c r="C128" s="144" t="s">
        <v>106</v>
      </c>
      <c r="D128" s="193">
        <v>0.71075237827265236</v>
      </c>
      <c r="E128" s="194">
        <v>5.3429565252603402E-2</v>
      </c>
      <c r="F128" s="145">
        <f t="shared" si="9"/>
        <v>3.7975190573361739E-2</v>
      </c>
      <c r="G128" s="146">
        <v>0</v>
      </c>
      <c r="H128" s="147" t="s">
        <v>2026</v>
      </c>
      <c r="I128" s="82"/>
      <c r="J128" s="142">
        <v>14</v>
      </c>
      <c r="K128" s="165" t="s">
        <v>389</v>
      </c>
      <c r="L128" s="144" t="s">
        <v>153</v>
      </c>
      <c r="M128" s="203">
        <v>0.86834409982261007</v>
      </c>
      <c r="N128" s="203">
        <v>0.28600445672998259</v>
      </c>
      <c r="O128" s="167">
        <f t="shared" si="11"/>
        <v>0.24835028252445138</v>
      </c>
      <c r="P128" s="168">
        <v>266.8</v>
      </c>
      <c r="Q128" s="147" t="s">
        <v>2027</v>
      </c>
    </row>
    <row r="129" spans="1:17" x14ac:dyDescent="0.25">
      <c r="A129" s="142">
        <v>120</v>
      </c>
      <c r="B129" s="143" t="s">
        <v>358</v>
      </c>
      <c r="C129" s="144" t="s">
        <v>267</v>
      </c>
      <c r="D129" s="193">
        <v>0.75291313045552222</v>
      </c>
      <c r="E129" s="194">
        <v>5.1932313597542343E-2</v>
      </c>
      <c r="F129" s="145">
        <f t="shared" si="9"/>
        <v>3.9100520802523485E-2</v>
      </c>
      <c r="G129" s="146">
        <v>300.15760000000006</v>
      </c>
      <c r="H129" s="147" t="s">
        <v>2027</v>
      </c>
      <c r="I129" s="82"/>
      <c r="J129" s="142">
        <v>56</v>
      </c>
      <c r="K129" s="165" t="s">
        <v>283</v>
      </c>
      <c r="L129" s="144" t="s">
        <v>180</v>
      </c>
      <c r="M129" s="203">
        <v>0.54415830826488498</v>
      </c>
      <c r="N129" s="203">
        <v>0.48639618453920674</v>
      </c>
      <c r="O129" s="167">
        <f t="shared" si="11"/>
        <v>0.26467652492534954</v>
      </c>
      <c r="P129" s="168">
        <v>177.81290000000001</v>
      </c>
      <c r="Q129" s="147" t="s">
        <v>2027</v>
      </c>
    </row>
    <row r="130" spans="1:17" x14ac:dyDescent="0.25">
      <c r="A130" s="142">
        <v>89</v>
      </c>
      <c r="B130" s="143" t="s">
        <v>393</v>
      </c>
      <c r="C130" s="144" t="s">
        <v>224</v>
      </c>
      <c r="D130" s="193">
        <v>0.44435089980294928</v>
      </c>
      <c r="E130" s="194">
        <v>9.4266950529617199E-2</v>
      </c>
      <c r="F130" s="145">
        <f t="shared" si="9"/>
        <v>4.1887604289515511E-2</v>
      </c>
      <c r="G130" s="146">
        <v>168.96419999999998</v>
      </c>
      <c r="H130" s="147" t="s">
        <v>2027</v>
      </c>
      <c r="I130" s="82"/>
      <c r="J130" s="142">
        <v>71</v>
      </c>
      <c r="K130" s="165" t="s">
        <v>357</v>
      </c>
      <c r="L130" s="144" t="s">
        <v>191</v>
      </c>
      <c r="M130" s="203">
        <v>0.69469527517193841</v>
      </c>
      <c r="N130" s="203">
        <v>0.41368581451459396</v>
      </c>
      <c r="O130" s="167">
        <f t="shared" si="11"/>
        <v>0.28738558074894333</v>
      </c>
      <c r="P130" s="168">
        <v>757.11019999999996</v>
      </c>
      <c r="Q130" s="147" t="s">
        <v>2027</v>
      </c>
    </row>
    <row r="131" spans="1:17" x14ac:dyDescent="0.25">
      <c r="A131" s="142">
        <v>65</v>
      </c>
      <c r="B131" s="143" t="s">
        <v>384</v>
      </c>
      <c r="C131" s="144" t="s">
        <v>154</v>
      </c>
      <c r="D131" s="193">
        <v>1.1802940843956384</v>
      </c>
      <c r="E131" s="194">
        <v>3.5844836352561249E-2</v>
      </c>
      <c r="F131" s="145">
        <f t="shared" si="9"/>
        <v>4.2307448303057778E-2</v>
      </c>
      <c r="G131" s="146">
        <v>319.53199999999998</v>
      </c>
      <c r="H131" s="147" t="s">
        <v>2027</v>
      </c>
      <c r="I131" s="82"/>
      <c r="J131" s="142">
        <v>5</v>
      </c>
      <c r="K131" s="165" t="s">
        <v>367</v>
      </c>
      <c r="L131" s="144" t="s">
        <v>232</v>
      </c>
      <c r="M131" s="203">
        <v>0.69220090432780423</v>
      </c>
      <c r="N131" s="203">
        <v>0.43389502753359543</v>
      </c>
      <c r="O131" s="167">
        <f t="shared" si="11"/>
        <v>0.3003425304420923</v>
      </c>
      <c r="P131" s="168">
        <v>620.28</v>
      </c>
      <c r="Q131" s="147" t="s">
        <v>2027</v>
      </c>
    </row>
    <row r="132" spans="1:17" x14ac:dyDescent="0.25">
      <c r="A132" s="142">
        <v>26</v>
      </c>
      <c r="B132" s="143" t="s">
        <v>300</v>
      </c>
      <c r="C132" s="144" t="s">
        <v>104</v>
      </c>
      <c r="D132" s="193">
        <v>1.4437593200425591E-2</v>
      </c>
      <c r="E132" s="194">
        <v>3.2522627378310407</v>
      </c>
      <c r="F132" s="145">
        <f t="shared" si="9"/>
        <v>4.6954846389706949E-2</v>
      </c>
      <c r="G132" s="146">
        <v>0</v>
      </c>
      <c r="H132" s="147" t="s">
        <v>2026</v>
      </c>
      <c r="I132" s="82"/>
      <c r="J132" s="142">
        <v>22</v>
      </c>
      <c r="K132" s="165" t="s">
        <v>351</v>
      </c>
      <c r="L132" s="144" t="s">
        <v>174</v>
      </c>
      <c r="M132" s="203">
        <v>0.45005900006845928</v>
      </c>
      <c r="N132" s="203">
        <v>0.69183923665934066</v>
      </c>
      <c r="O132" s="167">
        <f t="shared" si="11"/>
        <v>0.31136847505902904</v>
      </c>
      <c r="P132" s="168">
        <v>244.7884</v>
      </c>
      <c r="Q132" s="147" t="s">
        <v>2027</v>
      </c>
    </row>
    <row r="133" spans="1:17" x14ac:dyDescent="0.25">
      <c r="A133" s="142">
        <v>133</v>
      </c>
      <c r="B133" s="143" t="s">
        <v>431</v>
      </c>
      <c r="C133" s="144" t="s">
        <v>271</v>
      </c>
      <c r="D133" s="193">
        <v>0.41744938223357581</v>
      </c>
      <c r="E133" s="194">
        <v>0.13791852932734533</v>
      </c>
      <c r="F133" s="145">
        <f t="shared" si="9"/>
        <v>5.7574004866263614E-2</v>
      </c>
      <c r="G133" s="146">
        <v>48.628800000000005</v>
      </c>
      <c r="H133" s="147" t="s">
        <v>2026</v>
      </c>
      <c r="I133" s="82"/>
      <c r="J133" s="142">
        <v>44</v>
      </c>
      <c r="K133" s="165" t="s">
        <v>356</v>
      </c>
      <c r="L133" s="144" t="s">
        <v>148</v>
      </c>
      <c r="M133" s="203">
        <v>1.0404275599914463</v>
      </c>
      <c r="N133" s="203">
        <v>0.34416898323907835</v>
      </c>
      <c r="O133" s="167">
        <f t="shared" si="11"/>
        <v>0.35808289545617128</v>
      </c>
      <c r="P133" s="168">
        <v>25.859800000000003</v>
      </c>
      <c r="Q133" s="169" t="s">
        <v>2026</v>
      </c>
    </row>
    <row r="134" spans="1:17" x14ac:dyDescent="0.25">
      <c r="A134" s="142">
        <v>112</v>
      </c>
      <c r="B134" s="143" t="s">
        <v>341</v>
      </c>
      <c r="C134" s="144" t="s">
        <v>221</v>
      </c>
      <c r="D134" s="193">
        <v>0.11129536493412007</v>
      </c>
      <c r="E134" s="194">
        <v>0.57779246964608955</v>
      </c>
      <c r="F134" s="145">
        <f t="shared" si="9"/>
        <v>6.4305623765448031E-2</v>
      </c>
      <c r="G134" s="146">
        <v>524.95679999999993</v>
      </c>
      <c r="H134" s="147" t="s">
        <v>2027</v>
      </c>
      <c r="I134" s="82"/>
      <c r="J134" s="142">
        <v>13</v>
      </c>
      <c r="K134" s="165" t="s">
        <v>309</v>
      </c>
      <c r="L134" s="144" t="s">
        <v>116</v>
      </c>
      <c r="M134" s="203">
        <v>0.48916740775223694</v>
      </c>
      <c r="N134" s="203">
        <v>0.75304812209280558</v>
      </c>
      <c r="O134" s="167">
        <f t="shared" si="11"/>
        <v>0.36836659779682773</v>
      </c>
      <c r="P134" s="168">
        <v>187.79040000000001</v>
      </c>
      <c r="Q134" s="147" t="s">
        <v>2027</v>
      </c>
    </row>
    <row r="135" spans="1:17" x14ac:dyDescent="0.25">
      <c r="A135" s="142">
        <v>101</v>
      </c>
      <c r="B135" s="143" t="s">
        <v>415</v>
      </c>
      <c r="C135" s="144" t="s">
        <v>171</v>
      </c>
      <c r="D135" s="193">
        <v>1.3045951815827985</v>
      </c>
      <c r="E135" s="194">
        <v>5.1143582975024179E-2</v>
      </c>
      <c r="F135" s="145">
        <f t="shared" si="9"/>
        <v>6.6721671918096595E-2</v>
      </c>
      <c r="G135" s="146">
        <v>31.166399999999999</v>
      </c>
      <c r="H135" s="147" t="s">
        <v>2026</v>
      </c>
      <c r="I135" s="82"/>
      <c r="J135" s="142">
        <v>55</v>
      </c>
      <c r="K135" s="165" t="s">
        <v>306</v>
      </c>
      <c r="L135" s="144" t="s">
        <v>210</v>
      </c>
      <c r="M135" s="203">
        <v>0.57294029672975033</v>
      </c>
      <c r="N135" s="203">
        <v>0.69454729737223153</v>
      </c>
      <c r="O135" s="167">
        <f t="shared" si="11"/>
        <v>0.3979341346492925</v>
      </c>
      <c r="P135" s="168">
        <v>97.3215</v>
      </c>
      <c r="Q135" s="147" t="s">
        <v>2027</v>
      </c>
    </row>
    <row r="136" spans="1:17" x14ac:dyDescent="0.25">
      <c r="A136" s="142">
        <v>35</v>
      </c>
      <c r="B136" s="143" t="s">
        <v>385</v>
      </c>
      <c r="C136" s="144" t="s">
        <v>121</v>
      </c>
      <c r="D136" s="193">
        <v>1.014595166883753</v>
      </c>
      <c r="E136" s="194">
        <v>6.6717659757327033E-2</v>
      </c>
      <c r="F136" s="145">
        <f t="shared" si="9"/>
        <v>6.7691415135578664E-2</v>
      </c>
      <c r="G136" s="146">
        <v>1509.9769999999999</v>
      </c>
      <c r="H136" s="147" t="s">
        <v>2027</v>
      </c>
      <c r="I136" s="82"/>
      <c r="J136" s="142">
        <v>34</v>
      </c>
      <c r="K136" s="165" t="s">
        <v>296</v>
      </c>
      <c r="L136" s="144" t="s">
        <v>170</v>
      </c>
      <c r="M136" s="203">
        <v>0.86321972583282158</v>
      </c>
      <c r="N136" s="203">
        <v>0.49558808366429435</v>
      </c>
      <c r="O136" s="167">
        <f t="shared" si="11"/>
        <v>0.4278014097067056</v>
      </c>
      <c r="P136" s="168">
        <v>0</v>
      </c>
      <c r="Q136" s="169" t="s">
        <v>2026</v>
      </c>
    </row>
    <row r="137" spans="1:17" x14ac:dyDescent="0.25">
      <c r="A137" s="142">
        <v>84</v>
      </c>
      <c r="B137" s="143" t="s">
        <v>359</v>
      </c>
      <c r="C137" s="144" t="s">
        <v>214</v>
      </c>
      <c r="D137" s="193">
        <v>0.93894477718807123</v>
      </c>
      <c r="E137" s="194">
        <v>8.1230727855648721E-2</v>
      </c>
      <c r="F137" s="145">
        <f t="shared" si="9"/>
        <v>7.6271167667246939E-2</v>
      </c>
      <c r="G137" s="146">
        <v>307.83689999999996</v>
      </c>
      <c r="H137" s="147" t="s">
        <v>2027</v>
      </c>
      <c r="I137" s="82"/>
      <c r="J137" s="142">
        <v>46</v>
      </c>
      <c r="K137" s="165" t="s">
        <v>396</v>
      </c>
      <c r="L137" s="144" t="s">
        <v>234</v>
      </c>
      <c r="M137" s="203">
        <v>0.45600409403768472</v>
      </c>
      <c r="N137" s="203">
        <v>1.0759423041387832</v>
      </c>
      <c r="O137" s="167">
        <f t="shared" si="11"/>
        <v>0.49063409563562488</v>
      </c>
      <c r="P137" s="168">
        <v>224.50140000000002</v>
      </c>
      <c r="Q137" s="147" t="s">
        <v>2027</v>
      </c>
    </row>
    <row r="138" spans="1:17" x14ac:dyDescent="0.25">
      <c r="A138" s="142">
        <v>19</v>
      </c>
      <c r="B138" s="143" t="s">
        <v>302</v>
      </c>
      <c r="C138" s="144" t="s">
        <v>235</v>
      </c>
      <c r="D138" s="193">
        <v>0.63716271220344689</v>
      </c>
      <c r="E138" s="194">
        <v>0.12183820322721327</v>
      </c>
      <c r="F138" s="145">
        <f t="shared" si="9"/>
        <v>7.7630760018245967E-2</v>
      </c>
      <c r="G138" s="146">
        <v>96.843999999999994</v>
      </c>
      <c r="H138" s="147" t="s">
        <v>2027</v>
      </c>
      <c r="I138" s="82"/>
      <c r="J138" s="142">
        <v>21</v>
      </c>
      <c r="K138" s="165" t="s">
        <v>360</v>
      </c>
      <c r="L138" s="144" t="s">
        <v>212</v>
      </c>
      <c r="M138" s="203">
        <v>0.76566701490481004</v>
      </c>
      <c r="N138" s="203">
        <v>0.72493437604943678</v>
      </c>
      <c r="O138" s="167">
        <f t="shared" si="11"/>
        <v>0.5550583397116533</v>
      </c>
      <c r="P138" s="168">
        <v>803.1875</v>
      </c>
      <c r="Q138" s="147" t="s">
        <v>2027</v>
      </c>
    </row>
    <row r="139" spans="1:17" x14ac:dyDescent="0.25">
      <c r="A139" s="142">
        <v>28</v>
      </c>
      <c r="B139" s="143" t="s">
        <v>437</v>
      </c>
      <c r="C139" s="144" t="s">
        <v>160</v>
      </c>
      <c r="D139" s="193">
        <v>0.67651565134018166</v>
      </c>
      <c r="E139" s="194">
        <v>0.17952622202164534</v>
      </c>
      <c r="F139" s="145">
        <f t="shared" si="9"/>
        <v>0.12145229902361546</v>
      </c>
      <c r="G139" s="146">
        <v>111.1264</v>
      </c>
      <c r="H139" s="147" t="s">
        <v>2027</v>
      </c>
      <c r="I139" s="82"/>
      <c r="J139" s="142">
        <v>24</v>
      </c>
      <c r="K139" s="165" t="s">
        <v>348</v>
      </c>
      <c r="L139" s="144" t="s">
        <v>145</v>
      </c>
      <c r="M139" s="203">
        <v>0.90135270547128266</v>
      </c>
      <c r="N139" s="203">
        <v>0.62415569956670325</v>
      </c>
      <c r="O139" s="167">
        <f t="shared" si="11"/>
        <v>0.56258442843976908</v>
      </c>
      <c r="P139" s="168">
        <v>626.57679999999993</v>
      </c>
      <c r="Q139" s="147" t="s">
        <v>2027</v>
      </c>
    </row>
    <row r="140" spans="1:17" x14ac:dyDescent="0.25">
      <c r="A140" s="142">
        <v>1</v>
      </c>
      <c r="B140" s="143" t="s">
        <v>427</v>
      </c>
      <c r="C140" s="144" t="s">
        <v>98</v>
      </c>
      <c r="D140" s="193">
        <v>1.1533438448352598</v>
      </c>
      <c r="E140" s="194">
        <v>0.12124074273845827</v>
      </c>
      <c r="F140" s="145">
        <f t="shared" si="9"/>
        <v>0.13983226438065605</v>
      </c>
      <c r="G140" s="146">
        <v>5.4441999999999995</v>
      </c>
      <c r="H140" s="147" t="s">
        <v>2026</v>
      </c>
      <c r="I140" s="82"/>
      <c r="J140" s="142">
        <v>106</v>
      </c>
      <c r="K140" s="165" t="s">
        <v>370</v>
      </c>
      <c r="L140" s="144" t="s">
        <v>156</v>
      </c>
      <c r="M140" s="203">
        <v>0.67086553901574486</v>
      </c>
      <c r="N140" s="203">
        <v>0.84404794296127861</v>
      </c>
      <c r="O140" s="167">
        <f t="shared" si="11"/>
        <v>0.56624267820984886</v>
      </c>
      <c r="P140" s="168">
        <v>0</v>
      </c>
      <c r="Q140" s="169" t="s">
        <v>2026</v>
      </c>
    </row>
    <row r="141" spans="1:17" x14ac:dyDescent="0.25">
      <c r="A141" s="142">
        <v>70</v>
      </c>
      <c r="B141" s="143" t="s">
        <v>414</v>
      </c>
      <c r="C141" s="144" t="s">
        <v>143</v>
      </c>
      <c r="D141" s="193">
        <v>0.55826624574593464</v>
      </c>
      <c r="E141" s="194">
        <v>0.28101732326320067</v>
      </c>
      <c r="F141" s="145">
        <f t="shared" si="9"/>
        <v>0.15688248604771873</v>
      </c>
      <c r="G141" s="146">
        <v>291.51429999999999</v>
      </c>
      <c r="H141" s="147" t="s">
        <v>2027</v>
      </c>
      <c r="I141" s="82"/>
      <c r="J141" s="142">
        <v>110</v>
      </c>
      <c r="K141" s="165" t="s">
        <v>303</v>
      </c>
      <c r="L141" s="144" t="s">
        <v>136</v>
      </c>
      <c r="M141" s="203">
        <v>0.39792899318338942</v>
      </c>
      <c r="N141" s="203">
        <v>1.4363794387630324</v>
      </c>
      <c r="O141" s="167">
        <f t="shared" si="11"/>
        <v>0.5715770238962955</v>
      </c>
      <c r="P141" s="168">
        <v>559.10400000000004</v>
      </c>
      <c r="Q141" s="147" t="s">
        <v>2027</v>
      </c>
    </row>
    <row r="142" spans="1:17" ht="15.75" thickBot="1" x14ac:dyDescent="0.3">
      <c r="A142" s="160">
        <v>114</v>
      </c>
      <c r="B142" s="153" t="s">
        <v>380</v>
      </c>
      <c r="C142" s="154" t="s">
        <v>166</v>
      </c>
      <c r="D142" s="195">
        <v>4.9166687325945571</v>
      </c>
      <c r="E142" s="196">
        <v>3.3290996679835622E-2</v>
      </c>
      <c r="F142" s="161">
        <f t="shared" ref="F142:F151" si="12">D142*E142</f>
        <v>0.16368080245265701</v>
      </c>
      <c r="G142" s="162">
        <v>19.257699999999996</v>
      </c>
      <c r="H142" s="170" t="s">
        <v>2026</v>
      </c>
      <c r="I142" s="82"/>
      <c r="J142" s="142">
        <v>135</v>
      </c>
      <c r="K142" s="165" t="s">
        <v>343</v>
      </c>
      <c r="L142" s="144" t="s">
        <v>272</v>
      </c>
      <c r="M142" s="203">
        <v>0.73272455822791394</v>
      </c>
      <c r="N142" s="203">
        <v>0.78965182345838014</v>
      </c>
      <c r="O142" s="167">
        <f t="shared" si="11"/>
        <v>0.57859728349740824</v>
      </c>
      <c r="P142" s="168">
        <v>782.38409999999999</v>
      </c>
      <c r="Q142" s="147" t="s">
        <v>2027</v>
      </c>
    </row>
    <row r="143" spans="1:17" x14ac:dyDescent="0.25">
      <c r="A143" s="217" t="s">
        <v>2948</v>
      </c>
      <c r="B143" s="218"/>
      <c r="C143" s="218"/>
      <c r="D143" s="218"/>
      <c r="E143" s="218"/>
      <c r="F143" s="218"/>
      <c r="G143" s="218"/>
      <c r="H143" s="219"/>
      <c r="I143" s="131"/>
      <c r="J143" s="142">
        <v>94</v>
      </c>
      <c r="K143" s="165" t="s">
        <v>327</v>
      </c>
      <c r="L143" s="144" t="s">
        <v>139</v>
      </c>
      <c r="M143" s="203">
        <v>0.30148107934100293</v>
      </c>
      <c r="N143" s="203">
        <v>1.9377841997378944</v>
      </c>
      <c r="O143" s="167">
        <f t="shared" si="11"/>
        <v>0.58420527206692197</v>
      </c>
      <c r="P143" s="168">
        <v>889.38240000000008</v>
      </c>
      <c r="Q143" s="147" t="s">
        <v>2027</v>
      </c>
    </row>
    <row r="144" spans="1:17" ht="15" customHeight="1" thickBot="1" x14ac:dyDescent="0.3">
      <c r="A144" s="220"/>
      <c r="B144" s="221"/>
      <c r="C144" s="221"/>
      <c r="D144" s="221"/>
      <c r="E144" s="221"/>
      <c r="F144" s="221"/>
      <c r="G144" s="221"/>
      <c r="H144" s="222"/>
      <c r="I144" s="82"/>
      <c r="J144" s="142">
        <v>65</v>
      </c>
      <c r="K144" s="165" t="s">
        <v>384</v>
      </c>
      <c r="L144" s="144" t="s">
        <v>154</v>
      </c>
      <c r="M144" s="203">
        <v>0.94262070382799901</v>
      </c>
      <c r="N144" s="203">
        <v>0.7599648856057486</v>
      </c>
      <c r="O144" s="167">
        <f t="shared" si="11"/>
        <v>0.71635863535425548</v>
      </c>
      <c r="P144" s="168">
        <v>530.24519999999995</v>
      </c>
      <c r="Q144" s="147" t="s">
        <v>2027</v>
      </c>
    </row>
    <row r="145" spans="1:17" ht="15.75" customHeight="1" x14ac:dyDescent="0.25">
      <c r="A145" s="142">
        <v>72</v>
      </c>
      <c r="B145" s="165" t="s">
        <v>390</v>
      </c>
      <c r="C145" s="144" t="s">
        <v>204</v>
      </c>
      <c r="D145" s="205">
        <v>0.45691947889321072</v>
      </c>
      <c r="E145" s="205">
        <v>0.3786309518949767</v>
      </c>
      <c r="F145" s="172">
        <f t="shared" si="12"/>
        <v>0.1730038572326931</v>
      </c>
      <c r="G145" s="146">
        <v>88.812200000000004</v>
      </c>
      <c r="H145" s="147" t="s">
        <v>2027</v>
      </c>
      <c r="I145" s="82"/>
      <c r="J145" s="142">
        <v>101</v>
      </c>
      <c r="K145" s="165" t="s">
        <v>415</v>
      </c>
      <c r="L145" s="144" t="s">
        <v>171</v>
      </c>
      <c r="M145" s="203">
        <v>1.0162795016858106</v>
      </c>
      <c r="N145" s="203">
        <v>0.72357428125602075</v>
      </c>
      <c r="O145" s="167">
        <f t="shared" si="10"/>
        <v>0.73535370998753735</v>
      </c>
      <c r="P145" s="168">
        <v>495.02459999999996</v>
      </c>
      <c r="Q145" s="147" t="s">
        <v>2027</v>
      </c>
    </row>
    <row r="146" spans="1:17" x14ac:dyDescent="0.25">
      <c r="A146" s="142">
        <v>13</v>
      </c>
      <c r="B146" s="165" t="s">
        <v>309</v>
      </c>
      <c r="C146" s="144" t="s">
        <v>116</v>
      </c>
      <c r="D146" s="205">
        <v>0.54087225904951175</v>
      </c>
      <c r="E146" s="205">
        <v>0.38599106183092752</v>
      </c>
      <c r="F146" s="172">
        <f t="shared" si="12"/>
        <v>0.20877185758541353</v>
      </c>
      <c r="G146" s="146">
        <v>1007.481</v>
      </c>
      <c r="H146" s="147" t="s">
        <v>2027</v>
      </c>
      <c r="I146" s="82"/>
      <c r="J146" s="142">
        <v>23</v>
      </c>
      <c r="K146" s="165" t="s">
        <v>362</v>
      </c>
      <c r="L146" s="144" t="s">
        <v>246</v>
      </c>
      <c r="M146" s="203">
        <v>0.73054302661211024</v>
      </c>
      <c r="N146" s="203">
        <v>1.028652056527489</v>
      </c>
      <c r="O146" s="167">
        <f t="shared" si="10"/>
        <v>0.75147458670636336</v>
      </c>
      <c r="P146" s="168">
        <v>154.1661</v>
      </c>
      <c r="Q146" s="147" t="s">
        <v>2027</v>
      </c>
    </row>
    <row r="147" spans="1:17" x14ac:dyDescent="0.25">
      <c r="A147" s="142">
        <v>34</v>
      </c>
      <c r="B147" s="165" t="s">
        <v>296</v>
      </c>
      <c r="C147" s="144" t="s">
        <v>170</v>
      </c>
      <c r="D147" s="205">
        <v>0.73361663717175085</v>
      </c>
      <c r="E147" s="205">
        <v>0.29932741205971269</v>
      </c>
      <c r="F147" s="172">
        <f t="shared" si="12"/>
        <v>0.21959156944856942</v>
      </c>
      <c r="G147" s="146">
        <v>0.46079999999999999</v>
      </c>
      <c r="H147" s="169" t="s">
        <v>2026</v>
      </c>
      <c r="I147" s="82"/>
      <c r="J147" s="142">
        <v>20</v>
      </c>
      <c r="K147" s="165" t="s">
        <v>292</v>
      </c>
      <c r="L147" s="144" t="s">
        <v>138</v>
      </c>
      <c r="M147" s="203">
        <v>0.96756127961032723</v>
      </c>
      <c r="N147" s="203">
        <v>0.82800016514157238</v>
      </c>
      <c r="O147" s="167">
        <f t="shared" si="10"/>
        <v>0.80114089930194199</v>
      </c>
      <c r="P147" s="168">
        <v>1200.9316000000001</v>
      </c>
      <c r="Q147" s="147" t="s">
        <v>2027</v>
      </c>
    </row>
    <row r="148" spans="1:17" x14ac:dyDescent="0.25">
      <c r="A148" s="142">
        <v>55</v>
      </c>
      <c r="B148" s="165" t="s">
        <v>306</v>
      </c>
      <c r="C148" s="144" t="s">
        <v>210</v>
      </c>
      <c r="D148" s="205">
        <v>0.89001241150780819</v>
      </c>
      <c r="E148" s="205">
        <v>0.29857298027652673</v>
      </c>
      <c r="F148" s="172">
        <f t="shared" si="12"/>
        <v>0.2657336581869848</v>
      </c>
      <c r="G148" s="146">
        <v>195.84180000000001</v>
      </c>
      <c r="H148" s="147" t="s">
        <v>2027</v>
      </c>
      <c r="I148" s="82"/>
      <c r="J148" s="142">
        <v>68</v>
      </c>
      <c r="K148" s="165" t="s">
        <v>388</v>
      </c>
      <c r="L148" s="144" t="s">
        <v>159</v>
      </c>
      <c r="M148" s="203">
        <v>0.64411414207937889</v>
      </c>
      <c r="N148" s="203">
        <v>1.3462324126809373</v>
      </c>
      <c r="O148" s="167">
        <f t="shared" si="10"/>
        <v>0.86712733553343424</v>
      </c>
      <c r="P148" s="168">
        <v>674.76020000000005</v>
      </c>
      <c r="Q148" s="147" t="s">
        <v>2027</v>
      </c>
    </row>
    <row r="149" spans="1:17" x14ac:dyDescent="0.25">
      <c r="A149" s="142">
        <v>110</v>
      </c>
      <c r="B149" s="165" t="s">
        <v>303</v>
      </c>
      <c r="C149" s="144" t="s">
        <v>136</v>
      </c>
      <c r="D149" s="205">
        <v>1.0350891293063467</v>
      </c>
      <c r="E149" s="205">
        <v>0.88468600637972183</v>
      </c>
      <c r="F149" s="172">
        <f t="shared" si="12"/>
        <v>0.91572886805309528</v>
      </c>
      <c r="G149" s="146">
        <v>326.74520000000001</v>
      </c>
      <c r="H149" s="147" t="s">
        <v>2027</v>
      </c>
      <c r="I149" s="82"/>
      <c r="J149" s="142">
        <v>70</v>
      </c>
      <c r="K149" s="165" t="s">
        <v>414</v>
      </c>
      <c r="L149" s="144" t="s">
        <v>143</v>
      </c>
      <c r="M149" s="203">
        <v>0.7650555149162388</v>
      </c>
      <c r="N149" s="203">
        <v>1.1943041224805582</v>
      </c>
      <c r="O149" s="167">
        <f t="shared" si="10"/>
        <v>0.91370895539095021</v>
      </c>
      <c r="P149" s="168">
        <v>1824.6980999999998</v>
      </c>
      <c r="Q149" s="147" t="s">
        <v>2027</v>
      </c>
    </row>
    <row r="150" spans="1:17" x14ac:dyDescent="0.25">
      <c r="A150" s="142">
        <v>68</v>
      </c>
      <c r="B150" s="165" t="s">
        <v>388</v>
      </c>
      <c r="C150" s="144" t="s">
        <v>159</v>
      </c>
      <c r="D150" s="205">
        <v>0.94247137183021235</v>
      </c>
      <c r="E150" s="205">
        <v>1.2963732565074153</v>
      </c>
      <c r="F150" s="172">
        <f t="shared" si="12"/>
        <v>1.2217946814645435</v>
      </c>
      <c r="G150" s="146">
        <v>711.18140000000005</v>
      </c>
      <c r="H150" s="147" t="s">
        <v>2027</v>
      </c>
      <c r="I150" s="82"/>
      <c r="J150" s="142">
        <v>26</v>
      </c>
      <c r="K150" s="165" t="s">
        <v>300</v>
      </c>
      <c r="L150" s="144" t="s">
        <v>104</v>
      </c>
      <c r="M150" s="203">
        <v>0.33418522242376142</v>
      </c>
      <c r="N150" s="203">
        <v>3.0757885585541458</v>
      </c>
      <c r="O150" s="167">
        <f t="shared" si="10"/>
        <v>1.0278830835688777</v>
      </c>
      <c r="P150" s="168">
        <v>0</v>
      </c>
      <c r="Q150" s="169" t="s">
        <v>2026</v>
      </c>
    </row>
    <row r="151" spans="1:17" ht="18.75" customHeight="1" thickBot="1" x14ac:dyDescent="0.3">
      <c r="A151" s="160">
        <v>11</v>
      </c>
      <c r="B151" s="173" t="s">
        <v>416</v>
      </c>
      <c r="C151" s="154" t="s">
        <v>105</v>
      </c>
      <c r="D151" s="206">
        <v>0.41630269728705838</v>
      </c>
      <c r="E151" s="174">
        <v>15.068650822316936</v>
      </c>
      <c r="F151" s="175">
        <f t="shared" si="12"/>
        <v>6.2731199818073904</v>
      </c>
      <c r="G151" s="162">
        <v>19.352099999999997</v>
      </c>
      <c r="H151" s="176" t="s">
        <v>2026</v>
      </c>
      <c r="I151" s="131"/>
      <c r="J151" s="160">
        <v>72</v>
      </c>
      <c r="K151" s="173" t="s">
        <v>390</v>
      </c>
      <c r="L151" s="154" t="s">
        <v>204</v>
      </c>
      <c r="M151" s="204">
        <v>1.0888632287474478</v>
      </c>
      <c r="N151" s="204">
        <v>1.8533235035498574</v>
      </c>
      <c r="O151" s="177">
        <f t="shared" si="10"/>
        <v>2.0180158139888298</v>
      </c>
      <c r="P151" s="178">
        <v>502.20080000000002</v>
      </c>
      <c r="Q151" s="163" t="s">
        <v>2027</v>
      </c>
    </row>
    <row r="152" spans="1:17" ht="15.75" thickBot="1" x14ac:dyDescent="0.3">
      <c r="A152" s="179"/>
      <c r="B152" s="165"/>
      <c r="C152" s="165"/>
      <c r="D152" s="171"/>
      <c r="E152" s="171"/>
      <c r="F152" s="172"/>
      <c r="G152" s="146"/>
      <c r="H152" s="180"/>
      <c r="I152" s="82"/>
      <c r="J152" s="179"/>
      <c r="K152" s="165"/>
      <c r="L152" s="165"/>
      <c r="M152" s="166"/>
      <c r="N152" s="166"/>
      <c r="O152" s="167"/>
      <c r="P152" s="168"/>
      <c r="Q152" s="82"/>
    </row>
    <row r="153" spans="1:17" ht="21.75" customHeight="1" thickBot="1" x14ac:dyDescent="0.35">
      <c r="A153" s="223" t="s">
        <v>2038</v>
      </c>
      <c r="B153" s="224"/>
      <c r="C153" s="224"/>
      <c r="D153" s="225"/>
      <c r="E153" s="214" t="s">
        <v>2039</v>
      </c>
      <c r="F153" s="215"/>
      <c r="G153" s="215"/>
      <c r="H153" s="216"/>
      <c r="I153" s="179"/>
      <c r="J153" s="214" t="s">
        <v>2044</v>
      </c>
      <c r="K153" s="215"/>
      <c r="L153" s="215"/>
      <c r="M153" s="215"/>
      <c r="N153" s="215"/>
      <c r="O153" s="215"/>
      <c r="P153" s="215"/>
      <c r="Q153" s="216"/>
    </row>
    <row r="154" spans="1:17" ht="63.75" customHeight="1" x14ac:dyDescent="0.25">
      <c r="A154" s="67" t="s">
        <v>2896</v>
      </c>
      <c r="B154" s="68" t="s">
        <v>2897</v>
      </c>
      <c r="C154" s="69" t="s">
        <v>2030</v>
      </c>
      <c r="D154" s="70">
        <v>86</v>
      </c>
      <c r="E154" s="67" t="s">
        <v>2896</v>
      </c>
      <c r="F154" s="68" t="s">
        <v>2897</v>
      </c>
      <c r="G154" s="69" t="s">
        <v>2032</v>
      </c>
      <c r="H154" s="70">
        <v>42</v>
      </c>
      <c r="I154" s="179"/>
      <c r="J154" s="67" t="s">
        <v>2896</v>
      </c>
      <c r="K154" s="68" t="s">
        <v>2897</v>
      </c>
      <c r="L154" s="69" t="s">
        <v>2040</v>
      </c>
      <c r="M154" s="70">
        <v>128</v>
      </c>
      <c r="N154" s="208" t="s">
        <v>2902</v>
      </c>
      <c r="O154" s="209"/>
      <c r="P154" s="208" t="s">
        <v>2905</v>
      </c>
      <c r="Q154" s="209"/>
    </row>
    <row r="155" spans="1:17" ht="63.75" customHeight="1" thickBot="1" x14ac:dyDescent="0.3">
      <c r="A155" s="71"/>
      <c r="B155" s="72"/>
      <c r="C155" s="72" t="s">
        <v>2031</v>
      </c>
      <c r="D155" s="73">
        <v>6</v>
      </c>
      <c r="E155" s="71"/>
      <c r="F155" s="72"/>
      <c r="G155" s="72" t="s">
        <v>2033</v>
      </c>
      <c r="H155" s="73">
        <v>5</v>
      </c>
      <c r="I155" s="181"/>
      <c r="J155" s="71"/>
      <c r="K155" s="72"/>
      <c r="L155" s="72" t="s">
        <v>2041</v>
      </c>
      <c r="M155" s="73">
        <v>11</v>
      </c>
      <c r="N155" s="210"/>
      <c r="O155" s="211"/>
      <c r="P155" s="212"/>
      <c r="Q155" s="213"/>
    </row>
    <row r="156" spans="1:17" ht="63.75" customHeight="1" x14ac:dyDescent="0.25">
      <c r="A156" s="74" t="s">
        <v>2898</v>
      </c>
      <c r="B156" s="75" t="s">
        <v>2899</v>
      </c>
      <c r="C156" s="69" t="s">
        <v>2034</v>
      </c>
      <c r="D156" s="70">
        <v>5</v>
      </c>
      <c r="E156" s="74" t="s">
        <v>2898</v>
      </c>
      <c r="F156" s="75" t="s">
        <v>2900</v>
      </c>
      <c r="G156" s="69" t="s">
        <v>2036</v>
      </c>
      <c r="H156" s="70">
        <v>26</v>
      </c>
      <c r="I156" s="181"/>
      <c r="J156" s="74" t="s">
        <v>2898</v>
      </c>
      <c r="K156" s="75" t="s">
        <v>2900</v>
      </c>
      <c r="L156" s="69" t="s">
        <v>2042</v>
      </c>
      <c r="M156" s="70">
        <v>31</v>
      </c>
      <c r="N156" s="208" t="s">
        <v>2903</v>
      </c>
      <c r="O156" s="209"/>
      <c r="P156" s="212"/>
      <c r="Q156" s="213"/>
    </row>
    <row r="157" spans="1:17" ht="63.75" customHeight="1" thickBot="1" x14ac:dyDescent="0.3">
      <c r="A157" s="71"/>
      <c r="B157" s="72"/>
      <c r="C157" s="72" t="s">
        <v>2035</v>
      </c>
      <c r="D157" s="73">
        <v>2</v>
      </c>
      <c r="E157" s="76"/>
      <c r="F157" s="77"/>
      <c r="G157" s="72" t="s">
        <v>2037</v>
      </c>
      <c r="H157" s="73">
        <v>4</v>
      </c>
      <c r="I157" s="181"/>
      <c r="J157" s="76"/>
      <c r="K157" s="77"/>
      <c r="L157" s="72" t="s">
        <v>2043</v>
      </c>
      <c r="M157" s="73">
        <v>6</v>
      </c>
      <c r="N157" s="210"/>
      <c r="O157" s="211"/>
      <c r="P157" s="210"/>
      <c r="Q157" s="211"/>
    </row>
    <row r="158" spans="1:17" ht="63.75" customHeight="1" x14ac:dyDescent="0.25">
      <c r="A158" s="78" t="s">
        <v>2901</v>
      </c>
      <c r="B158" s="79" t="s">
        <v>2899</v>
      </c>
      <c r="C158" s="80" t="s">
        <v>2034</v>
      </c>
      <c r="D158" s="81">
        <v>15</v>
      </c>
      <c r="E158" s="78" t="s">
        <v>2901</v>
      </c>
      <c r="F158" s="79" t="s">
        <v>2899</v>
      </c>
      <c r="G158" s="80" t="s">
        <v>2036</v>
      </c>
      <c r="H158" s="81">
        <v>19</v>
      </c>
      <c r="I158" s="181"/>
      <c r="J158" s="78" t="s">
        <v>2901</v>
      </c>
      <c r="K158" s="79" t="s">
        <v>2899</v>
      </c>
      <c r="L158" s="80" t="s">
        <v>2042</v>
      </c>
      <c r="M158" s="81">
        <v>34</v>
      </c>
      <c r="N158" s="208" t="s">
        <v>2904</v>
      </c>
      <c r="O158" s="209"/>
      <c r="P158" s="181"/>
      <c r="Q158" s="182"/>
    </row>
    <row r="159" spans="1:17" ht="63.75" customHeight="1" thickBot="1" x14ac:dyDescent="0.3">
      <c r="A159" s="71"/>
      <c r="B159" s="72"/>
      <c r="C159" s="72" t="s">
        <v>2035</v>
      </c>
      <c r="D159" s="73">
        <v>30</v>
      </c>
      <c r="E159" s="76"/>
      <c r="F159" s="77"/>
      <c r="G159" s="72" t="s">
        <v>2037</v>
      </c>
      <c r="H159" s="73">
        <v>48</v>
      </c>
      <c r="I159" s="181"/>
      <c r="J159" s="76"/>
      <c r="K159" s="77"/>
      <c r="L159" s="72" t="s">
        <v>2043</v>
      </c>
      <c r="M159" s="73">
        <v>78</v>
      </c>
      <c r="N159" s="210"/>
      <c r="O159" s="211"/>
      <c r="P159" s="183"/>
      <c r="Q159" s="181"/>
    </row>
    <row r="160" spans="1:17" ht="39" customHeight="1" x14ac:dyDescent="0.25">
      <c r="G160" s="185"/>
      <c r="H160" s="185"/>
    </row>
    <row r="161" spans="1:18" ht="39" customHeight="1" x14ac:dyDescent="0.25">
      <c r="G161" s="185"/>
      <c r="H161" s="185"/>
    </row>
    <row r="162" spans="1:18" ht="39" customHeight="1" x14ac:dyDescent="0.25">
      <c r="G162" s="185"/>
      <c r="H162" s="185"/>
      <c r="I162" s="186"/>
      <c r="R162" s="13"/>
    </row>
    <row r="163" spans="1:18" ht="39" customHeight="1" x14ac:dyDescent="0.25">
      <c r="G163" s="185"/>
      <c r="H163" s="185"/>
      <c r="I163" s="186"/>
      <c r="R163" s="13"/>
    </row>
    <row r="164" spans="1:18" x14ac:dyDescent="0.25">
      <c r="G164" s="185"/>
      <c r="H164" s="185"/>
      <c r="I164" s="188"/>
    </row>
    <row r="165" spans="1:18" s="13" customFormat="1" x14ac:dyDescent="0.25">
      <c r="A165" s="9"/>
      <c r="B165" s="20"/>
      <c r="C165" s="20"/>
      <c r="D165" s="184"/>
      <c r="E165" s="184"/>
      <c r="F165" s="184"/>
      <c r="G165" s="185"/>
      <c r="H165" s="185"/>
      <c r="I165" s="188"/>
      <c r="J165" s="9"/>
      <c r="K165" s="20"/>
      <c r="L165" s="20"/>
      <c r="M165" s="186"/>
      <c r="N165" s="186"/>
      <c r="O165" s="186"/>
      <c r="P165" s="187"/>
      <c r="Q165" s="9"/>
    </row>
    <row r="166" spans="1:18" s="13" customFormat="1" x14ac:dyDescent="0.25">
      <c r="A166" s="9"/>
      <c r="B166" s="20"/>
      <c r="C166" s="20"/>
      <c r="D166" s="184"/>
      <c r="E166" s="184"/>
      <c r="F166" s="184"/>
      <c r="G166" s="184"/>
      <c r="H166" s="184"/>
      <c r="I166" s="188"/>
      <c r="J166" s="9"/>
      <c r="K166" s="20"/>
      <c r="L166" s="20"/>
      <c r="M166" s="186"/>
      <c r="N166" s="186"/>
      <c r="O166" s="186"/>
      <c r="P166" s="187"/>
      <c r="Q166" s="9"/>
    </row>
    <row r="167" spans="1:18" s="13" customFormat="1" x14ac:dyDescent="0.25">
      <c r="A167" s="9"/>
      <c r="B167" s="20"/>
      <c r="C167" s="20"/>
      <c r="D167" s="184"/>
      <c r="E167" s="184"/>
      <c r="F167" s="184"/>
      <c r="G167" s="185"/>
      <c r="H167" s="185"/>
      <c r="I167" s="83"/>
      <c r="J167" s="9"/>
      <c r="K167" s="20"/>
      <c r="L167" s="20"/>
      <c r="M167" s="186"/>
      <c r="N167" s="186"/>
      <c r="O167" s="186"/>
      <c r="P167" s="187"/>
      <c r="Q167" s="9"/>
    </row>
    <row r="168" spans="1:18" s="13" customFormat="1" x14ac:dyDescent="0.25">
      <c r="A168" s="9"/>
      <c r="B168" s="20"/>
      <c r="C168" s="20"/>
      <c r="D168" s="184"/>
      <c r="E168" s="184"/>
      <c r="F168" s="184"/>
      <c r="G168" s="185"/>
      <c r="H168" s="185"/>
      <c r="I168" s="188"/>
      <c r="J168" s="9"/>
      <c r="K168" s="20"/>
      <c r="L168" s="20"/>
      <c r="M168" s="186"/>
      <c r="N168" s="186"/>
      <c r="O168" s="186"/>
      <c r="P168" s="187"/>
      <c r="Q168" s="9"/>
    </row>
    <row r="169" spans="1:18" s="13" customFormat="1" x14ac:dyDescent="0.25">
      <c r="A169" s="9"/>
      <c r="B169" s="20"/>
      <c r="C169" s="20"/>
      <c r="D169" s="184"/>
      <c r="E169" s="184"/>
      <c r="F169" s="184"/>
      <c r="G169" s="185"/>
      <c r="H169" s="185"/>
      <c r="I169" s="188"/>
      <c r="J169" s="9"/>
      <c r="K169" s="20"/>
      <c r="L169" s="20"/>
      <c r="M169" s="186"/>
      <c r="N169" s="186"/>
      <c r="O169" s="186"/>
      <c r="P169" s="187"/>
      <c r="Q169" s="9"/>
    </row>
    <row r="170" spans="1:18" x14ac:dyDescent="0.25">
      <c r="G170" s="185"/>
      <c r="H170" s="185"/>
      <c r="I170" s="188"/>
    </row>
    <row r="171" spans="1:18" s="13" customFormat="1" x14ac:dyDescent="0.25">
      <c r="A171" s="9"/>
      <c r="B171" s="20"/>
      <c r="C171" s="20"/>
      <c r="D171" s="184"/>
      <c r="E171" s="184"/>
      <c r="F171" s="184"/>
      <c r="G171" s="185"/>
      <c r="H171" s="185"/>
      <c r="I171" s="188"/>
      <c r="J171" s="9"/>
      <c r="K171" s="20"/>
      <c r="L171" s="20"/>
      <c r="M171" s="186"/>
      <c r="N171" s="186"/>
      <c r="O171" s="186"/>
      <c r="P171" s="187"/>
      <c r="Q171" s="9"/>
    </row>
    <row r="172" spans="1:18" s="13" customFormat="1" x14ac:dyDescent="0.25">
      <c r="A172" s="9"/>
      <c r="B172" s="20"/>
      <c r="C172" s="20"/>
      <c r="D172" s="184"/>
      <c r="E172" s="184"/>
      <c r="F172" s="184"/>
      <c r="G172" s="185"/>
      <c r="H172" s="185"/>
      <c r="I172" s="188"/>
      <c r="J172" s="9"/>
      <c r="K172" s="20"/>
      <c r="L172" s="20"/>
      <c r="M172" s="186"/>
      <c r="N172" s="186"/>
      <c r="O172" s="186"/>
      <c r="P172" s="187"/>
      <c r="Q172" s="9"/>
    </row>
    <row r="173" spans="1:18" s="13" customFormat="1" x14ac:dyDescent="0.25">
      <c r="A173" s="9"/>
      <c r="B173" s="20"/>
      <c r="C173" s="20"/>
      <c r="D173" s="184"/>
      <c r="E173" s="184"/>
      <c r="F173" s="184"/>
      <c r="G173" s="185"/>
      <c r="H173" s="185"/>
      <c r="I173" s="188"/>
      <c r="J173" s="9"/>
      <c r="K173" s="20"/>
      <c r="L173" s="20"/>
      <c r="M173" s="186"/>
      <c r="N173" s="186"/>
      <c r="O173" s="186"/>
      <c r="P173" s="187"/>
      <c r="Q173" s="9"/>
    </row>
    <row r="174" spans="1:18" s="13" customFormat="1" x14ac:dyDescent="0.25">
      <c r="A174" s="9"/>
      <c r="B174" s="20"/>
      <c r="C174" s="20"/>
      <c r="D174" s="184"/>
      <c r="E174" s="184"/>
      <c r="F174" s="184"/>
      <c r="G174" s="185"/>
      <c r="H174" s="185"/>
      <c r="I174" s="188"/>
      <c r="J174" s="9"/>
      <c r="K174" s="20"/>
      <c r="L174" s="20"/>
      <c r="M174" s="186"/>
      <c r="N174" s="186"/>
      <c r="O174" s="186"/>
      <c r="P174" s="187"/>
      <c r="Q174" s="9"/>
    </row>
    <row r="175" spans="1:18" s="13" customFormat="1" x14ac:dyDescent="0.25">
      <c r="A175" s="9"/>
      <c r="B175" s="20"/>
      <c r="C175" s="20"/>
      <c r="D175" s="184"/>
      <c r="E175" s="184"/>
      <c r="F175" s="184"/>
      <c r="G175" s="185"/>
      <c r="H175" s="185"/>
      <c r="I175" s="188"/>
      <c r="J175" s="9"/>
      <c r="K175" s="20"/>
      <c r="L175" s="20"/>
      <c r="M175" s="186"/>
      <c r="N175" s="186"/>
      <c r="O175" s="186"/>
      <c r="P175" s="187"/>
      <c r="Q175" s="9"/>
    </row>
    <row r="176" spans="1:18" s="13" customFormat="1" x14ac:dyDescent="0.25">
      <c r="A176" s="9"/>
      <c r="B176" s="20"/>
      <c r="C176" s="20"/>
      <c r="D176" s="184"/>
      <c r="E176" s="184"/>
      <c r="F176" s="184"/>
      <c r="G176" s="185"/>
      <c r="H176" s="185"/>
      <c r="I176" s="188"/>
      <c r="J176" s="9"/>
      <c r="K176" s="20"/>
      <c r="L176" s="20"/>
      <c r="M176" s="186"/>
      <c r="N176" s="186"/>
      <c r="O176" s="186"/>
      <c r="P176" s="187"/>
      <c r="Q176" s="9"/>
    </row>
    <row r="177" spans="1:17" s="13" customFormat="1" x14ac:dyDescent="0.25">
      <c r="A177" s="9"/>
      <c r="B177" s="20"/>
      <c r="C177" s="20"/>
      <c r="D177" s="184"/>
      <c r="E177" s="184"/>
      <c r="F177" s="184"/>
      <c r="G177" s="185"/>
      <c r="H177" s="185"/>
      <c r="I177" s="188"/>
      <c r="J177" s="9"/>
      <c r="K177" s="20"/>
      <c r="L177" s="20"/>
      <c r="M177" s="186"/>
      <c r="N177" s="186"/>
      <c r="O177" s="186"/>
      <c r="P177" s="187"/>
      <c r="Q177" s="9"/>
    </row>
    <row r="178" spans="1:17" s="13" customFormat="1" x14ac:dyDescent="0.25">
      <c r="A178" s="9"/>
      <c r="B178" s="20"/>
      <c r="C178" s="20"/>
      <c r="D178" s="184"/>
      <c r="E178" s="184"/>
      <c r="F178" s="184"/>
      <c r="G178" s="185"/>
      <c r="H178" s="185"/>
      <c r="I178" s="188"/>
      <c r="J178" s="9"/>
      <c r="K178" s="20"/>
      <c r="L178" s="20"/>
      <c r="M178" s="186"/>
      <c r="N178" s="186"/>
      <c r="O178" s="186"/>
      <c r="P178" s="187"/>
      <c r="Q178" s="9"/>
    </row>
    <row r="179" spans="1:17" s="13" customFormat="1" x14ac:dyDescent="0.25">
      <c r="A179" s="9"/>
      <c r="B179" s="20"/>
      <c r="C179" s="20"/>
      <c r="D179" s="184"/>
      <c r="E179" s="184"/>
      <c r="F179" s="184"/>
      <c r="G179" s="185"/>
      <c r="H179" s="185"/>
      <c r="I179" s="188"/>
      <c r="J179" s="9"/>
      <c r="K179" s="20"/>
      <c r="L179" s="20"/>
      <c r="M179" s="186"/>
      <c r="N179" s="186"/>
      <c r="O179" s="186"/>
      <c r="P179" s="187"/>
      <c r="Q179" s="9"/>
    </row>
    <row r="180" spans="1:17" s="13" customFormat="1" x14ac:dyDescent="0.25">
      <c r="A180" s="9"/>
      <c r="B180" s="20"/>
      <c r="C180" s="20"/>
      <c r="D180" s="184"/>
      <c r="E180" s="184"/>
      <c r="F180" s="184"/>
      <c r="G180" s="185"/>
      <c r="H180" s="185"/>
      <c r="I180" s="188"/>
      <c r="J180" s="9"/>
      <c r="K180" s="20"/>
      <c r="L180" s="20"/>
      <c r="M180" s="186"/>
      <c r="N180" s="186"/>
      <c r="O180" s="186"/>
      <c r="P180" s="187"/>
      <c r="Q180" s="9"/>
    </row>
    <row r="181" spans="1:17" s="13" customFormat="1" x14ac:dyDescent="0.25">
      <c r="A181" s="9"/>
      <c r="B181" s="20"/>
      <c r="C181" s="20"/>
      <c r="D181" s="184"/>
      <c r="E181" s="184"/>
      <c r="F181" s="184"/>
      <c r="G181" s="185"/>
      <c r="H181" s="185"/>
      <c r="I181" s="188"/>
      <c r="J181" s="9"/>
      <c r="K181" s="20"/>
      <c r="L181" s="20"/>
      <c r="M181" s="186"/>
      <c r="N181" s="186"/>
      <c r="O181" s="186"/>
      <c r="P181" s="187"/>
      <c r="Q181" s="9"/>
    </row>
    <row r="182" spans="1:17" s="13" customFormat="1" x14ac:dyDescent="0.25">
      <c r="A182" s="9"/>
      <c r="B182" s="20"/>
      <c r="C182" s="20"/>
      <c r="D182" s="184"/>
      <c r="E182" s="184"/>
      <c r="F182" s="184"/>
      <c r="G182" s="185"/>
      <c r="H182" s="185"/>
      <c r="I182" s="188"/>
      <c r="J182" s="9"/>
      <c r="K182" s="20"/>
      <c r="L182" s="20"/>
      <c r="M182" s="186"/>
      <c r="N182" s="186"/>
      <c r="O182" s="186"/>
      <c r="P182" s="187"/>
      <c r="Q182" s="9"/>
    </row>
    <row r="183" spans="1:17" s="13" customFormat="1" x14ac:dyDescent="0.25">
      <c r="A183" s="9"/>
      <c r="B183" s="20"/>
      <c r="C183" s="20"/>
      <c r="D183" s="184"/>
      <c r="E183" s="184"/>
      <c r="F183" s="184"/>
      <c r="G183" s="185"/>
      <c r="H183" s="185"/>
      <c r="I183" s="188"/>
      <c r="J183" s="9"/>
      <c r="K183" s="20"/>
      <c r="L183" s="20"/>
      <c r="M183" s="186"/>
      <c r="N183" s="186"/>
      <c r="O183" s="186"/>
      <c r="P183" s="187"/>
      <c r="Q183" s="9"/>
    </row>
    <row r="184" spans="1:17" s="13" customFormat="1" x14ac:dyDescent="0.25">
      <c r="A184" s="9"/>
      <c r="B184" s="20"/>
      <c r="C184" s="20"/>
      <c r="D184" s="184"/>
      <c r="E184" s="184"/>
      <c r="F184" s="184"/>
      <c r="G184" s="185"/>
      <c r="H184" s="185"/>
      <c r="I184" s="188"/>
      <c r="J184" s="9"/>
      <c r="K184" s="20"/>
      <c r="L184" s="20"/>
      <c r="M184" s="186"/>
      <c r="N184" s="186"/>
      <c r="O184" s="186"/>
      <c r="P184" s="187"/>
      <c r="Q184" s="9"/>
    </row>
    <row r="185" spans="1:17" s="13" customFormat="1" x14ac:dyDescent="0.25">
      <c r="A185" s="9"/>
      <c r="B185" s="20"/>
      <c r="C185" s="20"/>
      <c r="D185" s="184"/>
      <c r="E185" s="184"/>
      <c r="F185" s="184"/>
      <c r="G185" s="185"/>
      <c r="H185" s="185"/>
      <c r="I185" s="188"/>
      <c r="J185" s="9"/>
      <c r="K185" s="20"/>
      <c r="L185" s="20"/>
      <c r="M185" s="186"/>
      <c r="N185" s="186"/>
      <c r="O185" s="186"/>
      <c r="P185" s="187"/>
      <c r="Q185" s="9"/>
    </row>
    <row r="186" spans="1:17" s="13" customFormat="1" x14ac:dyDescent="0.25">
      <c r="A186" s="9"/>
      <c r="B186" s="20"/>
      <c r="C186" s="20"/>
      <c r="D186" s="184"/>
      <c r="E186" s="184"/>
      <c r="F186" s="184"/>
      <c r="G186" s="185"/>
      <c r="H186" s="185"/>
      <c r="I186" s="188"/>
      <c r="J186" s="9"/>
      <c r="K186" s="20"/>
      <c r="L186" s="20"/>
      <c r="M186" s="186"/>
      <c r="N186" s="186"/>
      <c r="O186" s="186"/>
      <c r="P186" s="187"/>
      <c r="Q186" s="9"/>
    </row>
    <row r="187" spans="1:17" s="13" customFormat="1" x14ac:dyDescent="0.25">
      <c r="A187" s="9"/>
      <c r="B187" s="20"/>
      <c r="C187" s="20"/>
      <c r="D187" s="184"/>
      <c r="E187" s="184"/>
      <c r="F187" s="184"/>
      <c r="G187" s="185"/>
      <c r="H187" s="185"/>
      <c r="I187" s="188"/>
      <c r="J187" s="9"/>
      <c r="K187" s="20"/>
      <c r="L187" s="20"/>
      <c r="M187" s="186"/>
      <c r="N187" s="186"/>
      <c r="O187" s="186"/>
      <c r="P187" s="187"/>
      <c r="Q187" s="9"/>
    </row>
    <row r="188" spans="1:17" s="13" customFormat="1" x14ac:dyDescent="0.25">
      <c r="A188" s="9"/>
      <c r="B188" s="20"/>
      <c r="C188" s="20"/>
      <c r="D188" s="184"/>
      <c r="E188" s="184"/>
      <c r="F188" s="184"/>
      <c r="G188" s="185"/>
      <c r="H188" s="185"/>
      <c r="I188" s="188"/>
      <c r="J188" s="9"/>
      <c r="K188" s="20"/>
      <c r="L188" s="20"/>
      <c r="M188" s="186"/>
      <c r="N188" s="186"/>
      <c r="O188" s="186"/>
      <c r="P188" s="187"/>
      <c r="Q188" s="9"/>
    </row>
    <row r="189" spans="1:17" s="13" customFormat="1" x14ac:dyDescent="0.25">
      <c r="A189" s="9"/>
      <c r="B189" s="20"/>
      <c r="C189" s="20"/>
      <c r="D189" s="184"/>
      <c r="E189" s="184"/>
      <c r="F189" s="184"/>
      <c r="G189" s="185"/>
      <c r="H189" s="185"/>
      <c r="I189" s="188"/>
      <c r="J189" s="9"/>
      <c r="K189" s="20"/>
      <c r="L189" s="20"/>
      <c r="M189" s="186"/>
      <c r="N189" s="186"/>
      <c r="O189" s="186"/>
      <c r="P189" s="187"/>
      <c r="Q189" s="9"/>
    </row>
    <row r="190" spans="1:17" s="13" customFormat="1" x14ac:dyDescent="0.25">
      <c r="A190" s="9"/>
      <c r="B190" s="20"/>
      <c r="C190" s="20"/>
      <c r="D190" s="184"/>
      <c r="E190" s="184"/>
      <c r="F190" s="184"/>
      <c r="G190" s="185"/>
      <c r="H190" s="185"/>
      <c r="I190" s="188"/>
      <c r="J190" s="9"/>
      <c r="K190" s="20"/>
      <c r="L190" s="20"/>
      <c r="M190" s="186"/>
      <c r="N190" s="186"/>
      <c r="O190" s="186"/>
      <c r="P190" s="187"/>
      <c r="Q190" s="9"/>
    </row>
    <row r="191" spans="1:17" s="13" customFormat="1" x14ac:dyDescent="0.25">
      <c r="A191" s="9"/>
      <c r="B191" s="20"/>
      <c r="C191" s="20"/>
      <c r="D191" s="184"/>
      <c r="E191" s="184"/>
      <c r="F191" s="184"/>
      <c r="G191" s="185"/>
      <c r="H191" s="185"/>
      <c r="I191" s="188"/>
      <c r="J191" s="9"/>
      <c r="K191" s="20"/>
      <c r="L191" s="20"/>
      <c r="M191" s="186"/>
      <c r="N191" s="186"/>
      <c r="O191" s="186"/>
      <c r="P191" s="187"/>
      <c r="Q191" s="9"/>
    </row>
    <row r="192" spans="1:17" s="13" customFormat="1" x14ac:dyDescent="0.25">
      <c r="A192" s="9"/>
      <c r="B192" s="20"/>
      <c r="C192" s="20"/>
      <c r="D192" s="184"/>
      <c r="E192" s="184"/>
      <c r="F192" s="184"/>
      <c r="G192" s="185"/>
      <c r="H192" s="185"/>
      <c r="I192" s="188"/>
      <c r="J192" s="9"/>
      <c r="K192" s="20"/>
      <c r="L192" s="20"/>
      <c r="M192" s="186"/>
      <c r="N192" s="186"/>
      <c r="O192" s="186"/>
      <c r="P192" s="187"/>
      <c r="Q192" s="9"/>
    </row>
    <row r="193" spans="1:17" s="13" customFormat="1" x14ac:dyDescent="0.25">
      <c r="A193" s="9"/>
      <c r="B193" s="20"/>
      <c r="C193" s="20"/>
      <c r="D193" s="184"/>
      <c r="E193" s="184"/>
      <c r="F193" s="184"/>
      <c r="G193" s="185"/>
      <c r="H193" s="185"/>
      <c r="I193" s="188"/>
      <c r="J193" s="9"/>
      <c r="K193" s="20"/>
      <c r="L193" s="20"/>
      <c r="M193" s="186"/>
      <c r="N193" s="186"/>
      <c r="O193" s="186"/>
      <c r="P193" s="187"/>
      <c r="Q193" s="9"/>
    </row>
    <row r="194" spans="1:17" s="13" customFormat="1" x14ac:dyDescent="0.25">
      <c r="A194" s="9"/>
      <c r="B194" s="20"/>
      <c r="C194" s="20"/>
      <c r="D194" s="184"/>
      <c r="E194" s="184"/>
      <c r="F194" s="184"/>
      <c r="G194" s="185"/>
      <c r="H194" s="185"/>
      <c r="I194" s="188"/>
      <c r="J194" s="9"/>
      <c r="K194" s="20"/>
      <c r="L194" s="20"/>
      <c r="M194" s="186"/>
      <c r="N194" s="186"/>
      <c r="O194" s="186"/>
      <c r="P194" s="187"/>
      <c r="Q194" s="9"/>
    </row>
    <row r="195" spans="1:17" s="13" customFormat="1" x14ac:dyDescent="0.25">
      <c r="A195" s="9"/>
      <c r="B195" s="20"/>
      <c r="C195" s="20"/>
      <c r="D195" s="184"/>
      <c r="E195" s="184"/>
      <c r="F195" s="184"/>
      <c r="G195" s="185"/>
      <c r="H195" s="185"/>
      <c r="I195" s="188"/>
      <c r="J195" s="9"/>
      <c r="K195" s="20"/>
      <c r="L195" s="20"/>
      <c r="M195" s="186"/>
      <c r="N195" s="186"/>
      <c r="O195" s="186"/>
      <c r="P195" s="187"/>
      <c r="Q195" s="9"/>
    </row>
    <row r="196" spans="1:17" s="13" customFormat="1" x14ac:dyDescent="0.25">
      <c r="A196" s="9"/>
      <c r="B196" s="20"/>
      <c r="C196" s="20"/>
      <c r="D196" s="184"/>
      <c r="E196" s="184"/>
      <c r="F196" s="184"/>
      <c r="G196" s="185"/>
      <c r="H196" s="185"/>
      <c r="I196" s="188"/>
      <c r="J196" s="9"/>
      <c r="K196" s="20"/>
      <c r="L196" s="20"/>
      <c r="M196" s="186"/>
      <c r="N196" s="186"/>
      <c r="O196" s="186"/>
      <c r="P196" s="187"/>
      <c r="Q196" s="9"/>
    </row>
    <row r="197" spans="1:17" s="13" customFormat="1" x14ac:dyDescent="0.25">
      <c r="A197" s="9"/>
      <c r="B197" s="20"/>
      <c r="C197" s="20"/>
      <c r="D197" s="184"/>
      <c r="E197" s="184"/>
      <c r="F197" s="184"/>
      <c r="G197" s="185"/>
      <c r="H197" s="185"/>
      <c r="I197" s="188"/>
      <c r="J197" s="9"/>
      <c r="K197" s="20"/>
      <c r="L197" s="20"/>
      <c r="M197" s="186"/>
      <c r="N197" s="186"/>
      <c r="O197" s="186"/>
      <c r="P197" s="187"/>
      <c r="Q197" s="9"/>
    </row>
    <row r="198" spans="1:17" s="13" customFormat="1" x14ac:dyDescent="0.25">
      <c r="A198" s="9"/>
      <c r="B198" s="20"/>
      <c r="C198" s="20"/>
      <c r="D198" s="184"/>
      <c r="E198" s="184"/>
      <c r="F198" s="184"/>
      <c r="G198" s="185"/>
      <c r="H198" s="185"/>
      <c r="I198" s="188"/>
      <c r="J198" s="9"/>
      <c r="K198" s="20"/>
      <c r="L198" s="20"/>
      <c r="M198" s="186"/>
      <c r="N198" s="186"/>
      <c r="O198" s="186"/>
      <c r="P198" s="187"/>
      <c r="Q198" s="9"/>
    </row>
    <row r="199" spans="1:17" s="13" customFormat="1" x14ac:dyDescent="0.25">
      <c r="A199" s="9"/>
      <c r="B199" s="20"/>
      <c r="C199" s="20"/>
      <c r="D199" s="184"/>
      <c r="E199" s="184"/>
      <c r="F199" s="184"/>
      <c r="G199" s="185"/>
      <c r="H199" s="185"/>
      <c r="I199" s="188"/>
      <c r="J199" s="9"/>
      <c r="K199" s="20"/>
      <c r="L199" s="20"/>
      <c r="M199" s="186"/>
      <c r="N199" s="186"/>
      <c r="O199" s="186"/>
      <c r="P199" s="187"/>
      <c r="Q199" s="9"/>
    </row>
    <row r="200" spans="1:17" s="13" customFormat="1" x14ac:dyDescent="0.25">
      <c r="A200" s="9"/>
      <c r="B200" s="20"/>
      <c r="C200" s="20"/>
      <c r="D200" s="184"/>
      <c r="E200" s="184"/>
      <c r="F200" s="184"/>
      <c r="G200" s="185"/>
      <c r="H200" s="185"/>
      <c r="I200" s="188"/>
      <c r="J200" s="9"/>
      <c r="K200" s="20"/>
      <c r="L200" s="20"/>
      <c r="M200" s="186"/>
      <c r="N200" s="186"/>
      <c r="O200" s="186"/>
      <c r="P200" s="187"/>
      <c r="Q200" s="9"/>
    </row>
    <row r="201" spans="1:17" s="13" customFormat="1" x14ac:dyDescent="0.25">
      <c r="A201" s="9"/>
      <c r="B201" s="20"/>
      <c r="C201" s="20"/>
      <c r="D201" s="184"/>
      <c r="E201" s="184"/>
      <c r="F201" s="184"/>
      <c r="G201" s="185"/>
      <c r="H201" s="185"/>
      <c r="I201" s="188"/>
      <c r="J201" s="9"/>
      <c r="K201" s="20"/>
      <c r="L201" s="20"/>
      <c r="M201" s="186"/>
      <c r="N201" s="186"/>
      <c r="O201" s="186"/>
      <c r="P201" s="187"/>
      <c r="Q201" s="9"/>
    </row>
    <row r="202" spans="1:17" s="13" customFormat="1" x14ac:dyDescent="0.25">
      <c r="A202" s="9"/>
      <c r="B202" s="20"/>
      <c r="C202" s="20"/>
      <c r="D202" s="184"/>
      <c r="E202" s="184"/>
      <c r="F202" s="184"/>
      <c r="G202" s="185"/>
      <c r="H202" s="185"/>
      <c r="I202" s="188"/>
      <c r="J202" s="9"/>
      <c r="K202" s="20"/>
      <c r="L202" s="20"/>
      <c r="M202" s="186"/>
      <c r="N202" s="186"/>
      <c r="O202" s="186"/>
      <c r="P202" s="187"/>
      <c r="Q202" s="9"/>
    </row>
    <row r="203" spans="1:17" s="13" customFormat="1" x14ac:dyDescent="0.25">
      <c r="A203" s="9"/>
      <c r="B203" s="20"/>
      <c r="C203" s="20"/>
      <c r="D203" s="184"/>
      <c r="E203" s="184"/>
      <c r="F203" s="184"/>
      <c r="G203" s="185"/>
      <c r="H203" s="185"/>
      <c r="I203" s="188"/>
      <c r="J203" s="9"/>
      <c r="K203" s="20"/>
      <c r="L203" s="20"/>
      <c r="M203" s="186"/>
      <c r="N203" s="186"/>
      <c r="O203" s="186"/>
      <c r="P203" s="187"/>
      <c r="Q203" s="9"/>
    </row>
    <row r="204" spans="1:17" s="13" customFormat="1" x14ac:dyDescent="0.25">
      <c r="A204" s="9"/>
      <c r="B204" s="20"/>
      <c r="C204" s="20"/>
      <c r="D204" s="184"/>
      <c r="E204" s="184"/>
      <c r="F204" s="184"/>
      <c r="G204" s="185"/>
      <c r="H204" s="185"/>
      <c r="I204" s="188"/>
      <c r="J204" s="9"/>
      <c r="K204" s="20"/>
      <c r="L204" s="20"/>
      <c r="M204" s="186"/>
      <c r="N204" s="186"/>
      <c r="O204" s="186"/>
      <c r="P204" s="187"/>
      <c r="Q204" s="9"/>
    </row>
    <row r="205" spans="1:17" s="13" customFormat="1" x14ac:dyDescent="0.25">
      <c r="A205" s="9"/>
      <c r="B205" s="20"/>
      <c r="C205" s="20"/>
      <c r="D205" s="184"/>
      <c r="E205" s="184"/>
      <c r="F205" s="184"/>
      <c r="G205" s="185"/>
      <c r="H205" s="185"/>
      <c r="I205" s="188"/>
      <c r="J205" s="9"/>
      <c r="K205" s="20"/>
      <c r="L205" s="20"/>
      <c r="M205" s="186"/>
      <c r="N205" s="186"/>
      <c r="O205" s="186"/>
      <c r="P205" s="187"/>
      <c r="Q205" s="9"/>
    </row>
    <row r="206" spans="1:17" s="13" customFormat="1" x14ac:dyDescent="0.25">
      <c r="A206" s="9"/>
      <c r="B206" s="20"/>
      <c r="C206" s="20"/>
      <c r="D206" s="184"/>
      <c r="E206" s="184"/>
      <c r="F206" s="184"/>
      <c r="G206" s="185"/>
      <c r="H206" s="185"/>
      <c r="I206" s="188"/>
      <c r="J206" s="9"/>
      <c r="K206" s="20"/>
      <c r="L206" s="20"/>
      <c r="M206" s="186"/>
      <c r="N206" s="186"/>
      <c r="O206" s="186"/>
      <c r="P206" s="187"/>
      <c r="Q206" s="9"/>
    </row>
    <row r="207" spans="1:17" s="13" customFormat="1" x14ac:dyDescent="0.25">
      <c r="A207" s="9"/>
      <c r="B207" s="20"/>
      <c r="C207" s="20"/>
      <c r="D207" s="184"/>
      <c r="E207" s="184"/>
      <c r="F207" s="184"/>
      <c r="G207" s="185"/>
      <c r="H207" s="185"/>
      <c r="I207" s="188"/>
      <c r="J207" s="9"/>
      <c r="K207" s="20"/>
      <c r="L207" s="20"/>
      <c r="M207" s="186"/>
      <c r="N207" s="186"/>
      <c r="O207" s="186"/>
      <c r="P207" s="187"/>
      <c r="Q207" s="9"/>
    </row>
    <row r="208" spans="1:17" s="13" customFormat="1" x14ac:dyDescent="0.25">
      <c r="A208" s="9"/>
      <c r="B208" s="20"/>
      <c r="C208" s="20"/>
      <c r="D208" s="184"/>
      <c r="E208" s="184"/>
      <c r="F208" s="184"/>
      <c r="G208" s="185"/>
      <c r="H208" s="185"/>
      <c r="I208" s="188"/>
      <c r="J208" s="9"/>
      <c r="K208" s="20"/>
      <c r="L208" s="20"/>
      <c r="M208" s="186"/>
      <c r="N208" s="186"/>
      <c r="O208" s="186"/>
      <c r="P208" s="187"/>
      <c r="Q208" s="9"/>
    </row>
    <row r="209" spans="1:17" s="13" customFormat="1" x14ac:dyDescent="0.25">
      <c r="A209" s="9"/>
      <c r="B209" s="20"/>
      <c r="C209" s="20"/>
      <c r="D209" s="184"/>
      <c r="E209" s="184"/>
      <c r="F209" s="184"/>
      <c r="G209" s="185"/>
      <c r="H209" s="185"/>
      <c r="I209" s="188"/>
      <c r="J209" s="9"/>
      <c r="K209" s="20"/>
      <c r="L209" s="20"/>
      <c r="M209" s="186"/>
      <c r="N209" s="186"/>
      <c r="O209" s="186"/>
      <c r="P209" s="187"/>
      <c r="Q209" s="9"/>
    </row>
    <row r="210" spans="1:17" s="13" customFormat="1" x14ac:dyDescent="0.25">
      <c r="A210" s="9"/>
      <c r="B210" s="20"/>
      <c r="C210" s="20"/>
      <c r="D210" s="184"/>
      <c r="E210" s="184"/>
      <c r="F210" s="184"/>
      <c r="G210" s="185"/>
      <c r="H210" s="185"/>
      <c r="I210" s="188"/>
      <c r="J210" s="9"/>
      <c r="K210" s="20"/>
      <c r="L210" s="20"/>
      <c r="M210" s="186"/>
      <c r="N210" s="186"/>
      <c r="O210" s="186"/>
      <c r="P210" s="187"/>
      <c r="Q210" s="9"/>
    </row>
    <row r="211" spans="1:17" s="13" customFormat="1" x14ac:dyDescent="0.25">
      <c r="A211" s="9"/>
      <c r="B211" s="20"/>
      <c r="C211" s="20"/>
      <c r="D211" s="184"/>
      <c r="E211" s="184"/>
      <c r="F211" s="184"/>
      <c r="G211" s="185"/>
      <c r="H211" s="185"/>
      <c r="I211" s="188"/>
      <c r="J211" s="9"/>
      <c r="K211" s="20"/>
      <c r="L211" s="20"/>
      <c r="M211" s="186"/>
      <c r="N211" s="186"/>
      <c r="O211" s="186"/>
      <c r="P211" s="187"/>
      <c r="Q211" s="9"/>
    </row>
    <row r="212" spans="1:17" s="13" customFormat="1" x14ac:dyDescent="0.25">
      <c r="A212" s="9"/>
      <c r="B212" s="20"/>
      <c r="C212" s="20"/>
      <c r="D212" s="184"/>
      <c r="E212" s="184"/>
      <c r="F212" s="184"/>
      <c r="G212" s="185"/>
      <c r="H212" s="185"/>
      <c r="I212" s="188"/>
      <c r="J212" s="9"/>
      <c r="K212" s="20"/>
      <c r="L212" s="20"/>
      <c r="M212" s="186"/>
      <c r="N212" s="186"/>
      <c r="O212" s="186"/>
      <c r="P212" s="187"/>
      <c r="Q212" s="9"/>
    </row>
    <row r="213" spans="1:17" s="13" customFormat="1" x14ac:dyDescent="0.25">
      <c r="A213" s="9"/>
      <c r="B213" s="20"/>
      <c r="C213" s="20"/>
      <c r="D213" s="184"/>
      <c r="E213" s="184"/>
      <c r="F213" s="184"/>
      <c r="G213" s="185"/>
      <c r="H213" s="185"/>
      <c r="I213" s="188"/>
      <c r="J213" s="9"/>
      <c r="K213" s="20"/>
      <c r="L213" s="20"/>
      <c r="M213" s="186"/>
      <c r="N213" s="186"/>
      <c r="O213" s="186"/>
      <c r="P213" s="187"/>
      <c r="Q213" s="9"/>
    </row>
    <row r="214" spans="1:17" s="13" customFormat="1" x14ac:dyDescent="0.25">
      <c r="A214" s="9"/>
      <c r="B214" s="20"/>
      <c r="C214" s="20"/>
      <c r="D214" s="184"/>
      <c r="E214" s="184"/>
      <c r="F214" s="184"/>
      <c r="G214" s="185"/>
      <c r="H214" s="185"/>
      <c r="I214" s="188"/>
      <c r="J214" s="9"/>
      <c r="K214" s="20"/>
      <c r="L214" s="20"/>
      <c r="M214" s="186"/>
      <c r="N214" s="186"/>
      <c r="O214" s="186"/>
      <c r="P214" s="187"/>
      <c r="Q214" s="9"/>
    </row>
    <row r="215" spans="1:17" s="13" customFormat="1" x14ac:dyDescent="0.25">
      <c r="A215" s="9"/>
      <c r="B215" s="20"/>
      <c r="C215" s="20"/>
      <c r="D215" s="184"/>
      <c r="E215" s="184"/>
      <c r="F215" s="184"/>
      <c r="G215" s="185"/>
      <c r="H215" s="185"/>
      <c r="I215" s="188"/>
      <c r="J215" s="9"/>
      <c r="K215" s="20"/>
      <c r="L215" s="20"/>
      <c r="M215" s="186"/>
      <c r="N215" s="186"/>
      <c r="O215" s="186"/>
      <c r="P215" s="187"/>
      <c r="Q215" s="9"/>
    </row>
    <row r="216" spans="1:17" s="13" customFormat="1" x14ac:dyDescent="0.25">
      <c r="A216" s="9"/>
      <c r="B216" s="20"/>
      <c r="C216" s="20"/>
      <c r="D216" s="184"/>
      <c r="E216" s="184"/>
      <c r="F216" s="184"/>
      <c r="G216" s="185"/>
      <c r="H216" s="185"/>
      <c r="I216" s="188"/>
      <c r="J216" s="9"/>
      <c r="K216" s="20"/>
      <c r="L216" s="20"/>
      <c r="M216" s="186"/>
      <c r="N216" s="186"/>
      <c r="O216" s="186"/>
      <c r="P216" s="187"/>
      <c r="Q216" s="9"/>
    </row>
    <row r="217" spans="1:17" s="13" customFormat="1" x14ac:dyDescent="0.25">
      <c r="A217" s="9"/>
      <c r="B217" s="20"/>
      <c r="C217" s="20"/>
      <c r="D217" s="184"/>
      <c r="E217" s="184"/>
      <c r="F217" s="184"/>
      <c r="G217" s="185"/>
      <c r="H217" s="185"/>
      <c r="I217" s="188"/>
      <c r="J217" s="9"/>
      <c r="K217" s="20"/>
      <c r="L217" s="20"/>
      <c r="M217" s="186"/>
      <c r="N217" s="186"/>
      <c r="O217" s="186"/>
      <c r="P217" s="187"/>
      <c r="Q217" s="9"/>
    </row>
    <row r="218" spans="1:17" s="13" customFormat="1" x14ac:dyDescent="0.25">
      <c r="A218" s="9"/>
      <c r="B218" s="20"/>
      <c r="C218" s="20"/>
      <c r="D218" s="184"/>
      <c r="E218" s="184"/>
      <c r="F218" s="184"/>
      <c r="G218" s="185"/>
      <c r="H218" s="185"/>
      <c r="I218" s="188"/>
      <c r="J218" s="9"/>
      <c r="K218" s="20"/>
      <c r="L218" s="20"/>
      <c r="M218" s="186"/>
      <c r="N218" s="186"/>
      <c r="O218" s="186"/>
      <c r="P218" s="187"/>
      <c r="Q218" s="9"/>
    </row>
    <row r="219" spans="1:17" s="13" customFormat="1" x14ac:dyDescent="0.25">
      <c r="A219" s="9"/>
      <c r="B219" s="20"/>
      <c r="C219" s="20"/>
      <c r="D219" s="184"/>
      <c r="E219" s="184"/>
      <c r="F219" s="184"/>
      <c r="G219" s="185"/>
      <c r="H219" s="185"/>
      <c r="I219" s="188"/>
      <c r="J219" s="9"/>
      <c r="K219" s="20"/>
      <c r="L219" s="20"/>
      <c r="M219" s="186"/>
      <c r="N219" s="186"/>
      <c r="O219" s="186"/>
      <c r="P219" s="187"/>
      <c r="Q219" s="9"/>
    </row>
    <row r="220" spans="1:17" s="13" customFormat="1" x14ac:dyDescent="0.25">
      <c r="A220" s="9"/>
      <c r="B220" s="20"/>
      <c r="C220" s="20"/>
      <c r="D220" s="184"/>
      <c r="E220" s="184"/>
      <c r="F220" s="184"/>
      <c r="G220" s="185"/>
      <c r="H220" s="185"/>
      <c r="I220" s="188"/>
      <c r="J220" s="9"/>
      <c r="K220" s="20"/>
      <c r="L220" s="20"/>
      <c r="M220" s="186"/>
      <c r="N220" s="186"/>
      <c r="O220" s="186"/>
      <c r="P220" s="187"/>
      <c r="Q220" s="9"/>
    </row>
    <row r="221" spans="1:17" s="13" customFormat="1" x14ac:dyDescent="0.25">
      <c r="A221" s="9"/>
      <c r="B221" s="20"/>
      <c r="C221" s="20"/>
      <c r="D221" s="184"/>
      <c r="E221" s="184"/>
      <c r="F221" s="184"/>
      <c r="G221" s="185"/>
      <c r="H221" s="185"/>
      <c r="I221" s="188"/>
      <c r="J221" s="9"/>
      <c r="K221" s="20"/>
      <c r="L221" s="20"/>
      <c r="M221" s="186"/>
      <c r="N221" s="186"/>
      <c r="O221" s="186"/>
      <c r="P221" s="187"/>
      <c r="Q221" s="9"/>
    </row>
    <row r="222" spans="1:17" s="13" customFormat="1" x14ac:dyDescent="0.25">
      <c r="A222" s="9"/>
      <c r="B222" s="20"/>
      <c r="C222" s="20"/>
      <c r="D222" s="184"/>
      <c r="E222" s="184"/>
      <c r="F222" s="184"/>
      <c r="G222" s="185"/>
      <c r="H222" s="185"/>
      <c r="I222" s="188"/>
      <c r="J222" s="9"/>
      <c r="K222" s="20"/>
      <c r="L222" s="20"/>
      <c r="M222" s="186"/>
      <c r="N222" s="186"/>
      <c r="O222" s="186"/>
      <c r="P222" s="187"/>
      <c r="Q222" s="9"/>
    </row>
    <row r="223" spans="1:17" s="13" customFormat="1" x14ac:dyDescent="0.25">
      <c r="A223" s="9"/>
      <c r="B223" s="20"/>
      <c r="C223" s="20"/>
      <c r="D223" s="184"/>
      <c r="E223" s="184"/>
      <c r="F223" s="184"/>
      <c r="G223" s="185"/>
      <c r="H223" s="185"/>
      <c r="I223" s="188"/>
      <c r="J223" s="9"/>
      <c r="K223" s="20"/>
      <c r="L223" s="20"/>
      <c r="M223" s="186"/>
      <c r="N223" s="186"/>
      <c r="O223" s="186"/>
      <c r="P223" s="187"/>
      <c r="Q223" s="9"/>
    </row>
    <row r="224" spans="1:17" s="13" customFormat="1" x14ac:dyDescent="0.25">
      <c r="A224" s="9"/>
      <c r="B224" s="20"/>
      <c r="C224" s="20"/>
      <c r="D224" s="184"/>
      <c r="E224" s="184"/>
      <c r="F224" s="184"/>
      <c r="G224" s="185"/>
      <c r="H224" s="185"/>
      <c r="I224" s="188"/>
      <c r="J224" s="9"/>
      <c r="K224" s="20"/>
      <c r="L224" s="20"/>
      <c r="M224" s="186"/>
      <c r="N224" s="186"/>
      <c r="O224" s="186"/>
      <c r="P224" s="187"/>
      <c r="Q224" s="9"/>
    </row>
    <row r="225" spans="1:17" s="13" customFormat="1" x14ac:dyDescent="0.25">
      <c r="A225" s="9"/>
      <c r="B225" s="20"/>
      <c r="C225" s="20"/>
      <c r="D225" s="184"/>
      <c r="E225" s="184"/>
      <c r="F225" s="184"/>
      <c r="G225" s="185"/>
      <c r="H225" s="185"/>
      <c r="I225" s="188"/>
      <c r="J225" s="9"/>
      <c r="K225" s="20"/>
      <c r="L225" s="20"/>
      <c r="M225" s="186"/>
      <c r="N225" s="186"/>
      <c r="O225" s="186"/>
      <c r="P225" s="187"/>
      <c r="Q225" s="9"/>
    </row>
    <row r="226" spans="1:17" s="13" customFormat="1" x14ac:dyDescent="0.25">
      <c r="A226" s="9"/>
      <c r="B226" s="20"/>
      <c r="C226" s="20"/>
      <c r="D226" s="184"/>
      <c r="E226" s="184"/>
      <c r="F226" s="184"/>
      <c r="G226" s="185"/>
      <c r="H226" s="185"/>
      <c r="I226" s="188"/>
      <c r="J226" s="9"/>
      <c r="K226" s="20"/>
      <c r="L226" s="20"/>
      <c r="M226" s="186"/>
      <c r="N226" s="186"/>
      <c r="O226" s="186"/>
      <c r="P226" s="187"/>
      <c r="Q226" s="9"/>
    </row>
    <row r="227" spans="1:17" s="13" customFormat="1" x14ac:dyDescent="0.25">
      <c r="A227" s="9"/>
      <c r="B227" s="20"/>
      <c r="C227" s="20"/>
      <c r="D227" s="184"/>
      <c r="E227" s="184"/>
      <c r="F227" s="184"/>
      <c r="G227" s="185"/>
      <c r="H227" s="185"/>
      <c r="I227" s="188"/>
      <c r="J227" s="9"/>
      <c r="K227" s="20"/>
      <c r="L227" s="20"/>
      <c r="M227" s="186"/>
      <c r="N227" s="186"/>
      <c r="O227" s="186"/>
      <c r="P227" s="187"/>
      <c r="Q227" s="9"/>
    </row>
    <row r="228" spans="1:17" s="13" customFormat="1" x14ac:dyDescent="0.25">
      <c r="A228" s="9"/>
      <c r="B228" s="20"/>
      <c r="C228" s="20"/>
      <c r="D228" s="184"/>
      <c r="E228" s="184"/>
      <c r="F228" s="184"/>
      <c r="G228" s="185"/>
      <c r="H228" s="185"/>
      <c r="I228" s="188"/>
      <c r="J228" s="9"/>
      <c r="K228" s="20"/>
      <c r="L228" s="20"/>
      <c r="M228" s="186"/>
      <c r="N228" s="186"/>
      <c r="O228" s="186"/>
      <c r="P228" s="187"/>
      <c r="Q228" s="9"/>
    </row>
    <row r="229" spans="1:17" s="13" customFormat="1" x14ac:dyDescent="0.25">
      <c r="A229" s="9"/>
      <c r="B229" s="20"/>
      <c r="C229" s="20"/>
      <c r="D229" s="184"/>
      <c r="E229" s="184"/>
      <c r="F229" s="184"/>
      <c r="G229" s="185"/>
      <c r="H229" s="185"/>
      <c r="I229" s="188"/>
      <c r="J229" s="9"/>
      <c r="K229" s="20"/>
      <c r="L229" s="20"/>
      <c r="M229" s="186"/>
      <c r="N229" s="186"/>
      <c r="O229" s="186"/>
      <c r="P229" s="187"/>
      <c r="Q229" s="9"/>
    </row>
    <row r="230" spans="1:17" s="13" customFormat="1" x14ac:dyDescent="0.25">
      <c r="A230" s="9"/>
      <c r="B230" s="20"/>
      <c r="C230" s="20"/>
      <c r="D230" s="184"/>
      <c r="E230" s="184"/>
      <c r="F230" s="184"/>
      <c r="G230" s="185"/>
      <c r="H230" s="185"/>
      <c r="I230" s="188"/>
      <c r="J230" s="9"/>
      <c r="K230" s="20"/>
      <c r="L230" s="20"/>
      <c r="M230" s="186"/>
      <c r="N230" s="186"/>
      <c r="O230" s="186"/>
      <c r="P230" s="187"/>
      <c r="Q230" s="9"/>
    </row>
    <row r="231" spans="1:17" s="13" customFormat="1" x14ac:dyDescent="0.25">
      <c r="A231" s="9"/>
      <c r="B231" s="20"/>
      <c r="C231" s="20"/>
      <c r="D231" s="184"/>
      <c r="E231" s="184"/>
      <c r="F231" s="184"/>
      <c r="G231" s="185"/>
      <c r="H231" s="185"/>
      <c r="I231" s="188"/>
      <c r="J231" s="9"/>
      <c r="K231" s="20"/>
      <c r="L231" s="20"/>
      <c r="M231" s="186"/>
      <c r="N231" s="186"/>
      <c r="O231" s="186"/>
      <c r="P231" s="187"/>
      <c r="Q231" s="9"/>
    </row>
    <row r="232" spans="1:17" s="13" customFormat="1" x14ac:dyDescent="0.25">
      <c r="A232" s="9"/>
      <c r="B232" s="20"/>
      <c r="C232" s="20"/>
      <c r="D232" s="184"/>
      <c r="E232" s="184"/>
      <c r="F232" s="184"/>
      <c r="G232" s="185"/>
      <c r="H232" s="185"/>
      <c r="I232" s="188"/>
      <c r="J232" s="9"/>
      <c r="K232" s="20"/>
      <c r="L232" s="20"/>
      <c r="M232" s="186"/>
      <c r="N232" s="186"/>
      <c r="O232" s="186"/>
      <c r="P232" s="187"/>
      <c r="Q232" s="9"/>
    </row>
    <row r="233" spans="1:17" s="13" customFormat="1" x14ac:dyDescent="0.25">
      <c r="A233" s="9"/>
      <c r="B233" s="20"/>
      <c r="C233" s="20"/>
      <c r="D233" s="184"/>
      <c r="E233" s="184"/>
      <c r="F233" s="184"/>
      <c r="G233" s="185"/>
      <c r="H233" s="185"/>
      <c r="I233" s="188"/>
      <c r="J233" s="9"/>
      <c r="K233" s="20"/>
      <c r="L233" s="20"/>
      <c r="M233" s="186"/>
      <c r="N233" s="186"/>
      <c r="O233" s="186"/>
      <c r="P233" s="187"/>
      <c r="Q233" s="9"/>
    </row>
    <row r="234" spans="1:17" s="13" customFormat="1" x14ac:dyDescent="0.25">
      <c r="A234" s="9"/>
      <c r="B234" s="20"/>
      <c r="C234" s="20"/>
      <c r="D234" s="184"/>
      <c r="E234" s="184"/>
      <c r="F234" s="184"/>
      <c r="G234" s="185"/>
      <c r="H234" s="185"/>
      <c r="I234" s="188"/>
      <c r="J234" s="9"/>
      <c r="K234" s="20"/>
      <c r="L234" s="20"/>
      <c r="M234" s="186"/>
      <c r="N234" s="186"/>
      <c r="O234" s="186"/>
      <c r="P234" s="187"/>
      <c r="Q234" s="9"/>
    </row>
    <row r="235" spans="1:17" s="13" customFormat="1" x14ac:dyDescent="0.25">
      <c r="A235" s="9"/>
      <c r="B235" s="20"/>
      <c r="C235" s="20"/>
      <c r="D235" s="184"/>
      <c r="E235" s="184"/>
      <c r="F235" s="184"/>
      <c r="G235" s="185"/>
      <c r="H235" s="185"/>
      <c r="I235" s="188"/>
      <c r="J235" s="9"/>
      <c r="K235" s="20"/>
      <c r="L235" s="20"/>
      <c r="M235" s="186"/>
      <c r="N235" s="186"/>
      <c r="O235" s="186"/>
      <c r="P235" s="187"/>
      <c r="Q235" s="9"/>
    </row>
    <row r="236" spans="1:17" s="13" customFormat="1" x14ac:dyDescent="0.25">
      <c r="A236" s="9"/>
      <c r="B236" s="20"/>
      <c r="C236" s="20"/>
      <c r="D236" s="184"/>
      <c r="E236" s="184"/>
      <c r="F236" s="184"/>
      <c r="G236" s="185"/>
      <c r="H236" s="185"/>
      <c r="I236" s="188"/>
      <c r="J236" s="9"/>
      <c r="K236" s="20"/>
      <c r="L236" s="20"/>
      <c r="M236" s="186"/>
      <c r="N236" s="186"/>
      <c r="O236" s="186"/>
      <c r="P236" s="187"/>
      <c r="Q236" s="9"/>
    </row>
    <row r="237" spans="1:17" s="13" customFormat="1" x14ac:dyDescent="0.25">
      <c r="A237" s="9"/>
      <c r="B237" s="20"/>
      <c r="C237" s="20"/>
      <c r="D237" s="184"/>
      <c r="E237" s="184"/>
      <c r="F237" s="184"/>
      <c r="G237" s="185"/>
      <c r="H237" s="185"/>
      <c r="I237" s="188"/>
      <c r="J237" s="9"/>
      <c r="K237" s="20"/>
      <c r="L237" s="20"/>
      <c r="M237" s="186"/>
      <c r="N237" s="186"/>
      <c r="O237" s="186"/>
      <c r="P237" s="187"/>
      <c r="Q237" s="9"/>
    </row>
    <row r="238" spans="1:17" s="13" customFormat="1" x14ac:dyDescent="0.25">
      <c r="A238" s="9"/>
      <c r="B238" s="20"/>
      <c r="C238" s="20"/>
      <c r="D238" s="184"/>
      <c r="E238" s="184"/>
      <c r="F238" s="184"/>
      <c r="G238" s="185"/>
      <c r="H238" s="185"/>
      <c r="I238" s="188"/>
      <c r="J238" s="9"/>
      <c r="K238" s="20"/>
      <c r="L238" s="20"/>
      <c r="M238" s="186"/>
      <c r="N238" s="186"/>
      <c r="O238" s="186"/>
      <c r="P238" s="187"/>
      <c r="Q238" s="9"/>
    </row>
    <row r="239" spans="1:17" s="13" customFormat="1" x14ac:dyDescent="0.25">
      <c r="A239" s="9"/>
      <c r="B239" s="20"/>
      <c r="C239" s="20"/>
      <c r="D239" s="184"/>
      <c r="E239" s="184"/>
      <c r="F239" s="184"/>
      <c r="G239" s="185"/>
      <c r="H239" s="185"/>
      <c r="I239" s="188"/>
      <c r="J239" s="9"/>
      <c r="K239" s="20"/>
      <c r="L239" s="20"/>
      <c r="M239" s="186"/>
      <c r="N239" s="186"/>
      <c r="O239" s="186"/>
      <c r="P239" s="187"/>
      <c r="Q239" s="9"/>
    </row>
    <row r="240" spans="1:17" s="13" customFormat="1" x14ac:dyDescent="0.25">
      <c r="A240" s="9"/>
      <c r="B240" s="20"/>
      <c r="C240" s="20"/>
      <c r="D240" s="184"/>
      <c r="E240" s="184"/>
      <c r="F240" s="184"/>
      <c r="G240" s="185"/>
      <c r="H240" s="185"/>
      <c r="I240" s="188"/>
      <c r="J240" s="9"/>
      <c r="K240" s="20"/>
      <c r="L240" s="20"/>
      <c r="M240" s="186"/>
      <c r="N240" s="186"/>
      <c r="O240" s="186"/>
      <c r="P240" s="187"/>
      <c r="Q240" s="9"/>
    </row>
    <row r="241" spans="1:17" s="13" customFormat="1" x14ac:dyDescent="0.25">
      <c r="A241" s="9"/>
      <c r="B241" s="20"/>
      <c r="C241" s="20"/>
      <c r="D241" s="184"/>
      <c r="E241" s="184"/>
      <c r="F241" s="184"/>
      <c r="G241" s="185"/>
      <c r="H241" s="185"/>
      <c r="I241" s="188"/>
      <c r="J241" s="9"/>
      <c r="K241" s="20"/>
      <c r="L241" s="20"/>
      <c r="M241" s="186"/>
      <c r="N241" s="186"/>
      <c r="O241" s="186"/>
      <c r="P241" s="187"/>
      <c r="Q241" s="9"/>
    </row>
    <row r="242" spans="1:17" s="13" customFormat="1" x14ac:dyDescent="0.25">
      <c r="A242" s="9"/>
      <c r="B242" s="20"/>
      <c r="C242" s="20"/>
      <c r="D242" s="184"/>
      <c r="E242" s="184"/>
      <c r="F242" s="184"/>
      <c r="G242" s="185"/>
      <c r="H242" s="185"/>
      <c r="I242" s="188"/>
      <c r="J242" s="9"/>
      <c r="K242" s="20"/>
      <c r="L242" s="20"/>
      <c r="M242" s="186"/>
      <c r="N242" s="186"/>
      <c r="O242" s="186"/>
      <c r="P242" s="187"/>
      <c r="Q242" s="9"/>
    </row>
    <row r="243" spans="1:17" s="13" customFormat="1" x14ac:dyDescent="0.25">
      <c r="A243" s="9"/>
      <c r="B243" s="20"/>
      <c r="C243" s="20"/>
      <c r="D243" s="184"/>
      <c r="E243" s="184"/>
      <c r="F243" s="184"/>
      <c r="G243" s="185"/>
      <c r="H243" s="185"/>
      <c r="I243" s="188"/>
      <c r="J243" s="9"/>
      <c r="K243" s="20"/>
      <c r="L243" s="20"/>
      <c r="M243" s="186"/>
      <c r="N243" s="186"/>
      <c r="O243" s="186"/>
      <c r="P243" s="187"/>
      <c r="Q243" s="9"/>
    </row>
    <row r="244" spans="1:17" s="13" customFormat="1" x14ac:dyDescent="0.25">
      <c r="A244" s="9"/>
      <c r="B244" s="20"/>
      <c r="C244" s="20"/>
      <c r="D244" s="184"/>
      <c r="E244" s="184"/>
      <c r="F244" s="184"/>
      <c r="G244" s="185"/>
      <c r="H244" s="185"/>
      <c r="I244" s="188"/>
      <c r="J244" s="9"/>
      <c r="K244" s="20"/>
      <c r="L244" s="20"/>
      <c r="M244" s="186"/>
      <c r="N244" s="186"/>
      <c r="O244" s="186"/>
      <c r="P244" s="187"/>
      <c r="Q244" s="9"/>
    </row>
    <row r="245" spans="1:17" s="13" customFormat="1" x14ac:dyDescent="0.25">
      <c r="A245" s="9"/>
      <c r="B245" s="20"/>
      <c r="C245" s="20"/>
      <c r="D245" s="184"/>
      <c r="E245" s="184"/>
      <c r="F245" s="184"/>
      <c r="G245" s="185"/>
      <c r="H245" s="185"/>
      <c r="I245" s="188"/>
      <c r="J245" s="9"/>
      <c r="K245" s="20"/>
      <c r="L245" s="20"/>
      <c r="M245" s="186"/>
      <c r="N245" s="186"/>
      <c r="O245" s="186"/>
      <c r="P245" s="187"/>
      <c r="Q245" s="9"/>
    </row>
    <row r="246" spans="1:17" s="13" customFormat="1" x14ac:dyDescent="0.25">
      <c r="A246" s="9"/>
      <c r="B246" s="20"/>
      <c r="C246" s="20"/>
      <c r="D246" s="184"/>
      <c r="E246" s="184"/>
      <c r="F246" s="184"/>
      <c r="G246" s="185"/>
      <c r="H246" s="185"/>
      <c r="I246" s="188"/>
      <c r="J246" s="9"/>
      <c r="K246" s="20"/>
      <c r="L246" s="20"/>
      <c r="M246" s="186"/>
      <c r="N246" s="186"/>
      <c r="O246" s="186"/>
      <c r="P246" s="187"/>
      <c r="Q246" s="9"/>
    </row>
    <row r="247" spans="1:17" s="13" customFormat="1" x14ac:dyDescent="0.25">
      <c r="A247" s="9"/>
      <c r="B247" s="20"/>
      <c r="C247" s="20"/>
      <c r="D247" s="184"/>
      <c r="E247" s="184"/>
      <c r="F247" s="184"/>
      <c r="G247" s="185"/>
      <c r="H247" s="185"/>
      <c r="I247" s="188"/>
      <c r="J247" s="9"/>
      <c r="K247" s="20"/>
      <c r="L247" s="20"/>
      <c r="M247" s="186"/>
      <c r="N247" s="186"/>
      <c r="O247" s="186"/>
      <c r="P247" s="187"/>
      <c r="Q247" s="9"/>
    </row>
    <row r="248" spans="1:17" s="13" customFormat="1" x14ac:dyDescent="0.25">
      <c r="A248" s="9"/>
      <c r="B248" s="20"/>
      <c r="C248" s="20"/>
      <c r="D248" s="184"/>
      <c r="E248" s="184"/>
      <c r="F248" s="184"/>
      <c r="G248" s="185"/>
      <c r="H248" s="185"/>
      <c r="I248" s="188"/>
      <c r="J248" s="9"/>
      <c r="K248" s="20"/>
      <c r="L248" s="20"/>
      <c r="M248" s="186"/>
      <c r="N248" s="186"/>
      <c r="O248" s="186"/>
      <c r="P248" s="187"/>
      <c r="Q248" s="9"/>
    </row>
    <row r="249" spans="1:17" s="13" customFormat="1" x14ac:dyDescent="0.25">
      <c r="A249" s="9"/>
      <c r="B249" s="20"/>
      <c r="C249" s="20"/>
      <c r="D249" s="184"/>
      <c r="E249" s="184"/>
      <c r="F249" s="184"/>
      <c r="G249" s="185"/>
      <c r="H249" s="185"/>
      <c r="I249" s="188"/>
      <c r="J249" s="9"/>
      <c r="K249" s="20"/>
      <c r="L249" s="20"/>
      <c r="M249" s="186"/>
      <c r="N249" s="186"/>
      <c r="O249" s="186"/>
      <c r="P249" s="187"/>
      <c r="Q249" s="9"/>
    </row>
    <row r="250" spans="1:17" s="13" customFormat="1" x14ac:dyDescent="0.25">
      <c r="A250" s="9"/>
      <c r="B250" s="20"/>
      <c r="C250" s="20"/>
      <c r="D250" s="184"/>
      <c r="E250" s="184"/>
      <c r="F250" s="184"/>
      <c r="G250" s="185"/>
      <c r="H250" s="185"/>
      <c r="I250" s="188"/>
      <c r="J250" s="9"/>
      <c r="K250" s="20"/>
      <c r="L250" s="20"/>
      <c r="M250" s="186"/>
      <c r="N250" s="186"/>
      <c r="O250" s="186"/>
      <c r="P250" s="187"/>
      <c r="Q250" s="9"/>
    </row>
    <row r="251" spans="1:17" s="13" customFormat="1" x14ac:dyDescent="0.25">
      <c r="A251" s="9"/>
      <c r="B251" s="20"/>
      <c r="C251" s="20"/>
      <c r="D251" s="184"/>
      <c r="E251" s="184"/>
      <c r="F251" s="184"/>
      <c r="G251" s="185"/>
      <c r="H251" s="185"/>
      <c r="I251" s="188"/>
      <c r="J251" s="9"/>
      <c r="K251" s="20"/>
      <c r="L251" s="20"/>
      <c r="M251" s="186"/>
      <c r="N251" s="186"/>
      <c r="O251" s="186"/>
      <c r="P251" s="187"/>
      <c r="Q251" s="9"/>
    </row>
    <row r="252" spans="1:17" s="13" customFormat="1" x14ac:dyDescent="0.25">
      <c r="A252" s="9"/>
      <c r="B252" s="20"/>
      <c r="C252" s="20"/>
      <c r="D252" s="184"/>
      <c r="E252" s="184"/>
      <c r="F252" s="184"/>
      <c r="G252" s="185"/>
      <c r="H252" s="185"/>
      <c r="I252" s="188"/>
      <c r="J252" s="9"/>
      <c r="K252" s="20"/>
      <c r="L252" s="20"/>
      <c r="M252" s="186"/>
      <c r="N252" s="186"/>
      <c r="O252" s="186"/>
      <c r="P252" s="187"/>
      <c r="Q252" s="9"/>
    </row>
    <row r="253" spans="1:17" s="13" customFormat="1" x14ac:dyDescent="0.25">
      <c r="A253" s="9"/>
      <c r="B253" s="20"/>
      <c r="C253" s="20"/>
      <c r="D253" s="184"/>
      <c r="E253" s="184"/>
      <c r="F253" s="184"/>
      <c r="G253" s="185"/>
      <c r="H253" s="185"/>
      <c r="I253" s="188"/>
      <c r="J253" s="9"/>
      <c r="K253" s="20"/>
      <c r="L253" s="20"/>
      <c r="M253" s="186"/>
      <c r="N253" s="186"/>
      <c r="O253" s="186"/>
      <c r="P253" s="187"/>
      <c r="Q253" s="9"/>
    </row>
    <row r="254" spans="1:17" s="13" customFormat="1" x14ac:dyDescent="0.25">
      <c r="A254" s="9"/>
      <c r="B254" s="20"/>
      <c r="C254" s="20"/>
      <c r="D254" s="184"/>
      <c r="E254" s="184"/>
      <c r="F254" s="184"/>
      <c r="G254" s="185"/>
      <c r="H254" s="185"/>
      <c r="I254" s="188"/>
      <c r="J254" s="9"/>
      <c r="K254" s="20"/>
      <c r="L254" s="20"/>
      <c r="M254" s="186"/>
      <c r="N254" s="186"/>
      <c r="O254" s="186"/>
      <c r="P254" s="187"/>
      <c r="Q254" s="9"/>
    </row>
    <row r="255" spans="1:17" s="13" customFormat="1" x14ac:dyDescent="0.25">
      <c r="A255" s="9"/>
      <c r="B255" s="20"/>
      <c r="C255" s="20"/>
      <c r="D255" s="184"/>
      <c r="E255" s="184"/>
      <c r="F255" s="184"/>
      <c r="G255" s="185"/>
      <c r="H255" s="185"/>
      <c r="I255" s="188"/>
      <c r="J255" s="9"/>
      <c r="K255" s="20"/>
      <c r="L255" s="20"/>
      <c r="M255" s="186"/>
      <c r="N255" s="186"/>
      <c r="O255" s="186"/>
      <c r="P255" s="187"/>
      <c r="Q255" s="9"/>
    </row>
    <row r="256" spans="1:17" s="13" customFormat="1" x14ac:dyDescent="0.25">
      <c r="A256" s="9"/>
      <c r="B256" s="20"/>
      <c r="C256" s="20"/>
      <c r="D256" s="184"/>
      <c r="E256" s="184"/>
      <c r="F256" s="184"/>
      <c r="G256" s="185"/>
      <c r="H256" s="185"/>
      <c r="I256" s="188"/>
      <c r="J256" s="9"/>
      <c r="K256" s="20"/>
      <c r="L256" s="20"/>
      <c r="M256" s="186"/>
      <c r="N256" s="186"/>
      <c r="O256" s="186"/>
      <c r="P256" s="187"/>
      <c r="Q256" s="9"/>
    </row>
    <row r="257" spans="1:17" s="13" customFormat="1" x14ac:dyDescent="0.25">
      <c r="A257" s="9"/>
      <c r="B257" s="20"/>
      <c r="C257" s="20"/>
      <c r="D257" s="184"/>
      <c r="E257" s="184"/>
      <c r="F257" s="184"/>
      <c r="G257" s="185"/>
      <c r="H257" s="185"/>
      <c r="I257" s="188"/>
      <c r="J257" s="9"/>
      <c r="K257" s="20"/>
      <c r="L257" s="20"/>
      <c r="M257" s="186"/>
      <c r="N257" s="186"/>
      <c r="O257" s="186"/>
      <c r="P257" s="187"/>
      <c r="Q257" s="9"/>
    </row>
    <row r="258" spans="1:17" s="13" customFormat="1" x14ac:dyDescent="0.25">
      <c r="A258" s="9"/>
      <c r="B258" s="20"/>
      <c r="C258" s="20"/>
      <c r="D258" s="184"/>
      <c r="E258" s="184"/>
      <c r="F258" s="184"/>
      <c r="G258" s="185"/>
      <c r="H258" s="185"/>
      <c r="I258" s="188"/>
      <c r="J258" s="9"/>
      <c r="K258" s="20"/>
      <c r="L258" s="20"/>
      <c r="M258" s="186"/>
      <c r="N258" s="186"/>
      <c r="O258" s="186"/>
      <c r="P258" s="187"/>
      <c r="Q258" s="9"/>
    </row>
    <row r="259" spans="1:17" s="13" customFormat="1" x14ac:dyDescent="0.25">
      <c r="A259" s="9"/>
      <c r="B259" s="20"/>
      <c r="C259" s="20"/>
      <c r="D259" s="184"/>
      <c r="E259" s="184"/>
      <c r="F259" s="184"/>
      <c r="G259" s="185"/>
      <c r="H259" s="185"/>
      <c r="I259" s="188"/>
      <c r="J259" s="9"/>
      <c r="K259" s="20"/>
      <c r="L259" s="20"/>
      <c r="M259" s="186"/>
      <c r="N259" s="186"/>
      <c r="O259" s="186"/>
      <c r="P259" s="187"/>
      <c r="Q259" s="9"/>
    </row>
    <row r="260" spans="1:17" s="13" customFormat="1" x14ac:dyDescent="0.25">
      <c r="A260" s="9"/>
      <c r="B260" s="20"/>
      <c r="C260" s="20"/>
      <c r="D260" s="184"/>
      <c r="E260" s="184"/>
      <c r="F260" s="184"/>
      <c r="G260" s="185"/>
      <c r="H260" s="185"/>
      <c r="I260" s="188"/>
      <c r="J260" s="9"/>
      <c r="K260" s="20"/>
      <c r="L260" s="20"/>
      <c r="M260" s="186"/>
      <c r="N260" s="186"/>
      <c r="O260" s="186"/>
      <c r="P260" s="187"/>
      <c r="Q260" s="9"/>
    </row>
    <row r="261" spans="1:17" s="13" customFormat="1" x14ac:dyDescent="0.25">
      <c r="A261" s="9"/>
      <c r="B261" s="20"/>
      <c r="C261" s="20"/>
      <c r="D261" s="184"/>
      <c r="E261" s="184"/>
      <c r="F261" s="184"/>
      <c r="G261" s="185"/>
      <c r="H261" s="185"/>
      <c r="I261" s="188"/>
      <c r="J261" s="9"/>
      <c r="K261" s="20"/>
      <c r="L261" s="20"/>
      <c r="M261" s="186"/>
      <c r="N261" s="186"/>
      <c r="O261" s="186"/>
      <c r="P261" s="187"/>
      <c r="Q261" s="9"/>
    </row>
    <row r="262" spans="1:17" s="13" customFormat="1" x14ac:dyDescent="0.25">
      <c r="A262" s="9"/>
      <c r="B262" s="20"/>
      <c r="C262" s="20"/>
      <c r="D262" s="184"/>
      <c r="E262" s="184"/>
      <c r="F262" s="184"/>
      <c r="G262" s="185"/>
      <c r="H262" s="185"/>
      <c r="I262" s="188"/>
      <c r="J262" s="9"/>
      <c r="K262" s="20"/>
      <c r="L262" s="20"/>
      <c r="M262" s="186"/>
      <c r="N262" s="186"/>
      <c r="O262" s="186"/>
      <c r="P262" s="187"/>
      <c r="Q262" s="9"/>
    </row>
    <row r="263" spans="1:17" s="13" customFormat="1" x14ac:dyDescent="0.25">
      <c r="A263" s="9"/>
      <c r="B263" s="20"/>
      <c r="C263" s="20"/>
      <c r="D263" s="184"/>
      <c r="E263" s="184"/>
      <c r="F263" s="184"/>
      <c r="G263" s="185"/>
      <c r="H263" s="185"/>
      <c r="I263" s="188"/>
      <c r="J263" s="9"/>
      <c r="K263" s="20"/>
      <c r="L263" s="20"/>
      <c r="M263" s="186"/>
      <c r="N263" s="186"/>
      <c r="O263" s="186"/>
      <c r="P263" s="187"/>
      <c r="Q263" s="9"/>
    </row>
    <row r="264" spans="1:17" s="13" customFormat="1" x14ac:dyDescent="0.25">
      <c r="A264" s="9"/>
      <c r="B264" s="20"/>
      <c r="C264" s="20"/>
      <c r="D264" s="184"/>
      <c r="E264" s="184"/>
      <c r="F264" s="184"/>
      <c r="G264" s="185"/>
      <c r="H264" s="185"/>
      <c r="I264" s="188"/>
      <c r="J264" s="9"/>
      <c r="K264" s="20"/>
      <c r="L264" s="20"/>
      <c r="M264" s="186"/>
      <c r="N264" s="186"/>
      <c r="O264" s="186"/>
      <c r="P264" s="187"/>
      <c r="Q264" s="9"/>
    </row>
    <row r="265" spans="1:17" s="13" customFormat="1" x14ac:dyDescent="0.25">
      <c r="A265" s="9"/>
      <c r="B265" s="20"/>
      <c r="C265" s="20"/>
      <c r="D265" s="184"/>
      <c r="E265" s="184"/>
      <c r="F265" s="184"/>
      <c r="G265" s="185"/>
      <c r="H265" s="185"/>
      <c r="I265" s="188"/>
      <c r="J265" s="9"/>
      <c r="K265" s="20"/>
      <c r="L265" s="20"/>
      <c r="M265" s="186"/>
      <c r="N265" s="186"/>
      <c r="O265" s="186"/>
      <c r="P265" s="187"/>
      <c r="Q265" s="9"/>
    </row>
    <row r="266" spans="1:17" s="13" customFormat="1" x14ac:dyDescent="0.25">
      <c r="A266" s="9"/>
      <c r="B266" s="20"/>
      <c r="C266" s="20"/>
      <c r="D266" s="184"/>
      <c r="E266" s="184"/>
      <c r="F266" s="184"/>
      <c r="G266" s="185"/>
      <c r="H266" s="185"/>
      <c r="I266" s="188"/>
      <c r="J266" s="9"/>
      <c r="K266" s="20"/>
      <c r="L266" s="20"/>
      <c r="M266" s="186"/>
      <c r="N266" s="186"/>
      <c r="O266" s="186"/>
      <c r="P266" s="187"/>
      <c r="Q266" s="9"/>
    </row>
    <row r="267" spans="1:17" s="13" customFormat="1" x14ac:dyDescent="0.25">
      <c r="A267" s="9"/>
      <c r="B267" s="20"/>
      <c r="C267" s="20"/>
      <c r="D267" s="184"/>
      <c r="E267" s="184"/>
      <c r="F267" s="184"/>
      <c r="G267" s="185"/>
      <c r="H267" s="185"/>
      <c r="I267" s="188"/>
      <c r="J267" s="9"/>
      <c r="K267" s="20"/>
      <c r="L267" s="20"/>
      <c r="M267" s="186"/>
      <c r="N267" s="186"/>
      <c r="O267" s="186"/>
      <c r="P267" s="187"/>
      <c r="Q267" s="9"/>
    </row>
    <row r="268" spans="1:17" s="13" customFormat="1" x14ac:dyDescent="0.25">
      <c r="A268" s="9"/>
      <c r="B268" s="20"/>
      <c r="C268" s="20"/>
      <c r="D268" s="184"/>
      <c r="E268" s="184"/>
      <c r="F268" s="184"/>
      <c r="G268" s="184"/>
      <c r="H268" s="184"/>
      <c r="I268" s="188"/>
      <c r="J268" s="9"/>
      <c r="K268" s="20"/>
      <c r="L268" s="20"/>
      <c r="M268" s="186"/>
      <c r="N268" s="186"/>
      <c r="O268" s="186"/>
      <c r="P268" s="187"/>
      <c r="Q268" s="9"/>
    </row>
    <row r="269" spans="1:17" s="13" customFormat="1" x14ac:dyDescent="0.25">
      <c r="A269" s="9"/>
      <c r="B269" s="20"/>
      <c r="C269" s="20"/>
      <c r="D269" s="184"/>
      <c r="E269" s="184"/>
      <c r="F269" s="184"/>
      <c r="G269" s="184"/>
      <c r="H269" s="184"/>
      <c r="I269" s="83"/>
      <c r="J269" s="9"/>
      <c r="K269" s="20"/>
      <c r="L269" s="20"/>
      <c r="M269" s="186"/>
      <c r="N269" s="186"/>
      <c r="O269" s="186"/>
      <c r="P269" s="187"/>
      <c r="Q269" s="9"/>
    </row>
    <row r="270" spans="1:17" s="13" customFormat="1" x14ac:dyDescent="0.25">
      <c r="A270" s="9"/>
      <c r="B270" s="20"/>
      <c r="C270" s="20"/>
      <c r="D270" s="184"/>
      <c r="E270" s="184"/>
      <c r="F270" s="184"/>
      <c r="G270" s="184"/>
      <c r="H270" s="184"/>
      <c r="I270" s="83"/>
      <c r="J270" s="9"/>
      <c r="K270" s="20"/>
      <c r="L270" s="20"/>
      <c r="M270" s="186"/>
      <c r="N270" s="186"/>
      <c r="O270" s="186"/>
      <c r="P270" s="187"/>
      <c r="Q270" s="9"/>
    </row>
    <row r="271" spans="1:17" s="13" customFormat="1" x14ac:dyDescent="0.25">
      <c r="A271" s="9"/>
      <c r="B271" s="20"/>
      <c r="C271" s="20"/>
      <c r="D271" s="184"/>
      <c r="E271" s="184"/>
      <c r="F271" s="184"/>
      <c r="G271" s="184"/>
      <c r="H271" s="184"/>
      <c r="I271" s="83"/>
      <c r="J271" s="9"/>
      <c r="K271" s="20"/>
      <c r="L271" s="20"/>
      <c r="M271" s="186"/>
      <c r="N271" s="186"/>
      <c r="O271" s="186"/>
      <c r="P271" s="187"/>
      <c r="Q271" s="9"/>
    </row>
  </sheetData>
  <sortState ref="I2:P267">
    <sortCondition ref="N2:N267"/>
  </sortState>
  <mergeCells count="15">
    <mergeCell ref="A1:H1"/>
    <mergeCell ref="J1:Q1"/>
    <mergeCell ref="A3:H3"/>
    <mergeCell ref="J3:Q3"/>
    <mergeCell ref="A96:H97"/>
    <mergeCell ref="J51:Q52"/>
    <mergeCell ref="J120:Q121"/>
    <mergeCell ref="N158:O159"/>
    <mergeCell ref="P154:Q157"/>
    <mergeCell ref="J153:Q153"/>
    <mergeCell ref="N156:O157"/>
    <mergeCell ref="A143:H144"/>
    <mergeCell ref="E153:H153"/>
    <mergeCell ref="A153:D153"/>
    <mergeCell ref="N154:O155"/>
  </mergeCells>
  <conditionalFormatting sqref="F4:F95 F98:F142 F145:F152 O4:O50 O53:O119 O122:O152">
    <cfRule type="colorScale" priority="9">
      <colorScale>
        <cfvo type="num" val="7.3000000000000001E-3"/>
        <cfvo type="num" val="7.3000000000000001E-3"/>
        <color theme="5"/>
        <color rgb="FF00B050"/>
      </colorScale>
    </cfRule>
  </conditionalFormatting>
  <conditionalFormatting sqref="I144:I150 I152 G142 G145:H146 G148:H150 G147 G151:G152 P4:P50 P53:P119 G4:H95 G98:H141 Q151:Q152 P122:P152 I19:I142 I4:I17">
    <cfRule type="colorScale" priority="8">
      <colorScale>
        <cfvo type="num" val="80"/>
        <cfvo type="num" val="80"/>
        <color theme="5"/>
        <color rgb="FF00B050"/>
      </colorScale>
    </cfRule>
  </conditionalFormatting>
  <conditionalFormatting sqref="Q122:Q132 Q134:Q135">
    <cfRule type="colorScale" priority="4">
      <colorScale>
        <cfvo type="num" val="25"/>
        <cfvo type="num" val="25.1"/>
        <color theme="5"/>
        <color rgb="FF00B050"/>
      </colorScale>
    </cfRule>
  </conditionalFormatting>
  <conditionalFormatting sqref="Q137:Q139">
    <cfRule type="colorScale" priority="3">
      <colorScale>
        <cfvo type="num" val="25"/>
        <cfvo type="num" val="25.1"/>
        <color theme="5"/>
        <color rgb="FF00B050"/>
      </colorScale>
    </cfRule>
  </conditionalFormatting>
  <conditionalFormatting sqref="Q141:Q149">
    <cfRule type="colorScale" priority="2">
      <colorScale>
        <cfvo type="num" val="25"/>
        <cfvo type="num" val="25.1"/>
        <color theme="5"/>
        <color rgb="FF00B050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>
  <element uid="9920fcc9-9f43-4d43-9e3e-b98a219cfd55" value=""/>
</sisl>
</file>

<file path=customXml/itemProps1.xml><?xml version="1.0" encoding="utf-8"?>
<ds:datastoreItem xmlns:ds="http://schemas.openxmlformats.org/officeDocument/2006/customXml" ds:itemID="{D0619832-ABE1-4FC3-A749-2A342F0F431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 S1. Fragment additives data</vt:lpstr>
      <vt:lpstr>Tab S2. Whole molecule  data</vt:lpstr>
      <vt:lpstr>Tab S3. Whole molecule binary </vt:lpstr>
      <vt:lpstr>Tab S4. Scale-up Experiments</vt:lpstr>
      <vt:lpstr>Tab S5. Cross-over Experiments</vt:lpstr>
    </vt:vector>
  </TitlesOfParts>
  <Company>Merck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Dreher, Spencer Douglas</dc:creator>
  <cp:lastModifiedBy>Dreher, Spencer Douglas</cp:lastModifiedBy>
  <cp:lastPrinted>2018-03-27T15:33:41Z</cp:lastPrinted>
  <dcterms:created xsi:type="dcterms:W3CDTF">2017-09-18T10:13:47Z</dcterms:created>
  <dcterms:modified xsi:type="dcterms:W3CDTF">2018-05-11T16:11:40Z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81e3fb14-f1e7-4d89-b649-891ac3ea9efe</vt:lpwstr>
  </property>
  <property fmtid="{D5CDD505-2E9C-101B-9397-08002B2CF9AE}" pid="3" name="bjSaver">
    <vt:lpwstr>KsSQEvdhyeVzxGUnxotULyornRhISIxR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</Properties>
</file>