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16"/>
  <workbookPr/>
  <xr:revisionPtr revIDLastSave="0" documentId="8_{30C5C566-7AD9-4B9A-98DE-3D754E9DE45C}" xr6:coauthVersionLast="47" xr6:coauthVersionMax="47" xr10:uidLastSave="{00000000-0000-0000-0000-000000000000}"/>
  <bookViews>
    <workbookView xWindow="240" yWindow="105" windowWidth="14805" windowHeight="8010" firstSheet="7" activeTab="7" xr2:uid="{00000000-000D-0000-FFFF-FFFF00000000}"/>
  </bookViews>
  <sheets>
    <sheet name="Sheet1" sheetId="1" r:id="rId1"/>
    <sheet name="Sheet2" sheetId="2" r:id="rId2"/>
    <sheet name="Declining Rate" sheetId="3" r:id="rId3"/>
    <sheet name="Sheet3" sheetId="5" r:id="rId4"/>
    <sheet name="Fixed Rate" sheetId="4" r:id="rId5"/>
    <sheet name="190 x75%" sheetId="9" r:id="rId6"/>
    <sheet name="190" sheetId="8" r:id="rId7"/>
    <sheet name="Sheet4" sheetId="10" r:id="rId8"/>
    <sheet name="190 + 140" sheetId="6" r:id="rId9"/>
    <sheet name="7.20" sheetId="7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10" l="1"/>
  <c r="O30" i="10"/>
  <c r="O29" i="10"/>
  <c r="P28" i="10"/>
  <c r="O28" i="10"/>
  <c r="O19" i="10"/>
  <c r="O18" i="10"/>
  <c r="P17" i="10"/>
  <c r="O17" i="10"/>
  <c r="L17" i="10"/>
  <c r="K24" i="10"/>
  <c r="K23" i="10"/>
  <c r="L18" i="10"/>
  <c r="K18" i="10"/>
  <c r="K17" i="10"/>
  <c r="K22" i="10"/>
  <c r="J19" i="10"/>
  <c r="J18" i="10"/>
  <c r="J17" i="10"/>
  <c r="J22" i="10"/>
  <c r="K1" i="10"/>
  <c r="K28" i="10"/>
  <c r="K27" i="10"/>
  <c r="K26" i="10"/>
  <c r="K31" i="10" s="1"/>
  <c r="K5" i="10"/>
  <c r="K4" i="10"/>
  <c r="J1" i="10"/>
  <c r="J28" i="10"/>
  <c r="J27" i="10"/>
  <c r="J26" i="10"/>
  <c r="J31" i="10" s="1"/>
  <c r="J5" i="10"/>
  <c r="J4" i="10"/>
  <c r="E29" i="10"/>
  <c r="D29" i="10"/>
  <c r="C29" i="10"/>
  <c r="G28" i="10"/>
  <c r="F28" i="10"/>
  <c r="D28" i="10"/>
  <c r="C28" i="10"/>
  <c r="B28" i="10"/>
  <c r="F27" i="10"/>
  <c r="F26" i="10"/>
  <c r="F31" i="10" s="1"/>
  <c r="E26" i="10"/>
  <c r="E31" i="10" s="1"/>
  <c r="D26" i="10"/>
  <c r="D31" i="10" s="1"/>
  <c r="C26" i="10"/>
  <c r="C31" i="10" s="1"/>
  <c r="B26" i="10"/>
  <c r="B31" i="10" s="1"/>
  <c r="C20" i="10"/>
  <c r="F18" i="10"/>
  <c r="E20" i="10"/>
  <c r="D20" i="10" s="1"/>
  <c r="F17" i="10"/>
  <c r="E17" i="10" s="1"/>
  <c r="G19" i="10"/>
  <c r="C13" i="10"/>
  <c r="D13" i="10"/>
  <c r="D1" i="10"/>
  <c r="D12" i="10" s="1"/>
  <c r="D14" i="10" s="1"/>
  <c r="D10" i="10"/>
  <c r="D4" i="10"/>
  <c r="D3" i="10"/>
  <c r="F4" i="10"/>
  <c r="E4" i="10"/>
  <c r="C4" i="10"/>
  <c r="B4" i="10"/>
  <c r="F1" i="10"/>
  <c r="F10" i="10"/>
  <c r="E10" i="10"/>
  <c r="E3" i="10"/>
  <c r="C1" i="10"/>
  <c r="C12" i="10" s="1"/>
  <c r="C10" i="10"/>
  <c r="C3" i="10"/>
  <c r="B10" i="10"/>
  <c r="B3" i="10"/>
  <c r="B5" i="10"/>
  <c r="B1" i="10"/>
  <c r="B12" i="10" s="1"/>
  <c r="D4" i="7"/>
  <c r="D4" i="6"/>
  <c r="D4" i="9"/>
  <c r="D4" i="8"/>
  <c r="B1" i="9"/>
  <c r="B4" i="9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3" i="9"/>
  <c r="D2" i="9"/>
  <c r="D1" i="9"/>
  <c r="C7" i="9"/>
  <c r="B1" i="8"/>
  <c r="B4" i="8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3" i="8"/>
  <c r="D2" i="8"/>
  <c r="D1" i="8"/>
  <c r="C7" i="8"/>
  <c r="B4" i="7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D2" i="7"/>
  <c r="D1" i="7"/>
  <c r="B1" i="7"/>
  <c r="C7" i="7" s="1"/>
  <c r="B3" i="6"/>
  <c r="E7" i="6" s="1"/>
  <c r="B1" i="6"/>
  <c r="E8" i="6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B4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D2" i="6"/>
  <c r="D1" i="6"/>
  <c r="C7" i="6"/>
  <c r="H13" i="5"/>
  <c r="K22" i="5"/>
  <c r="K13" i="5"/>
  <c r="K3" i="5"/>
  <c r="E13" i="5"/>
  <c r="H25" i="5"/>
  <c r="H3" i="5"/>
  <c r="E3" i="5"/>
  <c r="B3" i="5"/>
  <c r="B7" i="5" s="1"/>
  <c r="E18" i="4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B1" i="4"/>
  <c r="E8" i="4"/>
  <c r="E9" i="4" s="1"/>
  <c r="E10" i="4" s="1"/>
  <c r="E11" i="4" s="1"/>
  <c r="E12" i="4" s="1"/>
  <c r="E13" i="4" s="1"/>
  <c r="E14" i="4" s="1"/>
  <c r="E15" i="4" s="1"/>
  <c r="E16" i="4" s="1"/>
  <c r="E17" i="4" s="1"/>
  <c r="B4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D2" i="4"/>
  <c r="B2" i="4"/>
  <c r="D1" i="4"/>
  <c r="C7" i="4"/>
  <c r="G2" i="3"/>
  <c r="G1" i="3"/>
  <c r="B1" i="3"/>
  <c r="E55" i="3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43" i="3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8" i="3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C7" i="3"/>
  <c r="B4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D2" i="3"/>
  <c r="B2" i="3"/>
  <c r="D1" i="3"/>
  <c r="D3" i="3" s="1"/>
  <c r="I90" i="2"/>
  <c r="I79" i="2"/>
  <c r="D79" i="2"/>
  <c r="B7" i="2"/>
  <c r="B4" i="2"/>
  <c r="D3" i="2"/>
  <c r="M4" i="1"/>
  <c r="I5" i="1"/>
  <c r="M5" i="1"/>
  <c r="L5" i="1"/>
  <c r="J4" i="1"/>
  <c r="J5" i="1" s="1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E55" i="2"/>
  <c r="E43" i="2"/>
  <c r="D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D56" i="2"/>
  <c r="E56" i="2"/>
  <c r="D42" i="2"/>
  <c r="E42" i="2"/>
  <c r="E31" i="2"/>
  <c r="D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F7" i="2"/>
  <c r="E9" i="2"/>
  <c r="E10" i="2"/>
  <c r="E11" i="2"/>
  <c r="E12" i="2"/>
  <c r="E13" i="2"/>
  <c r="E14" i="2"/>
  <c r="E15" i="2"/>
  <c r="E16" i="2"/>
  <c r="E17" i="2"/>
  <c r="E8" i="2"/>
  <c r="C7" i="2"/>
  <c r="D2" i="2"/>
  <c r="B2" i="2"/>
  <c r="D1" i="2" s="1"/>
  <c r="B8" i="2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L6" i="1"/>
  <c r="M6" i="1"/>
  <c r="J6" i="1"/>
  <c r="I6" i="1"/>
  <c r="L10" i="1"/>
  <c r="M3" i="1"/>
  <c r="J3" i="1"/>
  <c r="J10" i="1"/>
  <c r="B3" i="1"/>
  <c r="O33" i="10" l="1"/>
  <c r="Q28" i="10"/>
  <c r="P29" i="10"/>
  <c r="P33" i="10" s="1"/>
  <c r="Q29" i="10"/>
  <c r="O22" i="10"/>
  <c r="Q17" i="10"/>
  <c r="P18" i="10"/>
  <c r="P22" i="10" s="1"/>
  <c r="Q18" i="10"/>
  <c r="K6" i="10"/>
  <c r="J6" i="10"/>
  <c r="F19" i="10"/>
  <c r="D19" i="10" s="1"/>
  <c r="C19" i="10"/>
  <c r="B19" i="10" s="1"/>
  <c r="E22" i="10"/>
  <c r="D17" i="10"/>
  <c r="C17" i="10" s="1"/>
  <c r="B17" i="10" s="1"/>
  <c r="B22" i="10" s="1"/>
  <c r="C22" i="10"/>
  <c r="D22" i="10"/>
  <c r="F22" i="10"/>
  <c r="C14" i="10"/>
  <c r="D6" i="10"/>
  <c r="D5" i="10"/>
  <c r="F6" i="10"/>
  <c r="F8" i="10" s="1"/>
  <c r="F5" i="10"/>
  <c r="E6" i="10"/>
  <c r="E8" i="10" s="1"/>
  <c r="E5" i="10"/>
  <c r="C6" i="10"/>
  <c r="C8" i="10" s="1"/>
  <c r="C5" i="10"/>
  <c r="B6" i="10"/>
  <c r="B8" i="10" s="1"/>
  <c r="E7" i="9"/>
  <c r="D3" i="9"/>
  <c r="E7" i="8"/>
  <c r="D3" i="8"/>
  <c r="E7" i="7"/>
  <c r="D3" i="7"/>
  <c r="F7" i="6"/>
  <c r="D3" i="6"/>
  <c r="D7" i="6" s="1"/>
  <c r="K25" i="5"/>
  <c r="K27" i="5" s="1"/>
  <c r="K28" i="5" s="1"/>
  <c r="K7" i="5"/>
  <c r="K4" i="5"/>
  <c r="H7" i="5"/>
  <c r="H4" i="5"/>
  <c r="H12" i="5" s="1"/>
  <c r="E7" i="5"/>
  <c r="E4" i="5"/>
  <c r="B4" i="5"/>
  <c r="F7" i="4"/>
  <c r="D3" i="4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F7" i="3"/>
  <c r="N6" i="1"/>
  <c r="D9" i="2"/>
  <c r="D10" i="2"/>
  <c r="D11" i="2"/>
  <c r="D12" i="2"/>
  <c r="D13" i="2"/>
  <c r="D14" i="2"/>
  <c r="D15" i="2"/>
  <c r="D16" i="2"/>
  <c r="D17" i="2"/>
  <c r="D18" i="2"/>
  <c r="M10" i="1"/>
  <c r="N10" i="1" s="1"/>
  <c r="D8" i="2"/>
  <c r="D7" i="2"/>
  <c r="M12" i="1"/>
  <c r="M11" i="1"/>
  <c r="L12" i="1"/>
  <c r="L11" i="1"/>
  <c r="J12" i="1"/>
  <c r="J11" i="1"/>
  <c r="I10" i="1"/>
  <c r="P34" i="10" l="1"/>
  <c r="P35" i="10" s="1"/>
  <c r="P23" i="10"/>
  <c r="P24" i="10" s="1"/>
  <c r="K8" i="10"/>
  <c r="K9" i="10" s="1"/>
  <c r="K7" i="10"/>
  <c r="J8" i="10"/>
  <c r="J9" i="10" s="1"/>
  <c r="J7" i="10"/>
  <c r="D8" i="10"/>
  <c r="D9" i="10" s="1"/>
  <c r="D7" i="10"/>
  <c r="B7" i="10"/>
  <c r="B9" i="10"/>
  <c r="H6" i="10"/>
  <c r="H7" i="10" s="1"/>
  <c r="F9" i="10"/>
  <c r="F7" i="10"/>
  <c r="E9" i="10"/>
  <c r="E7" i="10"/>
  <c r="C9" i="10"/>
  <c r="C7" i="10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E8" i="9"/>
  <c r="E9" i="9" s="1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E40" i="9" s="1"/>
  <c r="E41" i="9" s="1"/>
  <c r="E42" i="9" s="1"/>
  <c r="F7" i="9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E8" i="8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F7" i="8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E8" i="7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F7" i="7"/>
  <c r="N7" i="6"/>
  <c r="K7" i="6"/>
  <c r="M7" i="6"/>
  <c r="J7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K12" i="5"/>
  <c r="K16" i="5" s="1"/>
  <c r="K6" i="5"/>
  <c r="H16" i="5"/>
  <c r="H27" i="5" s="1"/>
  <c r="H28" i="5" s="1"/>
  <c r="H6" i="5"/>
  <c r="B6" i="5"/>
  <c r="B12" i="5"/>
  <c r="B16" i="5" s="1"/>
  <c r="E6" i="5"/>
  <c r="E12" i="5"/>
  <c r="E16" i="5" s="1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G7" i="4" s="1"/>
  <c r="I7" i="4" s="1"/>
  <c r="C8" i="4" s="1"/>
  <c r="H7" i="4"/>
  <c r="G7" i="3"/>
  <c r="N11" i="1"/>
  <c r="N12" i="1"/>
  <c r="G7" i="2"/>
  <c r="L14" i="1"/>
  <c r="L15" i="1" s="1"/>
  <c r="L13" i="1"/>
  <c r="M14" i="1"/>
  <c r="M13" i="1"/>
  <c r="N13" i="1" s="1"/>
  <c r="I12" i="1"/>
  <c r="I11" i="1"/>
  <c r="J14" i="1"/>
  <c r="J15" i="1" s="1"/>
  <c r="J13" i="1"/>
  <c r="M7" i="9" l="1"/>
  <c r="J7" i="9"/>
  <c r="N7" i="9"/>
  <c r="K7" i="9"/>
  <c r="G7" i="9"/>
  <c r="M7" i="8"/>
  <c r="J7" i="8"/>
  <c r="N7" i="8"/>
  <c r="K7" i="8"/>
  <c r="G7" i="8"/>
  <c r="M7" i="7"/>
  <c r="J7" i="7"/>
  <c r="N7" i="7"/>
  <c r="K7" i="7"/>
  <c r="G7" i="7"/>
  <c r="E8" i="5"/>
  <c r="E19" i="5"/>
  <c r="H8" i="5"/>
  <c r="H19" i="5"/>
  <c r="K19" i="5"/>
  <c r="K8" i="5"/>
  <c r="B8" i="5"/>
  <c r="B19" i="5"/>
  <c r="F8" i="4"/>
  <c r="G8" i="4"/>
  <c r="I8" i="4" s="1"/>
  <c r="C9" i="4" s="1"/>
  <c r="I7" i="3"/>
  <c r="C8" i="3" s="1"/>
  <c r="H7" i="3"/>
  <c r="M15" i="1"/>
  <c r="N14" i="1"/>
  <c r="N15" i="1" s="1"/>
  <c r="I7" i="2"/>
  <c r="C8" i="2" s="1"/>
  <c r="F8" i="2" s="1"/>
  <c r="H7" i="2"/>
  <c r="I14" i="1"/>
  <c r="I15" i="1" s="1"/>
  <c r="I13" i="1"/>
  <c r="I7" i="9" l="1"/>
  <c r="C8" i="9" s="1"/>
  <c r="H7" i="9"/>
  <c r="I7" i="8"/>
  <c r="C8" i="8" s="1"/>
  <c r="H7" i="8"/>
  <c r="I7" i="7"/>
  <c r="C8" i="7" s="1"/>
  <c r="H7" i="7"/>
  <c r="F9" i="4"/>
  <c r="H8" i="4"/>
  <c r="F8" i="3"/>
  <c r="G8" i="2"/>
  <c r="I8" i="2" s="1"/>
  <c r="C9" i="2" s="1"/>
  <c r="F9" i="2" s="1"/>
  <c r="H8" i="2"/>
  <c r="F8" i="9" l="1"/>
  <c r="F8" i="8"/>
  <c r="F8" i="7"/>
  <c r="G9" i="4"/>
  <c r="G8" i="3"/>
  <c r="G9" i="2"/>
  <c r="M8" i="9" l="1"/>
  <c r="J8" i="9"/>
  <c r="G8" i="9"/>
  <c r="M8" i="8"/>
  <c r="J8" i="8"/>
  <c r="G8" i="8"/>
  <c r="M8" i="7"/>
  <c r="J8" i="7"/>
  <c r="G8" i="7"/>
  <c r="I9" i="4"/>
  <c r="C10" i="4" s="1"/>
  <c r="H9" i="4"/>
  <c r="I8" i="3"/>
  <c r="C9" i="3" s="1"/>
  <c r="H8" i="3"/>
  <c r="I9" i="2"/>
  <c r="C10" i="2" s="1"/>
  <c r="F10" i="2" s="1"/>
  <c r="H9" i="2"/>
  <c r="I8" i="9" l="1"/>
  <c r="C9" i="9" s="1"/>
  <c r="H8" i="9"/>
  <c r="K8" i="9"/>
  <c r="N8" i="9"/>
  <c r="I8" i="8"/>
  <c r="C9" i="8" s="1"/>
  <c r="H8" i="8"/>
  <c r="K8" i="8"/>
  <c r="N8" i="8"/>
  <c r="I8" i="7"/>
  <c r="C9" i="7" s="1"/>
  <c r="H8" i="7"/>
  <c r="K8" i="7"/>
  <c r="N8" i="7"/>
  <c r="F10" i="4"/>
  <c r="F9" i="3"/>
  <c r="G10" i="2"/>
  <c r="F9" i="9" l="1"/>
  <c r="F9" i="8"/>
  <c r="F9" i="7"/>
  <c r="G10" i="4"/>
  <c r="G9" i="3"/>
  <c r="I10" i="2"/>
  <c r="C11" i="2" s="1"/>
  <c r="F11" i="2" s="1"/>
  <c r="H10" i="2"/>
  <c r="M9" i="9" l="1"/>
  <c r="J9" i="9"/>
  <c r="G9" i="9"/>
  <c r="M9" i="8"/>
  <c r="J9" i="8"/>
  <c r="G9" i="8"/>
  <c r="M9" i="7"/>
  <c r="J9" i="7"/>
  <c r="G9" i="7"/>
  <c r="I10" i="4"/>
  <c r="C11" i="4" s="1"/>
  <c r="H10" i="4"/>
  <c r="I9" i="3"/>
  <c r="C10" i="3" s="1"/>
  <c r="H9" i="3"/>
  <c r="G11" i="2"/>
  <c r="I9" i="9" l="1"/>
  <c r="C10" i="9" s="1"/>
  <c r="H9" i="9"/>
  <c r="K9" i="9"/>
  <c r="N9" i="9"/>
  <c r="I9" i="8"/>
  <c r="C10" i="8" s="1"/>
  <c r="H9" i="8"/>
  <c r="K9" i="8"/>
  <c r="N9" i="8"/>
  <c r="I9" i="7"/>
  <c r="C10" i="7" s="1"/>
  <c r="H9" i="7"/>
  <c r="K9" i="7"/>
  <c r="N9" i="7"/>
  <c r="F11" i="4"/>
  <c r="F10" i="3"/>
  <c r="I11" i="2"/>
  <c r="C12" i="2" s="1"/>
  <c r="F12" i="2" s="1"/>
  <c r="H11" i="2"/>
  <c r="F10" i="9" l="1"/>
  <c r="F10" i="8"/>
  <c r="F10" i="7"/>
  <c r="G11" i="4"/>
  <c r="G10" i="3"/>
  <c r="G12" i="2"/>
  <c r="M10" i="9" l="1"/>
  <c r="J10" i="9"/>
  <c r="G10" i="9"/>
  <c r="M10" i="8"/>
  <c r="J10" i="8"/>
  <c r="G10" i="8"/>
  <c r="M10" i="7"/>
  <c r="J10" i="7"/>
  <c r="G10" i="7"/>
  <c r="I11" i="4"/>
  <c r="C12" i="4" s="1"/>
  <c r="H11" i="4"/>
  <c r="I10" i="3"/>
  <c r="C11" i="3" s="1"/>
  <c r="H10" i="3"/>
  <c r="I12" i="2"/>
  <c r="C13" i="2" s="1"/>
  <c r="F13" i="2" s="1"/>
  <c r="H12" i="2"/>
  <c r="I10" i="9" l="1"/>
  <c r="C11" i="9" s="1"/>
  <c r="H10" i="9"/>
  <c r="K10" i="9"/>
  <c r="N10" i="9"/>
  <c r="I10" i="8"/>
  <c r="C11" i="8" s="1"/>
  <c r="H10" i="8"/>
  <c r="K10" i="8"/>
  <c r="N10" i="8"/>
  <c r="I10" i="7"/>
  <c r="C11" i="7" s="1"/>
  <c r="H10" i="7"/>
  <c r="K10" i="7"/>
  <c r="N10" i="7"/>
  <c r="F12" i="4"/>
  <c r="F11" i="3"/>
  <c r="G13" i="2"/>
  <c r="F11" i="9" l="1"/>
  <c r="F11" i="8"/>
  <c r="F11" i="7"/>
  <c r="G12" i="4"/>
  <c r="G11" i="3"/>
  <c r="I13" i="2"/>
  <c r="C14" i="2" s="1"/>
  <c r="F14" i="2" s="1"/>
  <c r="H13" i="2"/>
  <c r="M11" i="9" l="1"/>
  <c r="J11" i="9"/>
  <c r="G11" i="9"/>
  <c r="M11" i="8"/>
  <c r="J11" i="8"/>
  <c r="G11" i="8"/>
  <c r="M11" i="7"/>
  <c r="J11" i="7"/>
  <c r="G11" i="7"/>
  <c r="I12" i="4"/>
  <c r="C13" i="4" s="1"/>
  <c r="H12" i="4"/>
  <c r="I11" i="3"/>
  <c r="C12" i="3" s="1"/>
  <c r="H11" i="3"/>
  <c r="G14" i="2"/>
  <c r="I11" i="9" l="1"/>
  <c r="C12" i="9" s="1"/>
  <c r="H11" i="9"/>
  <c r="K11" i="9"/>
  <c r="N11" i="9"/>
  <c r="I11" i="8"/>
  <c r="C12" i="8" s="1"/>
  <c r="H11" i="8"/>
  <c r="K11" i="8"/>
  <c r="N11" i="8"/>
  <c r="I11" i="7"/>
  <c r="C12" i="7" s="1"/>
  <c r="H11" i="7"/>
  <c r="K11" i="7"/>
  <c r="N11" i="7"/>
  <c r="F13" i="4"/>
  <c r="F12" i="3"/>
  <c r="I14" i="2"/>
  <c r="C15" i="2" s="1"/>
  <c r="F15" i="2" s="1"/>
  <c r="H14" i="2"/>
  <c r="F12" i="9" l="1"/>
  <c r="F12" i="8"/>
  <c r="F12" i="7"/>
  <c r="G13" i="4"/>
  <c r="G12" i="3"/>
  <c r="G15" i="2"/>
  <c r="M12" i="9" l="1"/>
  <c r="J12" i="9"/>
  <c r="G12" i="9"/>
  <c r="M12" i="8"/>
  <c r="J12" i="8"/>
  <c r="G12" i="8"/>
  <c r="M12" i="7"/>
  <c r="J12" i="7"/>
  <c r="G12" i="7"/>
  <c r="I13" i="4"/>
  <c r="C14" i="4" s="1"/>
  <c r="H13" i="4"/>
  <c r="I12" i="3"/>
  <c r="C13" i="3" s="1"/>
  <c r="H12" i="3"/>
  <c r="I15" i="2"/>
  <c r="C16" i="2" s="1"/>
  <c r="F16" i="2" s="1"/>
  <c r="H15" i="2"/>
  <c r="I12" i="9" l="1"/>
  <c r="C13" i="9" s="1"/>
  <c r="H12" i="9"/>
  <c r="K12" i="9"/>
  <c r="N12" i="9"/>
  <c r="I12" i="8"/>
  <c r="C13" i="8" s="1"/>
  <c r="H12" i="8"/>
  <c r="K12" i="8"/>
  <c r="N12" i="8"/>
  <c r="I12" i="7"/>
  <c r="C13" i="7" s="1"/>
  <c r="H12" i="7"/>
  <c r="K12" i="7"/>
  <c r="N12" i="7"/>
  <c r="F14" i="4"/>
  <c r="F13" i="3"/>
  <c r="G16" i="2"/>
  <c r="F13" i="9" l="1"/>
  <c r="F13" i="8"/>
  <c r="F13" i="7"/>
  <c r="G14" i="4"/>
  <c r="G13" i="3"/>
  <c r="I16" i="2"/>
  <c r="C17" i="2" s="1"/>
  <c r="F17" i="2" s="1"/>
  <c r="H16" i="2"/>
  <c r="M13" i="9" l="1"/>
  <c r="J13" i="9"/>
  <c r="G13" i="9"/>
  <c r="M13" i="8"/>
  <c r="J13" i="8"/>
  <c r="G13" i="8"/>
  <c r="M13" i="7"/>
  <c r="J13" i="7"/>
  <c r="G13" i="7"/>
  <c r="I14" i="4"/>
  <c r="C15" i="4" s="1"/>
  <c r="H14" i="4"/>
  <c r="I13" i="3"/>
  <c r="C14" i="3" s="1"/>
  <c r="H13" i="3"/>
  <c r="G17" i="2"/>
  <c r="I13" i="9" l="1"/>
  <c r="C14" i="9" s="1"/>
  <c r="H13" i="9"/>
  <c r="K13" i="9"/>
  <c r="N13" i="9"/>
  <c r="I13" i="8"/>
  <c r="C14" i="8" s="1"/>
  <c r="H13" i="8"/>
  <c r="K13" i="8"/>
  <c r="N13" i="8"/>
  <c r="I13" i="7"/>
  <c r="C14" i="7" s="1"/>
  <c r="H13" i="7"/>
  <c r="K13" i="7"/>
  <c r="N13" i="7"/>
  <c r="F15" i="4"/>
  <c r="F14" i="3"/>
  <c r="I17" i="2"/>
  <c r="C18" i="2" s="1"/>
  <c r="F18" i="2" s="1"/>
  <c r="H17" i="2"/>
  <c r="F14" i="9" l="1"/>
  <c r="F14" i="8"/>
  <c r="F14" i="7"/>
  <c r="G15" i="4"/>
  <c r="G14" i="3"/>
  <c r="G18" i="2"/>
  <c r="M14" i="9" l="1"/>
  <c r="J14" i="9"/>
  <c r="G14" i="9"/>
  <c r="M14" i="8"/>
  <c r="J14" i="8"/>
  <c r="G14" i="8"/>
  <c r="M14" i="7"/>
  <c r="J14" i="7"/>
  <c r="G14" i="7"/>
  <c r="I15" i="4"/>
  <c r="C16" i="4" s="1"/>
  <c r="H15" i="4"/>
  <c r="I14" i="3"/>
  <c r="C15" i="3" s="1"/>
  <c r="H14" i="3"/>
  <c r="I18" i="2"/>
  <c r="C19" i="2" s="1"/>
  <c r="H18" i="2"/>
  <c r="I14" i="9" l="1"/>
  <c r="C15" i="9" s="1"/>
  <c r="H14" i="9"/>
  <c r="K14" i="9"/>
  <c r="N14" i="9"/>
  <c r="I14" i="8"/>
  <c r="C15" i="8" s="1"/>
  <c r="H14" i="8"/>
  <c r="K14" i="8"/>
  <c r="N14" i="8"/>
  <c r="I14" i="7"/>
  <c r="C15" i="7" s="1"/>
  <c r="H14" i="7"/>
  <c r="K14" i="7"/>
  <c r="N14" i="7"/>
  <c r="F16" i="4"/>
  <c r="F15" i="3"/>
  <c r="F19" i="2"/>
  <c r="F15" i="9" l="1"/>
  <c r="F15" i="8"/>
  <c r="F15" i="7"/>
  <c r="G16" i="4"/>
  <c r="G15" i="3"/>
  <c r="G19" i="2"/>
  <c r="I19" i="2" s="1"/>
  <c r="C20" i="2" s="1"/>
  <c r="H19" i="2"/>
  <c r="M15" i="9" l="1"/>
  <c r="J15" i="9"/>
  <c r="G15" i="9"/>
  <c r="M15" i="8"/>
  <c r="J15" i="8"/>
  <c r="G15" i="8"/>
  <c r="M15" i="7"/>
  <c r="J15" i="7"/>
  <c r="G15" i="7"/>
  <c r="I16" i="4"/>
  <c r="C17" i="4" s="1"/>
  <c r="H16" i="4"/>
  <c r="I15" i="3"/>
  <c r="C16" i="3" s="1"/>
  <c r="H15" i="3"/>
  <c r="F20" i="2"/>
  <c r="I15" i="9" l="1"/>
  <c r="C16" i="9" s="1"/>
  <c r="H15" i="9"/>
  <c r="K15" i="9"/>
  <c r="N15" i="9"/>
  <c r="I15" i="8"/>
  <c r="C16" i="8" s="1"/>
  <c r="H15" i="8"/>
  <c r="K15" i="8"/>
  <c r="N15" i="8"/>
  <c r="I15" i="7"/>
  <c r="C16" i="7" s="1"/>
  <c r="H15" i="7"/>
  <c r="K15" i="7"/>
  <c r="N15" i="7"/>
  <c r="F17" i="4"/>
  <c r="F16" i="3"/>
  <c r="G20" i="2"/>
  <c r="I20" i="2" s="1"/>
  <c r="C21" i="2" s="1"/>
  <c r="H20" i="2"/>
  <c r="F16" i="9" l="1"/>
  <c r="F16" i="8"/>
  <c r="F16" i="7"/>
  <c r="G17" i="4"/>
  <c r="G16" i="3"/>
  <c r="F21" i="2"/>
  <c r="M16" i="9" l="1"/>
  <c r="J16" i="9"/>
  <c r="G16" i="9"/>
  <c r="M16" i="8"/>
  <c r="J16" i="8"/>
  <c r="G16" i="8"/>
  <c r="M16" i="7"/>
  <c r="J16" i="7"/>
  <c r="G16" i="7"/>
  <c r="I17" i="4"/>
  <c r="C18" i="4" s="1"/>
  <c r="H17" i="4"/>
  <c r="I16" i="3"/>
  <c r="C17" i="3" s="1"/>
  <c r="H16" i="3"/>
  <c r="G21" i="2"/>
  <c r="I21" i="2" s="1"/>
  <c r="C22" i="2" s="1"/>
  <c r="H21" i="2"/>
  <c r="I16" i="9" l="1"/>
  <c r="C17" i="9" s="1"/>
  <c r="H16" i="9"/>
  <c r="K16" i="9"/>
  <c r="N16" i="9"/>
  <c r="I16" i="8"/>
  <c r="C17" i="8" s="1"/>
  <c r="H16" i="8"/>
  <c r="K16" i="8"/>
  <c r="N16" i="8"/>
  <c r="I16" i="7"/>
  <c r="C17" i="7" s="1"/>
  <c r="H16" i="7"/>
  <c r="K16" i="7"/>
  <c r="N16" i="7"/>
  <c r="F18" i="4"/>
  <c r="F17" i="3"/>
  <c r="F22" i="2"/>
  <c r="F17" i="9" l="1"/>
  <c r="F17" i="8"/>
  <c r="F17" i="7"/>
  <c r="G18" i="4"/>
  <c r="G17" i="3"/>
  <c r="G22" i="2"/>
  <c r="I22" i="2" s="1"/>
  <c r="C23" i="2" s="1"/>
  <c r="H22" i="2"/>
  <c r="M17" i="9" l="1"/>
  <c r="J17" i="9"/>
  <c r="G17" i="9"/>
  <c r="M17" i="8"/>
  <c r="J17" i="8"/>
  <c r="G17" i="8"/>
  <c r="M17" i="7"/>
  <c r="J17" i="7"/>
  <c r="G17" i="7"/>
  <c r="I18" i="4"/>
  <c r="C19" i="4" s="1"/>
  <c r="H18" i="4"/>
  <c r="I17" i="3"/>
  <c r="C18" i="3" s="1"/>
  <c r="H17" i="3"/>
  <c r="F23" i="2"/>
  <c r="I17" i="9" l="1"/>
  <c r="C18" i="9" s="1"/>
  <c r="H17" i="9"/>
  <c r="K17" i="9"/>
  <c r="N17" i="9"/>
  <c r="I17" i="8"/>
  <c r="C18" i="8" s="1"/>
  <c r="H17" i="8"/>
  <c r="K17" i="8"/>
  <c r="N17" i="8"/>
  <c r="I17" i="7"/>
  <c r="C18" i="7" s="1"/>
  <c r="H17" i="7"/>
  <c r="K17" i="7"/>
  <c r="N17" i="7"/>
  <c r="F19" i="4"/>
  <c r="F18" i="3"/>
  <c r="G23" i="2"/>
  <c r="I23" i="2" s="1"/>
  <c r="C24" i="2" s="1"/>
  <c r="H23" i="2"/>
  <c r="F18" i="9" l="1"/>
  <c r="F18" i="8"/>
  <c r="F18" i="7"/>
  <c r="G19" i="4"/>
  <c r="G18" i="3"/>
  <c r="F24" i="2"/>
  <c r="M18" i="9" l="1"/>
  <c r="J18" i="9"/>
  <c r="G18" i="9"/>
  <c r="M18" i="8"/>
  <c r="J18" i="8"/>
  <c r="G18" i="8"/>
  <c r="M18" i="7"/>
  <c r="J18" i="7"/>
  <c r="G18" i="7"/>
  <c r="I19" i="4"/>
  <c r="C20" i="4" s="1"/>
  <c r="H19" i="4"/>
  <c r="I18" i="3"/>
  <c r="C19" i="3" s="1"/>
  <c r="H18" i="3"/>
  <c r="G24" i="2"/>
  <c r="I24" i="2" s="1"/>
  <c r="C25" i="2" s="1"/>
  <c r="H24" i="2"/>
  <c r="I18" i="9" l="1"/>
  <c r="C19" i="9" s="1"/>
  <c r="H18" i="9"/>
  <c r="K18" i="9"/>
  <c r="N18" i="9"/>
  <c r="I18" i="8"/>
  <c r="C19" i="8" s="1"/>
  <c r="H18" i="8"/>
  <c r="K18" i="8"/>
  <c r="N18" i="8"/>
  <c r="I18" i="7"/>
  <c r="C19" i="7" s="1"/>
  <c r="H18" i="7"/>
  <c r="K18" i="7"/>
  <c r="N18" i="7"/>
  <c r="F20" i="4"/>
  <c r="F19" i="3"/>
  <c r="F25" i="2"/>
  <c r="F19" i="9" l="1"/>
  <c r="F19" i="8"/>
  <c r="F19" i="7"/>
  <c r="G20" i="4"/>
  <c r="G19" i="3"/>
  <c r="G25" i="2"/>
  <c r="I25" i="2" s="1"/>
  <c r="C26" i="2" s="1"/>
  <c r="H25" i="2"/>
  <c r="J19" i="9" l="1"/>
  <c r="G19" i="9"/>
  <c r="J19" i="8"/>
  <c r="G19" i="8"/>
  <c r="J19" i="7"/>
  <c r="G19" i="7"/>
  <c r="I20" i="4"/>
  <c r="C21" i="4" s="1"/>
  <c r="H20" i="4"/>
  <c r="I19" i="3"/>
  <c r="C20" i="3" s="1"/>
  <c r="H19" i="3"/>
  <c r="F26" i="2"/>
  <c r="I19" i="9" l="1"/>
  <c r="C20" i="9" s="1"/>
  <c r="H19" i="9"/>
  <c r="K19" i="9"/>
  <c r="I19" i="8"/>
  <c r="C20" i="8" s="1"/>
  <c r="H19" i="8"/>
  <c r="K19" i="8"/>
  <c r="I19" i="7"/>
  <c r="C20" i="7" s="1"/>
  <c r="H19" i="7"/>
  <c r="K19" i="7"/>
  <c r="F21" i="4"/>
  <c r="F20" i="3"/>
  <c r="G26" i="2"/>
  <c r="I26" i="2" s="1"/>
  <c r="C27" i="2" s="1"/>
  <c r="H26" i="2"/>
  <c r="F20" i="9" l="1"/>
  <c r="F20" i="8"/>
  <c r="F20" i="7"/>
  <c r="G21" i="4"/>
  <c r="G20" i="3"/>
  <c r="F27" i="2"/>
  <c r="J20" i="9" l="1"/>
  <c r="G20" i="9"/>
  <c r="J20" i="8"/>
  <c r="G20" i="8"/>
  <c r="J20" i="7"/>
  <c r="G20" i="7"/>
  <c r="I21" i="4"/>
  <c r="C22" i="4" s="1"/>
  <c r="H21" i="4"/>
  <c r="I20" i="3"/>
  <c r="C21" i="3" s="1"/>
  <c r="H20" i="3"/>
  <c r="G27" i="2"/>
  <c r="I27" i="2" s="1"/>
  <c r="C28" i="2" s="1"/>
  <c r="H27" i="2"/>
  <c r="I20" i="9" l="1"/>
  <c r="C21" i="9" s="1"/>
  <c r="H20" i="9"/>
  <c r="K20" i="9"/>
  <c r="I20" i="8"/>
  <c r="C21" i="8" s="1"/>
  <c r="H20" i="8"/>
  <c r="K20" i="8"/>
  <c r="I20" i="7"/>
  <c r="C21" i="7" s="1"/>
  <c r="H20" i="7"/>
  <c r="K20" i="7"/>
  <c r="F22" i="4"/>
  <c r="F21" i="3"/>
  <c r="F28" i="2"/>
  <c r="F21" i="9" l="1"/>
  <c r="F21" i="8"/>
  <c r="F21" i="7"/>
  <c r="G22" i="4"/>
  <c r="G21" i="3"/>
  <c r="G28" i="2"/>
  <c r="I28" i="2" s="1"/>
  <c r="C29" i="2" s="1"/>
  <c r="H28" i="2"/>
  <c r="J21" i="9" l="1"/>
  <c r="G21" i="9"/>
  <c r="J21" i="8"/>
  <c r="G21" i="8"/>
  <c r="J21" i="7"/>
  <c r="G21" i="7"/>
  <c r="I22" i="4"/>
  <c r="C23" i="4" s="1"/>
  <c r="H22" i="4"/>
  <c r="I21" i="3"/>
  <c r="C22" i="3" s="1"/>
  <c r="H21" i="3"/>
  <c r="F29" i="2"/>
  <c r="I21" i="9" l="1"/>
  <c r="C22" i="9" s="1"/>
  <c r="H21" i="9"/>
  <c r="K21" i="9"/>
  <c r="I21" i="8"/>
  <c r="C22" i="8" s="1"/>
  <c r="H21" i="8"/>
  <c r="K21" i="8"/>
  <c r="I21" i="7"/>
  <c r="C22" i="7" s="1"/>
  <c r="H21" i="7"/>
  <c r="K21" i="7"/>
  <c r="F23" i="4"/>
  <c r="F22" i="3"/>
  <c r="G29" i="2"/>
  <c r="I29" i="2" s="1"/>
  <c r="C30" i="2" s="1"/>
  <c r="H29" i="2"/>
  <c r="F22" i="9" l="1"/>
  <c r="F22" i="8"/>
  <c r="F22" i="7"/>
  <c r="G23" i="4"/>
  <c r="G22" i="3"/>
  <c r="F30" i="2"/>
  <c r="J22" i="9" l="1"/>
  <c r="G22" i="9"/>
  <c r="J22" i="8"/>
  <c r="G22" i="8"/>
  <c r="J22" i="7"/>
  <c r="G22" i="7"/>
  <c r="I23" i="4"/>
  <c r="C24" i="4" s="1"/>
  <c r="H23" i="4"/>
  <c r="I22" i="3"/>
  <c r="C23" i="3" s="1"/>
  <c r="H22" i="3"/>
  <c r="G30" i="2"/>
  <c r="I30" i="2" s="1"/>
  <c r="C31" i="2" s="1"/>
  <c r="H30" i="2"/>
  <c r="I22" i="9" l="1"/>
  <c r="C23" i="9" s="1"/>
  <c r="H22" i="9"/>
  <c r="K22" i="9"/>
  <c r="I22" i="8"/>
  <c r="C23" i="8" s="1"/>
  <c r="H22" i="8"/>
  <c r="K22" i="8"/>
  <c r="I22" i="7"/>
  <c r="C23" i="7" s="1"/>
  <c r="H22" i="7"/>
  <c r="K22" i="7"/>
  <c r="F24" i="4"/>
  <c r="F23" i="3"/>
  <c r="F31" i="2"/>
  <c r="F23" i="9" l="1"/>
  <c r="F23" i="8"/>
  <c r="F23" i="7"/>
  <c r="G24" i="4"/>
  <c r="G23" i="3"/>
  <c r="G31" i="2"/>
  <c r="I31" i="2" s="1"/>
  <c r="C32" i="2" s="1"/>
  <c r="H31" i="2"/>
  <c r="J23" i="9" l="1"/>
  <c r="G23" i="9"/>
  <c r="J23" i="8"/>
  <c r="G23" i="8"/>
  <c r="J23" i="7"/>
  <c r="G23" i="7"/>
  <c r="I24" i="4"/>
  <c r="C25" i="4" s="1"/>
  <c r="H24" i="4"/>
  <c r="I23" i="3"/>
  <c r="C24" i="3" s="1"/>
  <c r="H23" i="3"/>
  <c r="F32" i="2"/>
  <c r="I23" i="9" l="1"/>
  <c r="C24" i="9" s="1"/>
  <c r="H23" i="9"/>
  <c r="K23" i="9"/>
  <c r="I23" i="8"/>
  <c r="C24" i="8" s="1"/>
  <c r="H23" i="8"/>
  <c r="K23" i="8"/>
  <c r="I23" i="7"/>
  <c r="C24" i="7" s="1"/>
  <c r="H23" i="7"/>
  <c r="K23" i="7"/>
  <c r="F25" i="4"/>
  <c r="F24" i="3"/>
  <c r="G32" i="2"/>
  <c r="I32" i="2" s="1"/>
  <c r="C33" i="2" s="1"/>
  <c r="H32" i="2"/>
  <c r="F24" i="9" l="1"/>
  <c r="F24" i="8"/>
  <c r="F24" i="7"/>
  <c r="G25" i="4"/>
  <c r="G24" i="3"/>
  <c r="F33" i="2"/>
  <c r="J24" i="9" l="1"/>
  <c r="G24" i="9"/>
  <c r="J24" i="8"/>
  <c r="G24" i="8"/>
  <c r="J24" i="7"/>
  <c r="G24" i="7"/>
  <c r="I25" i="4"/>
  <c r="C26" i="4" s="1"/>
  <c r="H25" i="4"/>
  <c r="I24" i="3"/>
  <c r="C25" i="3" s="1"/>
  <c r="H24" i="3"/>
  <c r="G33" i="2"/>
  <c r="I33" i="2" s="1"/>
  <c r="C34" i="2" s="1"/>
  <c r="H33" i="2"/>
  <c r="I24" i="9" l="1"/>
  <c r="C25" i="9" s="1"/>
  <c r="H24" i="9"/>
  <c r="K24" i="9"/>
  <c r="I24" i="8"/>
  <c r="C25" i="8" s="1"/>
  <c r="H24" i="8"/>
  <c r="K24" i="8"/>
  <c r="I24" i="7"/>
  <c r="C25" i="7" s="1"/>
  <c r="H24" i="7"/>
  <c r="K24" i="7"/>
  <c r="F26" i="4"/>
  <c r="F25" i="3"/>
  <c r="F34" i="2"/>
  <c r="F25" i="9" l="1"/>
  <c r="F25" i="8"/>
  <c r="F25" i="7"/>
  <c r="G26" i="4"/>
  <c r="G25" i="3"/>
  <c r="G34" i="2"/>
  <c r="I34" i="2" s="1"/>
  <c r="C35" i="2" s="1"/>
  <c r="H34" i="2"/>
  <c r="J25" i="9" l="1"/>
  <c r="G25" i="9"/>
  <c r="J25" i="8"/>
  <c r="G25" i="8"/>
  <c r="J25" i="7"/>
  <c r="G25" i="7"/>
  <c r="I26" i="4"/>
  <c r="C27" i="4" s="1"/>
  <c r="H26" i="4"/>
  <c r="I25" i="3"/>
  <c r="C26" i="3" s="1"/>
  <c r="H25" i="3"/>
  <c r="F35" i="2"/>
  <c r="I25" i="9" l="1"/>
  <c r="C26" i="9" s="1"/>
  <c r="H25" i="9"/>
  <c r="K25" i="9"/>
  <c r="I25" i="8"/>
  <c r="C26" i="8" s="1"/>
  <c r="H25" i="8"/>
  <c r="K25" i="8"/>
  <c r="I25" i="7"/>
  <c r="C26" i="7" s="1"/>
  <c r="H25" i="7"/>
  <c r="K25" i="7"/>
  <c r="F27" i="4"/>
  <c r="F26" i="3"/>
  <c r="G35" i="2"/>
  <c r="I35" i="2" s="1"/>
  <c r="C36" i="2" s="1"/>
  <c r="H35" i="2"/>
  <c r="F26" i="9" l="1"/>
  <c r="F26" i="8"/>
  <c r="F26" i="7"/>
  <c r="G27" i="4"/>
  <c r="G26" i="3"/>
  <c r="F36" i="2"/>
  <c r="J26" i="9" l="1"/>
  <c r="G26" i="9"/>
  <c r="J26" i="8"/>
  <c r="G26" i="8"/>
  <c r="J26" i="7"/>
  <c r="G26" i="7"/>
  <c r="I27" i="4"/>
  <c r="C28" i="4" s="1"/>
  <c r="H27" i="4"/>
  <c r="I26" i="3"/>
  <c r="C27" i="3" s="1"/>
  <c r="H26" i="3"/>
  <c r="G36" i="2"/>
  <c r="I36" i="2" s="1"/>
  <c r="C37" i="2" s="1"/>
  <c r="H36" i="2"/>
  <c r="I26" i="9" l="1"/>
  <c r="C27" i="9" s="1"/>
  <c r="H26" i="9"/>
  <c r="K26" i="9"/>
  <c r="I26" i="8"/>
  <c r="C27" i="8" s="1"/>
  <c r="H26" i="8"/>
  <c r="K26" i="8"/>
  <c r="I26" i="7"/>
  <c r="C27" i="7" s="1"/>
  <c r="H26" i="7"/>
  <c r="K26" i="7"/>
  <c r="F28" i="4"/>
  <c r="F27" i="3"/>
  <c r="F37" i="2"/>
  <c r="F27" i="9" l="1"/>
  <c r="F27" i="8"/>
  <c r="F27" i="7"/>
  <c r="G28" i="4"/>
  <c r="G27" i="3"/>
  <c r="G37" i="2"/>
  <c r="I37" i="2" s="1"/>
  <c r="C38" i="2" s="1"/>
  <c r="H37" i="2"/>
  <c r="J27" i="9" l="1"/>
  <c r="G27" i="9"/>
  <c r="J27" i="8"/>
  <c r="G27" i="8"/>
  <c r="J27" i="7"/>
  <c r="G27" i="7"/>
  <c r="I28" i="4"/>
  <c r="C29" i="4" s="1"/>
  <c r="H28" i="4"/>
  <c r="I27" i="3"/>
  <c r="C28" i="3" s="1"/>
  <c r="H27" i="3"/>
  <c r="F38" i="2"/>
  <c r="I27" i="9" l="1"/>
  <c r="C28" i="9" s="1"/>
  <c r="H27" i="9"/>
  <c r="K27" i="9"/>
  <c r="I27" i="8"/>
  <c r="C28" i="8" s="1"/>
  <c r="H27" i="8"/>
  <c r="K27" i="8"/>
  <c r="I27" i="7"/>
  <c r="C28" i="7" s="1"/>
  <c r="H27" i="7"/>
  <c r="K27" i="7"/>
  <c r="F29" i="4"/>
  <c r="F28" i="3"/>
  <c r="G38" i="2"/>
  <c r="I38" i="2" s="1"/>
  <c r="C39" i="2" s="1"/>
  <c r="H38" i="2"/>
  <c r="F28" i="9" l="1"/>
  <c r="F28" i="8"/>
  <c r="F28" i="7"/>
  <c r="G29" i="4"/>
  <c r="G28" i="3"/>
  <c r="F39" i="2"/>
  <c r="J28" i="9" l="1"/>
  <c r="G28" i="9"/>
  <c r="J28" i="8"/>
  <c r="G28" i="8"/>
  <c r="J28" i="7"/>
  <c r="G28" i="7"/>
  <c r="I29" i="4"/>
  <c r="C30" i="4" s="1"/>
  <c r="H29" i="4"/>
  <c r="I28" i="3"/>
  <c r="C29" i="3" s="1"/>
  <c r="H28" i="3"/>
  <c r="G39" i="2"/>
  <c r="I39" i="2" s="1"/>
  <c r="C40" i="2" s="1"/>
  <c r="H39" i="2"/>
  <c r="I28" i="9" l="1"/>
  <c r="C29" i="9" s="1"/>
  <c r="H28" i="9"/>
  <c r="K28" i="9"/>
  <c r="I28" i="8"/>
  <c r="C29" i="8" s="1"/>
  <c r="H28" i="8"/>
  <c r="K28" i="8"/>
  <c r="I28" i="7"/>
  <c r="C29" i="7" s="1"/>
  <c r="H28" i="7"/>
  <c r="K28" i="7"/>
  <c r="F30" i="4"/>
  <c r="F29" i="3"/>
  <c r="F40" i="2"/>
  <c r="F29" i="9" l="1"/>
  <c r="F29" i="8"/>
  <c r="F29" i="7"/>
  <c r="G30" i="4"/>
  <c r="G29" i="3"/>
  <c r="G40" i="2"/>
  <c r="I40" i="2" s="1"/>
  <c r="C41" i="2" s="1"/>
  <c r="H40" i="2"/>
  <c r="J29" i="9" l="1"/>
  <c r="G29" i="9"/>
  <c r="J29" i="8"/>
  <c r="G29" i="8"/>
  <c r="J29" i="7"/>
  <c r="G29" i="7"/>
  <c r="I30" i="4"/>
  <c r="C31" i="4" s="1"/>
  <c r="H30" i="4"/>
  <c r="I29" i="3"/>
  <c r="C30" i="3" s="1"/>
  <c r="H29" i="3"/>
  <c r="F41" i="2"/>
  <c r="I29" i="9" l="1"/>
  <c r="C30" i="9" s="1"/>
  <c r="H29" i="9"/>
  <c r="K29" i="9"/>
  <c r="I29" i="8"/>
  <c r="C30" i="8" s="1"/>
  <c r="H29" i="8"/>
  <c r="K29" i="8"/>
  <c r="I29" i="7"/>
  <c r="C30" i="7" s="1"/>
  <c r="H29" i="7"/>
  <c r="K29" i="7"/>
  <c r="F31" i="4"/>
  <c r="F30" i="3"/>
  <c r="G41" i="2"/>
  <c r="I41" i="2" s="1"/>
  <c r="C42" i="2" s="1"/>
  <c r="H41" i="2"/>
  <c r="F30" i="9" l="1"/>
  <c r="F30" i="8"/>
  <c r="F30" i="7"/>
  <c r="G31" i="4"/>
  <c r="G30" i="3"/>
  <c r="F42" i="2"/>
  <c r="J30" i="9" l="1"/>
  <c r="G30" i="9"/>
  <c r="J30" i="8"/>
  <c r="G30" i="8"/>
  <c r="J30" i="7"/>
  <c r="G30" i="7"/>
  <c r="I31" i="4"/>
  <c r="C32" i="4" s="1"/>
  <c r="H31" i="4"/>
  <c r="I30" i="3"/>
  <c r="C31" i="3" s="1"/>
  <c r="H30" i="3"/>
  <c r="G42" i="2"/>
  <c r="I42" i="2" s="1"/>
  <c r="C43" i="2" s="1"/>
  <c r="H42" i="2"/>
  <c r="I30" i="9" l="1"/>
  <c r="C31" i="9" s="1"/>
  <c r="H30" i="9"/>
  <c r="K30" i="9"/>
  <c r="I30" i="8"/>
  <c r="C31" i="8" s="1"/>
  <c r="H30" i="8"/>
  <c r="K30" i="8"/>
  <c r="I30" i="7"/>
  <c r="C31" i="7" s="1"/>
  <c r="H30" i="7"/>
  <c r="K30" i="7"/>
  <c r="F32" i="4"/>
  <c r="F31" i="3"/>
  <c r="F43" i="2"/>
  <c r="F31" i="9" l="1"/>
  <c r="F31" i="8"/>
  <c r="F31" i="7"/>
  <c r="G32" i="4"/>
  <c r="G31" i="3"/>
  <c r="G43" i="2"/>
  <c r="I43" i="2" s="1"/>
  <c r="C44" i="2" s="1"/>
  <c r="H43" i="2"/>
  <c r="G31" i="9" l="1"/>
  <c r="G31" i="8"/>
  <c r="G31" i="7"/>
  <c r="I32" i="4"/>
  <c r="C33" i="4" s="1"/>
  <c r="H32" i="4"/>
  <c r="I31" i="3"/>
  <c r="C32" i="3" s="1"/>
  <c r="H31" i="3"/>
  <c r="F44" i="2"/>
  <c r="I31" i="9" l="1"/>
  <c r="C32" i="9" s="1"/>
  <c r="H31" i="9"/>
  <c r="I31" i="8"/>
  <c r="C32" i="8" s="1"/>
  <c r="H31" i="8"/>
  <c r="I31" i="7"/>
  <c r="C32" i="7" s="1"/>
  <c r="H31" i="7"/>
  <c r="F33" i="4"/>
  <c r="F32" i="3"/>
  <c r="G44" i="2"/>
  <c r="I44" i="2" s="1"/>
  <c r="C45" i="2" s="1"/>
  <c r="H44" i="2"/>
  <c r="F32" i="9" l="1"/>
  <c r="F32" i="8"/>
  <c r="F32" i="7"/>
  <c r="G33" i="4"/>
  <c r="G32" i="3"/>
  <c r="F45" i="2"/>
  <c r="G32" i="9" l="1"/>
  <c r="G32" i="8"/>
  <c r="G32" i="7"/>
  <c r="I33" i="4"/>
  <c r="C34" i="4" s="1"/>
  <c r="H33" i="4"/>
  <c r="I32" i="3"/>
  <c r="C33" i="3" s="1"/>
  <c r="H32" i="3"/>
  <c r="G45" i="2"/>
  <c r="I45" i="2" s="1"/>
  <c r="C46" i="2" s="1"/>
  <c r="H45" i="2"/>
  <c r="I32" i="9" l="1"/>
  <c r="C33" i="9" s="1"/>
  <c r="H32" i="9"/>
  <c r="I32" i="8"/>
  <c r="C33" i="8" s="1"/>
  <c r="H32" i="8"/>
  <c r="I32" i="7"/>
  <c r="C33" i="7" s="1"/>
  <c r="H32" i="7"/>
  <c r="F34" i="4"/>
  <c r="F33" i="3"/>
  <c r="F46" i="2"/>
  <c r="F33" i="9" l="1"/>
  <c r="F33" i="8"/>
  <c r="F33" i="7"/>
  <c r="G34" i="4"/>
  <c r="G33" i="3"/>
  <c r="G46" i="2"/>
  <c r="I46" i="2" s="1"/>
  <c r="C47" i="2" s="1"/>
  <c r="H46" i="2"/>
  <c r="G33" i="9" l="1"/>
  <c r="G33" i="8"/>
  <c r="G33" i="7"/>
  <c r="I34" i="4"/>
  <c r="C35" i="4" s="1"/>
  <c r="H34" i="4"/>
  <c r="I33" i="3"/>
  <c r="C34" i="3" s="1"/>
  <c r="H33" i="3"/>
  <c r="F47" i="2"/>
  <c r="I33" i="9" l="1"/>
  <c r="C34" i="9" s="1"/>
  <c r="H33" i="9"/>
  <c r="I33" i="8"/>
  <c r="C34" i="8" s="1"/>
  <c r="H33" i="8"/>
  <c r="I33" i="7"/>
  <c r="C34" i="7" s="1"/>
  <c r="H33" i="7"/>
  <c r="F35" i="4"/>
  <c r="F34" i="3"/>
  <c r="G47" i="2"/>
  <c r="I47" i="2" s="1"/>
  <c r="C48" i="2" s="1"/>
  <c r="H47" i="2"/>
  <c r="F34" i="9" l="1"/>
  <c r="F34" i="8"/>
  <c r="F34" i="7"/>
  <c r="G35" i="4"/>
  <c r="G34" i="3"/>
  <c r="F48" i="2"/>
  <c r="G34" i="9" l="1"/>
  <c r="G34" i="8"/>
  <c r="G34" i="7"/>
  <c r="I35" i="4"/>
  <c r="C36" i="4" s="1"/>
  <c r="H35" i="4"/>
  <c r="I34" i="3"/>
  <c r="C35" i="3" s="1"/>
  <c r="H34" i="3"/>
  <c r="G48" i="2"/>
  <c r="I48" i="2" s="1"/>
  <c r="C49" i="2" s="1"/>
  <c r="H48" i="2"/>
  <c r="I34" i="9" l="1"/>
  <c r="C35" i="9" s="1"/>
  <c r="H34" i="9"/>
  <c r="I34" i="8"/>
  <c r="C35" i="8" s="1"/>
  <c r="H34" i="8"/>
  <c r="I34" i="7"/>
  <c r="C35" i="7" s="1"/>
  <c r="H34" i="7"/>
  <c r="F36" i="4"/>
  <c r="F35" i="3"/>
  <c r="F49" i="2"/>
  <c r="F35" i="9" l="1"/>
  <c r="F35" i="8"/>
  <c r="F35" i="7"/>
  <c r="G36" i="4"/>
  <c r="G35" i="3"/>
  <c r="G49" i="2"/>
  <c r="I49" i="2" s="1"/>
  <c r="C50" i="2" s="1"/>
  <c r="H49" i="2"/>
  <c r="G35" i="9" l="1"/>
  <c r="G35" i="8"/>
  <c r="G35" i="7"/>
  <c r="I36" i="4"/>
  <c r="C37" i="4" s="1"/>
  <c r="H36" i="4"/>
  <c r="I35" i="3"/>
  <c r="C36" i="3" s="1"/>
  <c r="H35" i="3"/>
  <c r="F50" i="2"/>
  <c r="I35" i="9" l="1"/>
  <c r="C36" i="9" s="1"/>
  <c r="H35" i="9"/>
  <c r="I35" i="8"/>
  <c r="C36" i="8" s="1"/>
  <c r="H35" i="8"/>
  <c r="I35" i="7"/>
  <c r="C36" i="7" s="1"/>
  <c r="H35" i="7"/>
  <c r="F37" i="4"/>
  <c r="F36" i="3"/>
  <c r="G50" i="2"/>
  <c r="I50" i="2" s="1"/>
  <c r="C51" i="2" s="1"/>
  <c r="H50" i="2"/>
  <c r="F36" i="9" l="1"/>
  <c r="F36" i="8"/>
  <c r="F36" i="7"/>
  <c r="G37" i="4"/>
  <c r="G36" i="3"/>
  <c r="F51" i="2"/>
  <c r="G36" i="9" l="1"/>
  <c r="G36" i="8"/>
  <c r="G36" i="7"/>
  <c r="I37" i="4"/>
  <c r="C38" i="4" s="1"/>
  <c r="H37" i="4"/>
  <c r="I36" i="3"/>
  <c r="C37" i="3" s="1"/>
  <c r="H36" i="3"/>
  <c r="G51" i="2"/>
  <c r="I51" i="2" s="1"/>
  <c r="C52" i="2" s="1"/>
  <c r="H51" i="2"/>
  <c r="I36" i="9" l="1"/>
  <c r="C37" i="9" s="1"/>
  <c r="H36" i="9"/>
  <c r="I36" i="8"/>
  <c r="C37" i="8" s="1"/>
  <c r="H36" i="8"/>
  <c r="I36" i="7"/>
  <c r="C37" i="7" s="1"/>
  <c r="H36" i="7"/>
  <c r="F38" i="4"/>
  <c r="F37" i="3"/>
  <c r="F52" i="2"/>
  <c r="F37" i="9" l="1"/>
  <c r="F37" i="8"/>
  <c r="F37" i="7"/>
  <c r="G38" i="4"/>
  <c r="G37" i="3"/>
  <c r="G52" i="2"/>
  <c r="I52" i="2" s="1"/>
  <c r="C53" i="2" s="1"/>
  <c r="H52" i="2"/>
  <c r="G37" i="9" l="1"/>
  <c r="G37" i="8"/>
  <c r="G37" i="7"/>
  <c r="I38" i="4"/>
  <c r="C39" i="4" s="1"/>
  <c r="H38" i="4"/>
  <c r="I37" i="3"/>
  <c r="C38" i="3" s="1"/>
  <c r="H37" i="3"/>
  <c r="F53" i="2"/>
  <c r="I37" i="9" l="1"/>
  <c r="C38" i="9" s="1"/>
  <c r="H37" i="9"/>
  <c r="I37" i="8"/>
  <c r="C38" i="8" s="1"/>
  <c r="H37" i="8"/>
  <c r="I37" i="7"/>
  <c r="C38" i="7" s="1"/>
  <c r="H37" i="7"/>
  <c r="F39" i="4"/>
  <c r="F38" i="3"/>
  <c r="G53" i="2"/>
  <c r="I53" i="2" s="1"/>
  <c r="C54" i="2" s="1"/>
  <c r="H53" i="2"/>
  <c r="F38" i="9" l="1"/>
  <c r="F38" i="8"/>
  <c r="F38" i="7"/>
  <c r="G39" i="4"/>
  <c r="G38" i="3"/>
  <c r="F54" i="2"/>
  <c r="G38" i="9" l="1"/>
  <c r="G38" i="8"/>
  <c r="G38" i="7"/>
  <c r="I39" i="4"/>
  <c r="C40" i="4" s="1"/>
  <c r="H39" i="4"/>
  <c r="I38" i="3"/>
  <c r="C39" i="3" s="1"/>
  <c r="H38" i="3"/>
  <c r="G54" i="2"/>
  <c r="I54" i="2" s="1"/>
  <c r="C55" i="2" s="1"/>
  <c r="H54" i="2"/>
  <c r="I38" i="9" l="1"/>
  <c r="C39" i="9" s="1"/>
  <c r="H38" i="9"/>
  <c r="I38" i="8"/>
  <c r="C39" i="8" s="1"/>
  <c r="H38" i="8"/>
  <c r="I38" i="7"/>
  <c r="C39" i="7" s="1"/>
  <c r="H38" i="7"/>
  <c r="F40" i="4"/>
  <c r="F39" i="3"/>
  <c r="F55" i="2"/>
  <c r="F39" i="9" l="1"/>
  <c r="F39" i="8"/>
  <c r="F39" i="7"/>
  <c r="G40" i="4"/>
  <c r="G39" i="3"/>
  <c r="G55" i="2"/>
  <c r="I55" i="2" s="1"/>
  <c r="C56" i="2" s="1"/>
  <c r="H55" i="2"/>
  <c r="G39" i="9" l="1"/>
  <c r="G39" i="8"/>
  <c r="G39" i="7"/>
  <c r="I40" i="4"/>
  <c r="C41" i="4" s="1"/>
  <c r="H40" i="4"/>
  <c r="I39" i="3"/>
  <c r="C40" i="3" s="1"/>
  <c r="H39" i="3"/>
  <c r="F56" i="2"/>
  <c r="I39" i="9" l="1"/>
  <c r="C40" i="9" s="1"/>
  <c r="H39" i="9"/>
  <c r="I39" i="8"/>
  <c r="C40" i="8" s="1"/>
  <c r="H39" i="8"/>
  <c r="I39" i="7"/>
  <c r="C40" i="7" s="1"/>
  <c r="H39" i="7"/>
  <c r="F41" i="4"/>
  <c r="F40" i="3"/>
  <c r="G56" i="2"/>
  <c r="I56" i="2" s="1"/>
  <c r="C57" i="2" s="1"/>
  <c r="H56" i="2"/>
  <c r="F40" i="9" l="1"/>
  <c r="F40" i="8"/>
  <c r="F40" i="7"/>
  <c r="G41" i="4"/>
  <c r="G40" i="3"/>
  <c r="F57" i="2"/>
  <c r="G40" i="9" l="1"/>
  <c r="G40" i="8"/>
  <c r="G40" i="7"/>
  <c r="I41" i="4"/>
  <c r="C42" i="4" s="1"/>
  <c r="H41" i="4"/>
  <c r="I40" i="3"/>
  <c r="C41" i="3" s="1"/>
  <c r="H40" i="3"/>
  <c r="G57" i="2"/>
  <c r="I57" i="2" s="1"/>
  <c r="C58" i="2" s="1"/>
  <c r="H57" i="2"/>
  <c r="I40" i="9" l="1"/>
  <c r="C41" i="9" s="1"/>
  <c r="H40" i="9"/>
  <c r="I40" i="8"/>
  <c r="C41" i="8" s="1"/>
  <c r="H40" i="8"/>
  <c r="I40" i="7"/>
  <c r="C41" i="7" s="1"/>
  <c r="H40" i="7"/>
  <c r="F42" i="4"/>
  <c r="F41" i="3"/>
  <c r="F58" i="2"/>
  <c r="F41" i="9" l="1"/>
  <c r="F41" i="8"/>
  <c r="F41" i="7"/>
  <c r="G42" i="4"/>
  <c r="G41" i="3"/>
  <c r="G58" i="2"/>
  <c r="I58" i="2" s="1"/>
  <c r="C59" i="2" s="1"/>
  <c r="H58" i="2"/>
  <c r="G41" i="9" l="1"/>
  <c r="G41" i="8"/>
  <c r="G41" i="7"/>
  <c r="I42" i="4"/>
  <c r="C43" i="4" s="1"/>
  <c r="H42" i="4"/>
  <c r="I41" i="3"/>
  <c r="C42" i="3" s="1"/>
  <c r="H41" i="3"/>
  <c r="F59" i="2"/>
  <c r="I41" i="9" l="1"/>
  <c r="C42" i="9" s="1"/>
  <c r="H41" i="9"/>
  <c r="I41" i="8"/>
  <c r="C42" i="8" s="1"/>
  <c r="H41" i="8"/>
  <c r="I41" i="7"/>
  <c r="C42" i="7" s="1"/>
  <c r="H41" i="7"/>
  <c r="F43" i="4"/>
  <c r="F42" i="3"/>
  <c r="G59" i="2"/>
  <c r="I59" i="2" s="1"/>
  <c r="C60" i="2" s="1"/>
  <c r="H59" i="2"/>
  <c r="F42" i="9" l="1"/>
  <c r="F42" i="8"/>
  <c r="F42" i="7"/>
  <c r="G43" i="4"/>
  <c r="G42" i="3"/>
  <c r="F60" i="2"/>
  <c r="G42" i="9" l="1"/>
  <c r="G42" i="8"/>
  <c r="G42" i="7"/>
  <c r="I43" i="4"/>
  <c r="C44" i="4" s="1"/>
  <c r="H43" i="4"/>
  <c r="I42" i="3"/>
  <c r="C43" i="3" s="1"/>
  <c r="H42" i="3"/>
  <c r="G60" i="2"/>
  <c r="I60" i="2" s="1"/>
  <c r="C61" i="2" s="1"/>
  <c r="H60" i="2"/>
  <c r="M42" i="9" l="1"/>
  <c r="J42" i="9"/>
  <c r="M41" i="9"/>
  <c r="J41" i="9"/>
  <c r="M40" i="9"/>
  <c r="J40" i="9"/>
  <c r="M39" i="9"/>
  <c r="J39" i="9"/>
  <c r="M38" i="9"/>
  <c r="J38" i="9"/>
  <c r="M37" i="9"/>
  <c r="J37" i="9"/>
  <c r="M36" i="9"/>
  <c r="J36" i="9"/>
  <c r="M35" i="9"/>
  <c r="J35" i="9"/>
  <c r="M34" i="9"/>
  <c r="J34" i="9"/>
  <c r="M33" i="9"/>
  <c r="J33" i="9"/>
  <c r="M32" i="9"/>
  <c r="J32" i="9"/>
  <c r="M31" i="9"/>
  <c r="J31" i="9"/>
  <c r="M30" i="9"/>
  <c r="M29" i="9"/>
  <c r="M28" i="9"/>
  <c r="M27" i="9"/>
  <c r="M26" i="9"/>
  <c r="M25" i="9"/>
  <c r="M24" i="9"/>
  <c r="M23" i="9"/>
  <c r="M22" i="9"/>
  <c r="M21" i="9"/>
  <c r="M20" i="9"/>
  <c r="M19" i="9"/>
  <c r="I42" i="9"/>
  <c r="H42" i="9"/>
  <c r="M42" i="8"/>
  <c r="J42" i="8"/>
  <c r="M41" i="8"/>
  <c r="J41" i="8"/>
  <c r="M40" i="8"/>
  <c r="J40" i="8"/>
  <c r="M39" i="8"/>
  <c r="J39" i="8"/>
  <c r="M38" i="8"/>
  <c r="J38" i="8"/>
  <c r="M37" i="8"/>
  <c r="J37" i="8"/>
  <c r="M36" i="8"/>
  <c r="J36" i="8"/>
  <c r="M35" i="8"/>
  <c r="J35" i="8"/>
  <c r="M34" i="8"/>
  <c r="J34" i="8"/>
  <c r="M33" i="8"/>
  <c r="J33" i="8"/>
  <c r="M32" i="8"/>
  <c r="J32" i="8"/>
  <c r="M31" i="8"/>
  <c r="J31" i="8"/>
  <c r="M30" i="8"/>
  <c r="M29" i="8"/>
  <c r="M28" i="8"/>
  <c r="M27" i="8"/>
  <c r="M26" i="8"/>
  <c r="M25" i="8"/>
  <c r="M24" i="8"/>
  <c r="M23" i="8"/>
  <c r="M22" i="8"/>
  <c r="M21" i="8"/>
  <c r="M20" i="8"/>
  <c r="M19" i="8"/>
  <c r="I42" i="8"/>
  <c r="H42" i="8"/>
  <c r="M42" i="7"/>
  <c r="J42" i="7"/>
  <c r="M41" i="7"/>
  <c r="J41" i="7"/>
  <c r="M40" i="7"/>
  <c r="J40" i="7"/>
  <c r="M39" i="7"/>
  <c r="J39" i="7"/>
  <c r="M38" i="7"/>
  <c r="J38" i="7"/>
  <c r="M37" i="7"/>
  <c r="J37" i="7"/>
  <c r="M36" i="7"/>
  <c r="J36" i="7"/>
  <c r="M35" i="7"/>
  <c r="J35" i="7"/>
  <c r="M34" i="7"/>
  <c r="J34" i="7"/>
  <c r="M33" i="7"/>
  <c r="J33" i="7"/>
  <c r="M32" i="7"/>
  <c r="J32" i="7"/>
  <c r="M31" i="7"/>
  <c r="J31" i="7"/>
  <c r="M30" i="7"/>
  <c r="M29" i="7"/>
  <c r="M28" i="7"/>
  <c r="M27" i="7"/>
  <c r="M26" i="7"/>
  <c r="M25" i="7"/>
  <c r="M24" i="7"/>
  <c r="M23" i="7"/>
  <c r="M22" i="7"/>
  <c r="M21" i="7"/>
  <c r="M20" i="7"/>
  <c r="M19" i="7"/>
  <c r="I42" i="7"/>
  <c r="H42" i="7"/>
  <c r="F44" i="4"/>
  <c r="F43" i="3"/>
  <c r="F61" i="2"/>
  <c r="H44" i="9" l="1"/>
  <c r="G1" i="9"/>
  <c r="G2" i="9" s="1"/>
  <c r="M44" i="9"/>
  <c r="N19" i="9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4" i="9" s="1"/>
  <c r="J44" i="9"/>
  <c r="K31" i="9"/>
  <c r="K32" i="9" s="1"/>
  <c r="K33" i="9" s="1"/>
  <c r="K34" i="9" s="1"/>
  <c r="K35" i="9" s="1"/>
  <c r="K36" i="9" s="1"/>
  <c r="K37" i="9" s="1"/>
  <c r="K38" i="9" s="1"/>
  <c r="K39" i="9" s="1"/>
  <c r="K40" i="9" s="1"/>
  <c r="K41" i="9" s="1"/>
  <c r="K42" i="9" s="1"/>
  <c r="K44" i="9" s="1"/>
  <c r="H44" i="8"/>
  <c r="G1" i="8"/>
  <c r="G2" i="8" s="1"/>
  <c r="M44" i="8"/>
  <c r="N19" i="8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4" i="8" s="1"/>
  <c r="J44" i="8"/>
  <c r="K31" i="8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4" i="8" s="1"/>
  <c r="H44" i="7"/>
  <c r="G1" i="7"/>
  <c r="G2" i="7" s="1"/>
  <c r="M44" i="7"/>
  <c r="N19" i="7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4" i="7" s="1"/>
  <c r="J44" i="7"/>
  <c r="K31" i="7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4" i="7" s="1"/>
  <c r="G44" i="4"/>
  <c r="G43" i="3"/>
  <c r="G61" i="2"/>
  <c r="I61" i="2" s="1"/>
  <c r="C62" i="2" s="1"/>
  <c r="H61" i="2"/>
  <c r="I44" i="4" l="1"/>
  <c r="C45" i="4" s="1"/>
  <c r="H44" i="4"/>
  <c r="I43" i="3"/>
  <c r="C44" i="3" s="1"/>
  <c r="H43" i="3"/>
  <c r="F62" i="2"/>
  <c r="F45" i="4" l="1"/>
  <c r="F44" i="3"/>
  <c r="G62" i="2"/>
  <c r="I62" i="2" s="1"/>
  <c r="C63" i="2" s="1"/>
  <c r="H62" i="2"/>
  <c r="G45" i="4" l="1"/>
  <c r="G44" i="3"/>
  <c r="F63" i="2"/>
  <c r="I45" i="4" l="1"/>
  <c r="C46" i="4" s="1"/>
  <c r="H45" i="4"/>
  <c r="I44" i="3"/>
  <c r="C45" i="3" s="1"/>
  <c r="H44" i="3"/>
  <c r="G63" i="2"/>
  <c r="I63" i="2" s="1"/>
  <c r="C64" i="2" s="1"/>
  <c r="H63" i="2"/>
  <c r="F46" i="4" l="1"/>
  <c r="F45" i="3"/>
  <c r="F64" i="2"/>
  <c r="G46" i="4" l="1"/>
  <c r="G45" i="3"/>
  <c r="G64" i="2"/>
  <c r="I64" i="2" s="1"/>
  <c r="C65" i="2" s="1"/>
  <c r="H64" i="2"/>
  <c r="I46" i="4" l="1"/>
  <c r="C47" i="4" s="1"/>
  <c r="H46" i="4"/>
  <c r="I45" i="3"/>
  <c r="C46" i="3" s="1"/>
  <c r="H45" i="3"/>
  <c r="F65" i="2"/>
  <c r="F47" i="4" l="1"/>
  <c r="F46" i="3"/>
  <c r="G65" i="2"/>
  <c r="I65" i="2" s="1"/>
  <c r="C66" i="2" s="1"/>
  <c r="H65" i="2"/>
  <c r="G47" i="4" l="1"/>
  <c r="G46" i="3"/>
  <c r="F66" i="2"/>
  <c r="I47" i="4" l="1"/>
  <c r="C48" i="4" s="1"/>
  <c r="H47" i="4"/>
  <c r="I46" i="3"/>
  <c r="C47" i="3" s="1"/>
  <c r="H46" i="3"/>
  <c r="G66" i="2"/>
  <c r="I66" i="2" s="1"/>
  <c r="C67" i="2" s="1"/>
  <c r="H66" i="2"/>
  <c r="F48" i="4" l="1"/>
  <c r="F47" i="3"/>
  <c r="F67" i="2"/>
  <c r="G48" i="4" l="1"/>
  <c r="G47" i="3"/>
  <c r="G67" i="2"/>
  <c r="I67" i="2" s="1"/>
  <c r="C68" i="2" s="1"/>
  <c r="H67" i="2"/>
  <c r="I48" i="4" l="1"/>
  <c r="C49" i="4" s="1"/>
  <c r="H48" i="4"/>
  <c r="I47" i="3"/>
  <c r="C48" i="3" s="1"/>
  <c r="H47" i="3"/>
  <c r="F68" i="2"/>
  <c r="F49" i="4" l="1"/>
  <c r="F48" i="3"/>
  <c r="G68" i="2"/>
  <c r="I68" i="2" s="1"/>
  <c r="C69" i="2" s="1"/>
  <c r="H68" i="2"/>
  <c r="G49" i="4" l="1"/>
  <c r="G48" i="3"/>
  <c r="F69" i="2"/>
  <c r="I49" i="4" l="1"/>
  <c r="C50" i="4" s="1"/>
  <c r="H49" i="4"/>
  <c r="I48" i="3"/>
  <c r="C49" i="3" s="1"/>
  <c r="H48" i="3"/>
  <c r="G69" i="2"/>
  <c r="I69" i="2" s="1"/>
  <c r="C70" i="2" s="1"/>
  <c r="H69" i="2"/>
  <c r="F50" i="4" l="1"/>
  <c r="F49" i="3"/>
  <c r="F70" i="2"/>
  <c r="G50" i="4" l="1"/>
  <c r="G49" i="3"/>
  <c r="G70" i="2"/>
  <c r="I70" i="2" s="1"/>
  <c r="C71" i="2" s="1"/>
  <c r="H70" i="2"/>
  <c r="I50" i="4" l="1"/>
  <c r="C51" i="4" s="1"/>
  <c r="H50" i="4"/>
  <c r="I49" i="3"/>
  <c r="C50" i="3" s="1"/>
  <c r="H49" i="3"/>
  <c r="F71" i="2"/>
  <c r="F51" i="4" l="1"/>
  <c r="F50" i="3"/>
  <c r="G71" i="2"/>
  <c r="I71" i="2" s="1"/>
  <c r="C72" i="2" s="1"/>
  <c r="H71" i="2"/>
  <c r="G51" i="4" l="1"/>
  <c r="G50" i="3"/>
  <c r="F72" i="2"/>
  <c r="I51" i="4" l="1"/>
  <c r="C52" i="4" s="1"/>
  <c r="H51" i="4"/>
  <c r="I50" i="3"/>
  <c r="C51" i="3" s="1"/>
  <c r="H50" i="3"/>
  <c r="G72" i="2"/>
  <c r="I72" i="2" s="1"/>
  <c r="C73" i="2" s="1"/>
  <c r="H72" i="2"/>
  <c r="F52" i="4" l="1"/>
  <c r="F51" i="3"/>
  <c r="F73" i="2"/>
  <c r="G52" i="4" l="1"/>
  <c r="G51" i="3"/>
  <c r="G73" i="2"/>
  <c r="I73" i="2" s="1"/>
  <c r="C74" i="2" s="1"/>
  <c r="H73" i="2"/>
  <c r="I52" i="4" l="1"/>
  <c r="C53" i="4" s="1"/>
  <c r="H52" i="4"/>
  <c r="I51" i="3"/>
  <c r="C52" i="3" s="1"/>
  <c r="H51" i="3"/>
  <c r="F74" i="2"/>
  <c r="F53" i="4" l="1"/>
  <c r="F52" i="3"/>
  <c r="G74" i="2"/>
  <c r="I74" i="2" s="1"/>
  <c r="C75" i="2" s="1"/>
  <c r="H74" i="2"/>
  <c r="G53" i="4" l="1"/>
  <c r="G52" i="3"/>
  <c r="F75" i="2"/>
  <c r="I53" i="4" l="1"/>
  <c r="C54" i="4" s="1"/>
  <c r="H53" i="4"/>
  <c r="I52" i="3"/>
  <c r="C53" i="3" s="1"/>
  <c r="H52" i="3"/>
  <c r="G75" i="2"/>
  <c r="I75" i="2" s="1"/>
  <c r="C76" i="2" s="1"/>
  <c r="H75" i="2"/>
  <c r="F54" i="4" l="1"/>
  <c r="F53" i="3"/>
  <c r="F76" i="2"/>
  <c r="G54" i="4" l="1"/>
  <c r="G53" i="3"/>
  <c r="G76" i="2"/>
  <c r="I76" i="2" s="1"/>
  <c r="C77" i="2" s="1"/>
  <c r="H76" i="2"/>
  <c r="I54" i="4" l="1"/>
  <c r="C55" i="4" s="1"/>
  <c r="H54" i="4"/>
  <c r="I53" i="3"/>
  <c r="C54" i="3" s="1"/>
  <c r="H53" i="3"/>
  <c r="F77" i="2"/>
  <c r="F55" i="4" l="1"/>
  <c r="F54" i="3"/>
  <c r="G77" i="2"/>
  <c r="I77" i="2" s="1"/>
  <c r="C78" i="2" s="1"/>
  <c r="H77" i="2"/>
  <c r="G55" i="4" l="1"/>
  <c r="G54" i="3"/>
  <c r="F78" i="2"/>
  <c r="I55" i="4" l="1"/>
  <c r="C56" i="4" s="1"/>
  <c r="H55" i="4"/>
  <c r="I54" i="3"/>
  <c r="C55" i="3" s="1"/>
  <c r="H54" i="3"/>
  <c r="G78" i="2"/>
  <c r="I78" i="2" s="1"/>
  <c r="C79" i="2" s="1"/>
  <c r="H78" i="2"/>
  <c r="F56" i="4" l="1"/>
  <c r="F55" i="3"/>
  <c r="F79" i="2"/>
  <c r="G56" i="4" l="1"/>
  <c r="G55" i="3"/>
  <c r="G79" i="2"/>
  <c r="C80" i="2" s="1"/>
  <c r="D80" i="2" s="1"/>
  <c r="H79" i="2"/>
  <c r="I56" i="4" l="1"/>
  <c r="C57" i="4" s="1"/>
  <c r="H56" i="4"/>
  <c r="I55" i="3"/>
  <c r="C56" i="3" s="1"/>
  <c r="H55" i="3"/>
  <c r="F80" i="2"/>
  <c r="F57" i="4" l="1"/>
  <c r="F56" i="3"/>
  <c r="G80" i="2"/>
  <c r="H80" i="2"/>
  <c r="I80" i="2" s="1"/>
  <c r="G57" i="4" l="1"/>
  <c r="G56" i="3"/>
  <c r="C81" i="2"/>
  <c r="D81" i="2" s="1"/>
  <c r="F81" i="2"/>
  <c r="I57" i="4" l="1"/>
  <c r="C58" i="4" s="1"/>
  <c r="H57" i="4"/>
  <c r="I56" i="3"/>
  <c r="C57" i="3" s="1"/>
  <c r="H56" i="3"/>
  <c r="G81" i="2"/>
  <c r="H81" i="2"/>
  <c r="I81" i="2" s="1"/>
  <c r="F58" i="4" l="1"/>
  <c r="F57" i="3"/>
  <c r="C82" i="2"/>
  <c r="D82" i="2" s="1"/>
  <c r="F82" i="2"/>
  <c r="G58" i="4" l="1"/>
  <c r="G57" i="3"/>
  <c r="G82" i="2"/>
  <c r="H82" i="2"/>
  <c r="I82" i="2" s="1"/>
  <c r="I58" i="4" l="1"/>
  <c r="C59" i="4" s="1"/>
  <c r="H58" i="4"/>
  <c r="I57" i="3"/>
  <c r="C58" i="3" s="1"/>
  <c r="H57" i="3"/>
  <c r="C83" i="2"/>
  <c r="D83" i="2" s="1"/>
  <c r="F83" i="2"/>
  <c r="F59" i="4" l="1"/>
  <c r="F58" i="3"/>
  <c r="G83" i="2"/>
  <c r="H83" i="2"/>
  <c r="I83" i="2" s="1"/>
  <c r="G59" i="4" l="1"/>
  <c r="G58" i="3"/>
  <c r="C84" i="2"/>
  <c r="D84" i="2" s="1"/>
  <c r="F84" i="2"/>
  <c r="I59" i="4" l="1"/>
  <c r="C60" i="4" s="1"/>
  <c r="H59" i="4"/>
  <c r="I58" i="3"/>
  <c r="C59" i="3" s="1"/>
  <c r="H58" i="3"/>
  <c r="G84" i="2"/>
  <c r="H84" i="2"/>
  <c r="I84" i="2" s="1"/>
  <c r="F60" i="4" l="1"/>
  <c r="F59" i="3"/>
  <c r="C85" i="2"/>
  <c r="D85" i="2" s="1"/>
  <c r="F85" i="2"/>
  <c r="G60" i="4" l="1"/>
  <c r="G59" i="3"/>
  <c r="G85" i="2"/>
  <c r="H85" i="2"/>
  <c r="I85" i="2" s="1"/>
  <c r="I60" i="4" l="1"/>
  <c r="C61" i="4" s="1"/>
  <c r="H60" i="4"/>
  <c r="I59" i="3"/>
  <c r="C60" i="3" s="1"/>
  <c r="H59" i="3"/>
  <c r="C86" i="2"/>
  <c r="D86" i="2" s="1"/>
  <c r="F86" i="2"/>
  <c r="F61" i="4" l="1"/>
  <c r="F60" i="3"/>
  <c r="G86" i="2"/>
  <c r="H86" i="2"/>
  <c r="I86" i="2" s="1"/>
  <c r="G61" i="4" l="1"/>
  <c r="G60" i="3"/>
  <c r="C87" i="2"/>
  <c r="D87" i="2" s="1"/>
  <c r="F87" i="2"/>
  <c r="I61" i="4" l="1"/>
  <c r="C62" i="4" s="1"/>
  <c r="H61" i="4"/>
  <c r="I60" i="3"/>
  <c r="C61" i="3" s="1"/>
  <c r="H60" i="3"/>
  <c r="G87" i="2"/>
  <c r="H87" i="2"/>
  <c r="I87" i="2" s="1"/>
  <c r="F62" i="4" l="1"/>
  <c r="F61" i="3"/>
  <c r="C88" i="2"/>
  <c r="D88" i="2" s="1"/>
  <c r="F88" i="2"/>
  <c r="G62" i="4" l="1"/>
  <c r="G61" i="3"/>
  <c r="G88" i="2"/>
  <c r="H88" i="2"/>
  <c r="I88" i="2" s="1"/>
  <c r="I62" i="4" l="1"/>
  <c r="C63" i="4" s="1"/>
  <c r="H62" i="4"/>
  <c r="I61" i="3"/>
  <c r="C62" i="3" s="1"/>
  <c r="H61" i="3"/>
  <c r="C89" i="2"/>
  <c r="D89" i="2" s="1"/>
  <c r="F89" i="2"/>
  <c r="F63" i="4" l="1"/>
  <c r="F62" i="3"/>
  <c r="G89" i="2"/>
  <c r="H89" i="2"/>
  <c r="I89" i="2" s="1"/>
  <c r="G63" i="4" l="1"/>
  <c r="G62" i="3"/>
  <c r="C90" i="2"/>
  <c r="D90" i="2" s="1"/>
  <c r="F90" i="2"/>
  <c r="I63" i="4" l="1"/>
  <c r="C64" i="4" s="1"/>
  <c r="H63" i="4"/>
  <c r="I62" i="3"/>
  <c r="C63" i="3" s="1"/>
  <c r="H62" i="3"/>
  <c r="G90" i="2"/>
  <c r="H90" i="2"/>
  <c r="F64" i="4" l="1"/>
  <c r="F63" i="3"/>
  <c r="G64" i="4" l="1"/>
  <c r="G63" i="3"/>
  <c r="I64" i="4" l="1"/>
  <c r="C65" i="4" s="1"/>
  <c r="H64" i="4"/>
  <c r="I63" i="3"/>
  <c r="C64" i="3" s="1"/>
  <c r="H63" i="3"/>
  <c r="F65" i="4" l="1"/>
  <c r="F64" i="3"/>
  <c r="G65" i="4" l="1"/>
  <c r="G64" i="3"/>
  <c r="I65" i="4" l="1"/>
  <c r="C66" i="4" s="1"/>
  <c r="H65" i="4"/>
  <c r="I64" i="3"/>
  <c r="C65" i="3" s="1"/>
  <c r="H64" i="3"/>
  <c r="F66" i="4" l="1"/>
  <c r="F65" i="3"/>
  <c r="G66" i="4" l="1"/>
  <c r="G65" i="3"/>
  <c r="I66" i="4" l="1"/>
  <c r="C67" i="4" s="1"/>
  <c r="H66" i="4"/>
  <c r="I65" i="3"/>
  <c r="C66" i="3" s="1"/>
  <c r="H65" i="3"/>
  <c r="F67" i="4" l="1"/>
  <c r="F66" i="3"/>
  <c r="G67" i="4" l="1"/>
  <c r="G66" i="3"/>
  <c r="I67" i="4" l="1"/>
  <c r="C68" i="4" s="1"/>
  <c r="H67" i="4"/>
  <c r="I66" i="3"/>
  <c r="C67" i="3" s="1"/>
  <c r="H66" i="3"/>
  <c r="F68" i="4" l="1"/>
  <c r="F67" i="3"/>
  <c r="G68" i="4" l="1"/>
  <c r="G67" i="3"/>
  <c r="I68" i="4" l="1"/>
  <c r="C69" i="4" s="1"/>
  <c r="H68" i="4"/>
  <c r="I67" i="3"/>
  <c r="C68" i="3" s="1"/>
  <c r="H67" i="3"/>
  <c r="F69" i="4" l="1"/>
  <c r="F68" i="3"/>
  <c r="G69" i="4" l="1"/>
  <c r="G68" i="3"/>
  <c r="I69" i="4" l="1"/>
  <c r="C70" i="4" s="1"/>
  <c r="H69" i="4"/>
  <c r="I68" i="3"/>
  <c r="C69" i="3" s="1"/>
  <c r="H68" i="3"/>
  <c r="F70" i="4" l="1"/>
  <c r="F69" i="3"/>
  <c r="G70" i="4" l="1"/>
  <c r="G69" i="3"/>
  <c r="I70" i="4" l="1"/>
  <c r="C71" i="4" s="1"/>
  <c r="H70" i="4"/>
  <c r="I69" i="3"/>
  <c r="C70" i="3" s="1"/>
  <c r="H69" i="3"/>
  <c r="F71" i="4" l="1"/>
  <c r="F70" i="3"/>
  <c r="G71" i="4" l="1"/>
  <c r="G70" i="3"/>
  <c r="I71" i="4" l="1"/>
  <c r="C72" i="4" s="1"/>
  <c r="H71" i="4"/>
  <c r="I70" i="3"/>
  <c r="C71" i="3" s="1"/>
  <c r="H70" i="3"/>
  <c r="F72" i="4" l="1"/>
  <c r="F71" i="3"/>
  <c r="G72" i="4" l="1"/>
  <c r="G71" i="3"/>
  <c r="I72" i="4" l="1"/>
  <c r="C73" i="4" s="1"/>
  <c r="H72" i="4"/>
  <c r="I71" i="3"/>
  <c r="C72" i="3" s="1"/>
  <c r="H71" i="3"/>
  <c r="F73" i="4" l="1"/>
  <c r="F72" i="3"/>
  <c r="G73" i="4" l="1"/>
  <c r="G72" i="3"/>
  <c r="I73" i="4" l="1"/>
  <c r="C74" i="4" s="1"/>
  <c r="H73" i="4"/>
  <c r="I72" i="3"/>
  <c r="C73" i="3" s="1"/>
  <c r="H72" i="3"/>
  <c r="F74" i="4" l="1"/>
  <c r="F73" i="3"/>
  <c r="G74" i="4" l="1"/>
  <c r="G73" i="3"/>
  <c r="I74" i="4" l="1"/>
  <c r="C75" i="4" s="1"/>
  <c r="H74" i="4"/>
  <c r="I73" i="3"/>
  <c r="C74" i="3" s="1"/>
  <c r="H73" i="3"/>
  <c r="F75" i="4" l="1"/>
  <c r="F74" i="3"/>
  <c r="G75" i="4" l="1"/>
  <c r="G74" i="3"/>
  <c r="I75" i="4" l="1"/>
  <c r="C76" i="4" s="1"/>
  <c r="H75" i="4"/>
  <c r="I74" i="3"/>
  <c r="C75" i="3" s="1"/>
  <c r="H74" i="3"/>
  <c r="F76" i="4" l="1"/>
  <c r="F75" i="3"/>
  <c r="G76" i="4" l="1"/>
  <c r="G75" i="3"/>
  <c r="I76" i="4" l="1"/>
  <c r="C77" i="4" s="1"/>
  <c r="H76" i="4"/>
  <c r="I75" i="3"/>
  <c r="C76" i="3" s="1"/>
  <c r="H75" i="3"/>
  <c r="F77" i="4" l="1"/>
  <c r="F76" i="3"/>
  <c r="G77" i="4" l="1"/>
  <c r="G76" i="3"/>
  <c r="I77" i="4" l="1"/>
  <c r="C78" i="4" s="1"/>
  <c r="H77" i="4"/>
  <c r="I76" i="3"/>
  <c r="C77" i="3" s="1"/>
  <c r="H76" i="3"/>
  <c r="F78" i="4" l="1"/>
  <c r="F77" i="3"/>
  <c r="G78" i="4" l="1"/>
  <c r="G77" i="3"/>
  <c r="I78" i="4" l="1"/>
  <c r="C79" i="4" s="1"/>
  <c r="H78" i="4"/>
  <c r="I77" i="3"/>
  <c r="C78" i="3" s="1"/>
  <c r="H77" i="3"/>
  <c r="F79" i="4" l="1"/>
  <c r="D79" i="4"/>
  <c r="F78" i="3"/>
  <c r="G79" i="4" l="1"/>
  <c r="H79" i="4"/>
  <c r="G78" i="3"/>
  <c r="I79" i="4" l="1"/>
  <c r="C80" i="4" s="1"/>
  <c r="I78" i="3"/>
  <c r="C79" i="3" s="1"/>
  <c r="H78" i="3"/>
  <c r="F80" i="4" l="1"/>
  <c r="D80" i="4"/>
  <c r="F79" i="3"/>
  <c r="D79" i="3"/>
  <c r="G80" i="4" l="1"/>
  <c r="H80" i="4"/>
  <c r="G79" i="3"/>
  <c r="H79" i="3"/>
  <c r="I79" i="3" s="1"/>
  <c r="C80" i="3" s="1"/>
  <c r="I80" i="4" l="1"/>
  <c r="C81" i="4" s="1"/>
  <c r="F80" i="3"/>
  <c r="D80" i="3"/>
  <c r="F81" i="4" l="1"/>
  <c r="D81" i="4"/>
  <c r="G80" i="3"/>
  <c r="H80" i="3"/>
  <c r="I80" i="3" s="1"/>
  <c r="C81" i="3" s="1"/>
  <c r="G81" i="4" l="1"/>
  <c r="H81" i="4"/>
  <c r="F81" i="3"/>
  <c r="D81" i="3"/>
  <c r="I81" i="4" l="1"/>
  <c r="C82" i="4" s="1"/>
  <c r="G81" i="3"/>
  <c r="H81" i="3"/>
  <c r="I81" i="3" s="1"/>
  <c r="C82" i="3" s="1"/>
  <c r="F82" i="4" l="1"/>
  <c r="D82" i="4"/>
  <c r="F82" i="3"/>
  <c r="D82" i="3"/>
  <c r="G82" i="4" l="1"/>
  <c r="H82" i="4"/>
  <c r="G82" i="3"/>
  <c r="H82" i="3"/>
  <c r="I82" i="3" s="1"/>
  <c r="C83" i="3" s="1"/>
  <c r="I82" i="4" l="1"/>
  <c r="C83" i="4" s="1"/>
  <c r="F83" i="3"/>
  <c r="D83" i="3"/>
  <c r="F83" i="4" l="1"/>
  <c r="D83" i="4"/>
  <c r="G83" i="3"/>
  <c r="H83" i="3"/>
  <c r="I83" i="3" s="1"/>
  <c r="C84" i="3" s="1"/>
  <c r="G83" i="4" l="1"/>
  <c r="H83" i="4"/>
  <c r="F84" i="3"/>
  <c r="D84" i="3"/>
  <c r="I83" i="4" l="1"/>
  <c r="C84" i="4" s="1"/>
  <c r="G84" i="3"/>
  <c r="H84" i="3"/>
  <c r="I84" i="3" s="1"/>
  <c r="C85" i="3" s="1"/>
  <c r="F84" i="4" l="1"/>
  <c r="D84" i="4"/>
  <c r="F85" i="3"/>
  <c r="D85" i="3"/>
  <c r="G84" i="4" l="1"/>
  <c r="H84" i="4"/>
  <c r="G85" i="3"/>
  <c r="H85" i="3"/>
  <c r="I85" i="3" s="1"/>
  <c r="C86" i="3" s="1"/>
  <c r="I84" i="4" l="1"/>
  <c r="C85" i="4" s="1"/>
  <c r="F86" i="3"/>
  <c r="D86" i="3"/>
  <c r="F85" i="4" l="1"/>
  <c r="D85" i="4"/>
  <c r="G86" i="3"/>
  <c r="H86" i="3"/>
  <c r="I86" i="3" s="1"/>
  <c r="C87" i="3" s="1"/>
  <c r="G85" i="4" l="1"/>
  <c r="H85" i="4"/>
  <c r="F87" i="3"/>
  <c r="D87" i="3"/>
  <c r="I85" i="4" l="1"/>
  <c r="C86" i="4" s="1"/>
  <c r="G87" i="3"/>
  <c r="H87" i="3"/>
  <c r="I87" i="3" s="1"/>
  <c r="C88" i="3" s="1"/>
  <c r="F86" i="4" l="1"/>
  <c r="D86" i="4"/>
  <c r="F88" i="3"/>
  <c r="D88" i="3"/>
  <c r="G86" i="4" l="1"/>
  <c r="H86" i="4"/>
  <c r="G88" i="3"/>
  <c r="H88" i="3"/>
  <c r="I88" i="3" s="1"/>
  <c r="C89" i="3" s="1"/>
  <c r="I86" i="4" l="1"/>
  <c r="C87" i="4" s="1"/>
  <c r="F89" i="3"/>
  <c r="D89" i="3"/>
  <c r="F87" i="4" l="1"/>
  <c r="D87" i="4"/>
  <c r="G89" i="3"/>
  <c r="H89" i="3"/>
  <c r="I89" i="3" s="1"/>
  <c r="C90" i="3" s="1"/>
  <c r="G87" i="4" l="1"/>
  <c r="H87" i="4"/>
  <c r="F90" i="3"/>
  <c r="D90" i="3"/>
  <c r="G90" i="3" s="1"/>
  <c r="I87" i="4" l="1"/>
  <c r="C88" i="4" s="1"/>
  <c r="H90" i="3"/>
  <c r="I90" i="3" s="1"/>
  <c r="F88" i="4" l="1"/>
  <c r="D88" i="4"/>
  <c r="G88" i="4" l="1"/>
  <c r="H88" i="4"/>
  <c r="I88" i="4" l="1"/>
  <c r="C89" i="4" s="1"/>
  <c r="F89" i="4" l="1"/>
  <c r="D89" i="4"/>
  <c r="G89" i="4" l="1"/>
  <c r="H89" i="4"/>
  <c r="I89" i="4" l="1"/>
  <c r="C90" i="4" s="1"/>
  <c r="F90" i="4" l="1"/>
  <c r="D90" i="4"/>
  <c r="G90" i="4" s="1"/>
  <c r="H90" i="4" l="1"/>
  <c r="I90" i="4" l="1"/>
  <c r="G1" i="4"/>
  <c r="G2" i="4" s="1"/>
  <c r="G7" i="6"/>
  <c r="H7" i="6" l="1"/>
  <c r="I7" i="6"/>
  <c r="C8" i="6" s="1"/>
  <c r="F8" i="6" s="1"/>
  <c r="G8" i="6" l="1"/>
  <c r="M8" i="6"/>
  <c r="N8" i="6" s="1"/>
  <c r="J8" i="6"/>
  <c r="K8" i="6" s="1"/>
  <c r="I8" i="6" l="1"/>
  <c r="C9" i="6" s="1"/>
  <c r="F9" i="6" s="1"/>
  <c r="H8" i="6"/>
  <c r="G9" i="6"/>
  <c r="I9" i="6" l="1"/>
  <c r="M9" i="6"/>
  <c r="N9" i="6" s="1"/>
  <c r="J9" i="6"/>
  <c r="K9" i="6" s="1"/>
  <c r="C10" i="6"/>
  <c r="H9" i="6"/>
  <c r="F10" i="6" l="1"/>
  <c r="M10" i="6" l="1"/>
  <c r="N10" i="6" s="1"/>
  <c r="J10" i="6"/>
  <c r="K10" i="6" s="1"/>
  <c r="G10" i="6"/>
  <c r="I10" i="6" l="1"/>
  <c r="C11" i="6"/>
  <c r="H10" i="6"/>
  <c r="F11" i="6" l="1"/>
  <c r="M11" i="6" l="1"/>
  <c r="N11" i="6" s="1"/>
  <c r="J11" i="6"/>
  <c r="K11" i="6" s="1"/>
  <c r="G11" i="6"/>
  <c r="I11" i="6" l="1"/>
  <c r="C12" i="6"/>
  <c r="H11" i="6"/>
  <c r="F12" i="6" l="1"/>
  <c r="M12" i="6" l="1"/>
  <c r="N12" i="6" s="1"/>
  <c r="J12" i="6"/>
  <c r="K12" i="6" s="1"/>
  <c r="G12" i="6"/>
  <c r="I12" i="6" l="1"/>
  <c r="C13" i="6"/>
  <c r="H12" i="6"/>
  <c r="F13" i="6" l="1"/>
  <c r="M13" i="6" l="1"/>
  <c r="N13" i="6" s="1"/>
  <c r="J13" i="6"/>
  <c r="K13" i="6" s="1"/>
  <c r="G13" i="6"/>
  <c r="I13" i="6" l="1"/>
  <c r="C14" i="6"/>
  <c r="H13" i="6"/>
  <c r="F14" i="6" l="1"/>
  <c r="M14" i="6" l="1"/>
  <c r="N14" i="6" s="1"/>
  <c r="J14" i="6"/>
  <c r="K14" i="6" s="1"/>
  <c r="G14" i="6"/>
  <c r="I14" i="6" l="1"/>
  <c r="C15" i="6"/>
  <c r="H14" i="6"/>
  <c r="F15" i="6" l="1"/>
  <c r="M15" i="6" l="1"/>
  <c r="N15" i="6" s="1"/>
  <c r="J15" i="6"/>
  <c r="K15" i="6" s="1"/>
  <c r="G15" i="6"/>
  <c r="I15" i="6" l="1"/>
  <c r="C16" i="6"/>
  <c r="H15" i="6"/>
  <c r="F16" i="6" l="1"/>
  <c r="M16" i="6" l="1"/>
  <c r="N16" i="6" s="1"/>
  <c r="J16" i="6"/>
  <c r="K16" i="6" s="1"/>
  <c r="G16" i="6"/>
  <c r="I16" i="6" l="1"/>
  <c r="C17" i="6"/>
  <c r="H16" i="6"/>
  <c r="F17" i="6" l="1"/>
  <c r="M17" i="6" l="1"/>
  <c r="N17" i="6" s="1"/>
  <c r="J17" i="6"/>
  <c r="K17" i="6" s="1"/>
  <c r="G17" i="6"/>
  <c r="I17" i="6" l="1"/>
  <c r="C18" i="6"/>
  <c r="H17" i="6"/>
  <c r="F18" i="6" l="1"/>
  <c r="M18" i="6" l="1"/>
  <c r="N18" i="6" s="1"/>
  <c r="J18" i="6"/>
  <c r="K18" i="6" s="1"/>
  <c r="G18" i="6"/>
  <c r="I18" i="6" l="1"/>
  <c r="C19" i="6" s="1"/>
  <c r="H18" i="6"/>
  <c r="F19" i="6" l="1"/>
  <c r="J19" i="6" s="1"/>
  <c r="K19" i="6" s="1"/>
  <c r="G19" i="6" l="1"/>
  <c r="I19" i="6" l="1"/>
  <c r="C20" i="6" s="1"/>
  <c r="H19" i="6"/>
  <c r="F20" i="6" l="1"/>
  <c r="J20" i="6" s="1"/>
  <c r="K20" i="6" s="1"/>
  <c r="G20" i="6" l="1"/>
  <c r="I20" i="6" l="1"/>
  <c r="C21" i="6" s="1"/>
  <c r="H20" i="6"/>
  <c r="F21" i="6" l="1"/>
  <c r="J21" i="6" s="1"/>
  <c r="K21" i="6" s="1"/>
  <c r="G21" i="6" l="1"/>
  <c r="I21" i="6" l="1"/>
  <c r="C22" i="6" s="1"/>
  <c r="H21" i="6"/>
  <c r="F22" i="6" l="1"/>
  <c r="J22" i="6" s="1"/>
  <c r="K22" i="6" s="1"/>
  <c r="G22" i="6" l="1"/>
  <c r="I22" i="6" l="1"/>
  <c r="C23" i="6" s="1"/>
  <c r="H22" i="6"/>
  <c r="F23" i="6" l="1"/>
  <c r="J23" i="6" s="1"/>
  <c r="K23" i="6" s="1"/>
  <c r="G23" i="6" l="1"/>
  <c r="I23" i="6" l="1"/>
  <c r="C24" i="6" s="1"/>
  <c r="H23" i="6"/>
  <c r="F24" i="6" l="1"/>
  <c r="J24" i="6" s="1"/>
  <c r="K24" i="6" s="1"/>
  <c r="G24" i="6" l="1"/>
  <c r="I24" i="6" l="1"/>
  <c r="C25" i="6" s="1"/>
  <c r="H24" i="6"/>
  <c r="F25" i="6" l="1"/>
  <c r="J25" i="6" s="1"/>
  <c r="K25" i="6" s="1"/>
  <c r="G25" i="6" l="1"/>
  <c r="I25" i="6" l="1"/>
  <c r="C26" i="6" s="1"/>
  <c r="H25" i="6"/>
  <c r="F26" i="6" l="1"/>
  <c r="J26" i="6" s="1"/>
  <c r="K26" i="6" s="1"/>
  <c r="G26" i="6" l="1"/>
  <c r="I26" i="6" l="1"/>
  <c r="C27" i="6" s="1"/>
  <c r="H26" i="6"/>
  <c r="F27" i="6" l="1"/>
  <c r="J27" i="6" s="1"/>
  <c r="K27" i="6" s="1"/>
  <c r="G27" i="6" l="1"/>
  <c r="I27" i="6" l="1"/>
  <c r="C28" i="6" s="1"/>
  <c r="H27" i="6"/>
  <c r="F28" i="6" l="1"/>
  <c r="J28" i="6" s="1"/>
  <c r="K28" i="6" s="1"/>
  <c r="G28" i="6" l="1"/>
  <c r="I28" i="6" l="1"/>
  <c r="C29" i="6" s="1"/>
  <c r="H28" i="6"/>
  <c r="F29" i="6" l="1"/>
  <c r="J29" i="6" s="1"/>
  <c r="K29" i="6" s="1"/>
  <c r="G29" i="6" l="1"/>
  <c r="I29" i="6" l="1"/>
  <c r="C30" i="6" s="1"/>
  <c r="H29" i="6"/>
  <c r="F30" i="6" l="1"/>
  <c r="J30" i="6" s="1"/>
  <c r="K30" i="6" s="1"/>
  <c r="G30" i="6" l="1"/>
  <c r="I30" i="6" l="1"/>
  <c r="C31" i="6" s="1"/>
  <c r="H30" i="6"/>
  <c r="F31" i="6" l="1"/>
  <c r="G31" i="6" l="1"/>
  <c r="I31" i="6" l="1"/>
  <c r="C32" i="6" s="1"/>
  <c r="H31" i="6"/>
  <c r="F32" i="6" l="1"/>
  <c r="G32" i="6" l="1"/>
  <c r="I32" i="6" l="1"/>
  <c r="C33" i="6" s="1"/>
  <c r="H32" i="6"/>
  <c r="F33" i="6" l="1"/>
  <c r="G33" i="6" l="1"/>
  <c r="I33" i="6" l="1"/>
  <c r="C34" i="6" s="1"/>
  <c r="H33" i="6"/>
  <c r="F34" i="6" l="1"/>
  <c r="G34" i="6" l="1"/>
  <c r="I34" i="6" l="1"/>
  <c r="C35" i="6" s="1"/>
  <c r="H34" i="6"/>
  <c r="F35" i="6" l="1"/>
  <c r="G35" i="6" l="1"/>
  <c r="I35" i="6" l="1"/>
  <c r="C36" i="6" s="1"/>
  <c r="H35" i="6"/>
  <c r="F36" i="6" l="1"/>
  <c r="G36" i="6" l="1"/>
  <c r="I36" i="6" l="1"/>
  <c r="C37" i="6" s="1"/>
  <c r="H36" i="6"/>
  <c r="F37" i="6" l="1"/>
  <c r="G37" i="6" l="1"/>
  <c r="I37" i="6" l="1"/>
  <c r="C38" i="6" s="1"/>
  <c r="H37" i="6"/>
  <c r="F38" i="6" l="1"/>
  <c r="G38" i="6" l="1"/>
  <c r="I38" i="6" l="1"/>
  <c r="C39" i="6" s="1"/>
  <c r="H38" i="6"/>
  <c r="F39" i="6" l="1"/>
  <c r="G39" i="6" l="1"/>
  <c r="I39" i="6" l="1"/>
  <c r="C40" i="6" s="1"/>
  <c r="H39" i="6"/>
  <c r="F40" i="6" l="1"/>
  <c r="G40" i="6" l="1"/>
  <c r="I40" i="6" l="1"/>
  <c r="C41" i="6" s="1"/>
  <c r="H40" i="6"/>
  <c r="F41" i="6" l="1"/>
  <c r="G41" i="6" l="1"/>
  <c r="I41" i="6" l="1"/>
  <c r="C42" i="6" s="1"/>
  <c r="H41" i="6"/>
  <c r="F42" i="6" l="1"/>
  <c r="G42" i="6" l="1"/>
  <c r="M19" i="6" l="1"/>
  <c r="N19" i="6" s="1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J32" i="6"/>
  <c r="J33" i="6"/>
  <c r="J34" i="6"/>
  <c r="J35" i="6"/>
  <c r="J36" i="6"/>
  <c r="J37" i="6"/>
  <c r="J38" i="6"/>
  <c r="J39" i="6"/>
  <c r="J40" i="6"/>
  <c r="J41" i="6"/>
  <c r="J42" i="6"/>
  <c r="J31" i="6"/>
  <c r="I42" i="6"/>
  <c r="H42" i="6"/>
  <c r="N20" i="6" l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J44" i="6"/>
  <c r="K31" i="6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G1" i="6"/>
  <c r="H44" i="6"/>
  <c r="M44" i="6"/>
  <c r="G2" i="6"/>
  <c r="N44" i="6" l="1"/>
  <c r="K44" i="6"/>
</calcChain>
</file>

<file path=xl/sharedStrings.xml><?xml version="1.0" encoding="utf-8"?>
<sst xmlns="http://schemas.openxmlformats.org/spreadsheetml/2006/main" count="264" uniqueCount="64">
  <si>
    <t>PMT(rate,nper,pv,[fv],[type])</t>
  </si>
  <si>
    <t>Part 1</t>
  </si>
  <si>
    <t>Part 2</t>
  </si>
  <si>
    <t>Total</t>
  </si>
  <si>
    <t>PMT</t>
  </si>
  <si>
    <t>Rate</t>
  </si>
  <si>
    <t>Annual = 10% = 0.10</t>
  </si>
  <si>
    <t>Monthly = 10% / 12 = 0.00833</t>
  </si>
  <si>
    <t>NPER</t>
  </si>
  <si>
    <t>Loan Period = 5 for five years OR 60 for monthly payments</t>
  </si>
  <si>
    <t>PV</t>
  </si>
  <si>
    <t>Present Value = Loan Amount</t>
  </si>
  <si>
    <t>Amount</t>
  </si>
  <si>
    <t>[fv]</t>
  </si>
  <si>
    <t>Zero future value</t>
  </si>
  <si>
    <t>[type]</t>
  </si>
  <si>
    <t>End of each period</t>
  </si>
  <si>
    <t>Monthly</t>
  </si>
  <si>
    <t>Yearly</t>
  </si>
  <si>
    <t>Total P&amp;I</t>
  </si>
  <si>
    <t xml:space="preserve">Total P </t>
  </si>
  <si>
    <t>Total I</t>
  </si>
  <si>
    <t>Interest %</t>
  </si>
  <si>
    <t>Principal</t>
  </si>
  <si>
    <t>Number of Payments</t>
  </si>
  <si>
    <t>Term</t>
  </si>
  <si>
    <t>Monthly Rate</t>
  </si>
  <si>
    <t>Annual Rate</t>
  </si>
  <si>
    <t>Payment</t>
  </si>
  <si>
    <t>Initial Date</t>
  </si>
  <si>
    <t>Months</t>
  </si>
  <si>
    <t>Date</t>
  </si>
  <si>
    <t>Beginning Balance</t>
  </si>
  <si>
    <t>Interest</t>
  </si>
  <si>
    <t>P&amp;I</t>
  </si>
  <si>
    <t>Ending Balance</t>
  </si>
  <si>
    <t>Total Payments</t>
  </si>
  <si>
    <t>Total Interest</t>
  </si>
  <si>
    <t>Combined 20% + $140K</t>
  </si>
  <si>
    <t>20% (3 Years) + $140K (3 Years)</t>
  </si>
  <si>
    <t>20% (3 Years) + $140K (2 Years)</t>
  </si>
  <si>
    <t>To be Paid</t>
  </si>
  <si>
    <t>Ready</t>
  </si>
  <si>
    <t>Prepare</t>
  </si>
  <si>
    <t>Remaining</t>
  </si>
  <si>
    <t>Delayed</t>
  </si>
  <si>
    <t>Period Yrs</t>
  </si>
  <si>
    <t>Immediate Pay</t>
  </si>
  <si>
    <t>Both Amounts</t>
  </si>
  <si>
    <t>Annual Payment</t>
  </si>
  <si>
    <t>Pay 3rd Year</t>
  </si>
  <si>
    <t>Pay 2nd &amp; 3rd Years</t>
  </si>
  <si>
    <t>Payment Schedule</t>
  </si>
  <si>
    <t>.</t>
  </si>
  <si>
    <t>Scenario 1</t>
  </si>
  <si>
    <t>Monthly Payment</t>
  </si>
  <si>
    <t>Cash Payment</t>
  </si>
  <si>
    <t>Guy Gets</t>
  </si>
  <si>
    <t>Guys Pay</t>
  </si>
  <si>
    <t>Big Piece</t>
  </si>
  <si>
    <t>Small Piece</t>
  </si>
  <si>
    <t>140K stretched</t>
  </si>
  <si>
    <t>140k x 50%</t>
  </si>
  <si>
    <t>140k included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</si>
</sst>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;[Red]\-&quot;$&quot;#,##0.00"/>
    <numFmt numFmtId="164" formatCode="0.000%"/>
    <numFmt numFmtId="165" formatCode="_-[$$-409]* #,##0.00_ ;_-[$$-409]* \-#,##0.00\ ;_-[$$-409]* &quot;-&quot;??_ ;_-@_ "/>
    <numFmt numFmtId="166" formatCode="&quot;$&quot;#,##0.00"/>
  </numFmts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0" fontId="0" fillId="0" borderId="0" xfId="0" applyNumberFormat="1"/>
    <xf numFmtId="8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4" fontId="0" fillId="0" borderId="0" xfId="0" applyNumberFormat="1"/>
    <xf numFmtId="8" fontId="0" fillId="2" borderId="0" xfId="0" applyNumberFormat="1" applyFill="1"/>
    <xf numFmtId="166" fontId="0" fillId="0" borderId="0" xfId="0" applyNumberFormat="1"/>
    <xf numFmtId="10" fontId="0" fillId="2" borderId="0" xfId="0" applyNumberFormat="1" applyFill="1"/>
    <xf numFmtId="14" fontId="1" fillId="0" borderId="0" xfId="0" applyNumberFormat="1" applyFont="1"/>
    <xf numFmtId="8" fontId="1" fillId="2" borderId="0" xfId="0" applyNumberFormat="1" applyFont="1" applyFill="1"/>
    <xf numFmtId="10" fontId="1" fillId="2" borderId="0" xfId="0" applyNumberFormat="1" applyFont="1" applyFill="1"/>
    <xf numFmtId="166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9" fontId="0" fillId="0" borderId="0" xfId="0" applyNumberFormat="1"/>
    <xf numFmtId="0" fontId="0" fillId="2" borderId="0" xfId="0" applyFill="1"/>
    <xf numFmtId="165" fontId="0" fillId="2" borderId="0" xfId="0" applyNumberFormat="1" applyFill="1"/>
    <xf numFmtId="9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2" fontId="0" fillId="0" borderId="0" xfId="0" applyNumberFormat="1"/>
    <xf numFmtId="165" fontId="0" fillId="3" borderId="0" xfId="0" applyNumberFormat="1" applyFill="1"/>
    <xf numFmtId="165" fontId="2" fillId="4" borderId="0" xfId="0" applyNumberFormat="1" applyFont="1" applyFill="1"/>
    <xf numFmtId="165" fontId="0" fillId="4" borderId="0" xfId="0" applyNumberFormat="1" applyFill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Sheet2!$I$6</c:f>
              <c:strCache>
                <c:ptCount val="1"/>
                <c:pt idx="0">
                  <c:v>Ending Balance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Sheet2!$B$7:$B$66</c:f>
              <c:numCache>
                <c:formatCode>m/d/yyyy</c:formatCode>
                <c:ptCount val="60"/>
                <c:pt idx="0">
                  <c:v>45535.4375</c:v>
                </c:pt>
                <c:pt idx="1">
                  <c:v>45565.875</c:v>
                </c:pt>
                <c:pt idx="2">
                  <c:v>45596.3125</c:v>
                </c:pt>
                <c:pt idx="3">
                  <c:v>45626.75</c:v>
                </c:pt>
                <c:pt idx="4">
                  <c:v>45657.1875</c:v>
                </c:pt>
                <c:pt idx="5">
                  <c:v>45687.625</c:v>
                </c:pt>
                <c:pt idx="6">
                  <c:v>45718.0625</c:v>
                </c:pt>
                <c:pt idx="7">
                  <c:v>45748.5</c:v>
                </c:pt>
                <c:pt idx="8">
                  <c:v>45778.9375</c:v>
                </c:pt>
                <c:pt idx="9">
                  <c:v>45809.375</c:v>
                </c:pt>
                <c:pt idx="10">
                  <c:v>45839.8125</c:v>
                </c:pt>
                <c:pt idx="11">
                  <c:v>45870.25</c:v>
                </c:pt>
                <c:pt idx="12">
                  <c:v>45900.6875</c:v>
                </c:pt>
                <c:pt idx="13">
                  <c:v>45931.125</c:v>
                </c:pt>
                <c:pt idx="14">
                  <c:v>45961.5625</c:v>
                </c:pt>
                <c:pt idx="15">
                  <c:v>45992</c:v>
                </c:pt>
                <c:pt idx="16">
                  <c:v>46022.4375</c:v>
                </c:pt>
                <c:pt idx="17">
                  <c:v>46052.875</c:v>
                </c:pt>
                <c:pt idx="18">
                  <c:v>46083.3125</c:v>
                </c:pt>
                <c:pt idx="19">
                  <c:v>46113.75</c:v>
                </c:pt>
                <c:pt idx="20">
                  <c:v>46144.1875</c:v>
                </c:pt>
                <c:pt idx="21">
                  <c:v>46174.625</c:v>
                </c:pt>
                <c:pt idx="22">
                  <c:v>46205.0625</c:v>
                </c:pt>
                <c:pt idx="23">
                  <c:v>46235.5</c:v>
                </c:pt>
                <c:pt idx="24">
                  <c:v>46265.9375</c:v>
                </c:pt>
                <c:pt idx="25">
                  <c:v>46296.375</c:v>
                </c:pt>
                <c:pt idx="26">
                  <c:v>46326.8125</c:v>
                </c:pt>
                <c:pt idx="27">
                  <c:v>46357.25</c:v>
                </c:pt>
                <c:pt idx="28">
                  <c:v>46387.6875</c:v>
                </c:pt>
                <c:pt idx="29">
                  <c:v>46418.125</c:v>
                </c:pt>
                <c:pt idx="30">
                  <c:v>46448.5625</c:v>
                </c:pt>
                <c:pt idx="31">
                  <c:v>46479</c:v>
                </c:pt>
                <c:pt idx="32">
                  <c:v>46509.4375</c:v>
                </c:pt>
                <c:pt idx="33">
                  <c:v>46539.875</c:v>
                </c:pt>
                <c:pt idx="34">
                  <c:v>46570.3125</c:v>
                </c:pt>
                <c:pt idx="35">
                  <c:v>46600.75</c:v>
                </c:pt>
                <c:pt idx="36">
                  <c:v>46631.1875</c:v>
                </c:pt>
                <c:pt idx="37">
                  <c:v>46661.625</c:v>
                </c:pt>
                <c:pt idx="38">
                  <c:v>46692.0625</c:v>
                </c:pt>
                <c:pt idx="39">
                  <c:v>46722.5</c:v>
                </c:pt>
                <c:pt idx="40">
                  <c:v>46752.9375</c:v>
                </c:pt>
                <c:pt idx="41">
                  <c:v>46783.375</c:v>
                </c:pt>
                <c:pt idx="42">
                  <c:v>46813.8125</c:v>
                </c:pt>
                <c:pt idx="43">
                  <c:v>46844.25</c:v>
                </c:pt>
                <c:pt idx="44">
                  <c:v>46874.6875</c:v>
                </c:pt>
                <c:pt idx="45">
                  <c:v>46905.125</c:v>
                </c:pt>
                <c:pt idx="46">
                  <c:v>46935.5625</c:v>
                </c:pt>
                <c:pt idx="47">
                  <c:v>46966</c:v>
                </c:pt>
                <c:pt idx="48">
                  <c:v>46996.4375</c:v>
                </c:pt>
                <c:pt idx="49">
                  <c:v>47026.875</c:v>
                </c:pt>
                <c:pt idx="50">
                  <c:v>47057.3125</c:v>
                </c:pt>
                <c:pt idx="51">
                  <c:v>47087.75</c:v>
                </c:pt>
                <c:pt idx="52">
                  <c:v>47118.1875</c:v>
                </c:pt>
                <c:pt idx="53">
                  <c:v>47148.625</c:v>
                </c:pt>
                <c:pt idx="54">
                  <c:v>47179.0625</c:v>
                </c:pt>
                <c:pt idx="55">
                  <c:v>47209.5</c:v>
                </c:pt>
                <c:pt idx="56">
                  <c:v>47239.9375</c:v>
                </c:pt>
                <c:pt idx="57">
                  <c:v>47270.375</c:v>
                </c:pt>
                <c:pt idx="58">
                  <c:v>47300.8125</c:v>
                </c:pt>
                <c:pt idx="59">
                  <c:v>47331.25</c:v>
                </c:pt>
              </c:numCache>
            </c:numRef>
          </c:cat>
          <c:val>
            <c:numRef>
              <c:f>Sheet2!$I$7:$I$66</c:f>
              <c:numCache>
                <c:formatCode>"$"#,##0.00</c:formatCode>
                <c:ptCount val="60"/>
                <c:pt idx="0">
                  <c:v>705951.67143823113</c:v>
                </c:pt>
                <c:pt idx="1">
                  <c:v>699364.05290509167</c:v>
                </c:pt>
                <c:pt idx="2">
                  <c:v>692736.9086607534</c:v>
                </c:pt>
                <c:pt idx="3">
                  <c:v>686070.00155094906</c:v>
                </c:pt>
                <c:pt idx="4">
                  <c:v>679363.0929984859</c:v>
                </c:pt>
                <c:pt idx="5">
                  <c:v>672615.94299470796</c:v>
                </c:pt>
                <c:pt idx="6">
                  <c:v>665828.31009090738</c:v>
                </c:pt>
                <c:pt idx="7">
                  <c:v>658999.95138968399</c:v>
                </c:pt>
                <c:pt idx="8">
                  <c:v>652130.6225362533</c:v>
                </c:pt>
                <c:pt idx="9">
                  <c:v>645220.07770970196</c:v>
                </c:pt>
                <c:pt idx="10">
                  <c:v>638268.06961419131</c:v>
                </c:pt>
                <c:pt idx="11">
                  <c:v>631194.56596140587</c:v>
                </c:pt>
                <c:pt idx="12">
                  <c:v>624079.50547466031</c:v>
                </c:pt>
                <c:pt idx="13">
                  <c:v>616922.64400755509</c:v>
                </c:pt>
                <c:pt idx="14">
                  <c:v>609723.73597933061</c:v>
                </c:pt>
                <c:pt idx="15">
                  <c:v>602482.53436644038</c:v>
                </c:pt>
                <c:pt idx="16">
                  <c:v>595198.79069407436</c:v>
                </c:pt>
                <c:pt idx="17">
                  <c:v>587872.25502763316</c:v>
                </c:pt>
                <c:pt idx="18">
                  <c:v>580502.67596415163</c:v>
                </c:pt>
                <c:pt idx="19">
                  <c:v>573089.8006236722</c:v>
                </c:pt>
                <c:pt idx="20">
                  <c:v>565633.37464056746</c:v>
                </c:pt>
                <c:pt idx="21">
                  <c:v>558133.142154812</c:v>
                </c:pt>
                <c:pt idx="22">
                  <c:v>550588.84580320271</c:v>
                </c:pt>
                <c:pt idx="23">
                  <c:v>543000.22671052767</c:v>
                </c:pt>
                <c:pt idx="24">
                  <c:v>535299.1494523444</c:v>
                </c:pt>
                <c:pt idx="25">
                  <c:v>527553.79099992651</c:v>
                </c:pt>
                <c:pt idx="26">
                  <c:v>519763.89673640725</c:v>
                </c:pt>
                <c:pt idx="27">
                  <c:v>511929.21058087278</c:v>
                </c:pt>
                <c:pt idx="28">
                  <c:v>504049.47497994395</c:v>
                </c:pt>
                <c:pt idx="29">
                  <c:v>496124.43089930981</c:v>
                </c:pt>
                <c:pt idx="30">
                  <c:v>488153.81781521201</c:v>
                </c:pt>
                <c:pt idx="31">
                  <c:v>480137.37370588066</c:v>
                </c:pt>
                <c:pt idx="32">
                  <c:v>472074.83504292066</c:v>
                </c:pt>
                <c:pt idx="33">
                  <c:v>463965.93678264861</c:v>
                </c:pt>
                <c:pt idx="34">
                  <c:v>455810.41235738003</c:v>
                </c:pt>
                <c:pt idx="35">
                  <c:v>447607.99366666615</c:v>
                </c:pt>
                <c:pt idx="36">
                  <c:v>439302.46006927232</c:v>
                </c:pt>
                <c:pt idx="37">
                  <c:v>430950.20784539316</c:v>
                </c:pt>
                <c:pt idx="38">
                  <c:v>422550.97420275467</c:v>
                </c:pt>
                <c:pt idx="39">
                  <c:v>414104.49487087631</c:v>
                </c:pt>
                <c:pt idx="40">
                  <c:v>405610.50409275613</c:v>
                </c:pt>
                <c:pt idx="41">
                  <c:v>397068.73461650906</c:v>
                </c:pt>
                <c:pt idx="42">
                  <c:v>388478.9176869581</c:v>
                </c:pt>
                <c:pt idx="43">
                  <c:v>379840.78303717839</c:v>
                </c:pt>
                <c:pt idx="44">
                  <c:v>371154.05887999368</c:v>
                </c:pt>
                <c:pt idx="45">
                  <c:v>362418.4718994248</c:v>
                </c:pt>
                <c:pt idx="46">
                  <c:v>353633.74724209023</c:v>
                </c:pt>
                <c:pt idx="47">
                  <c:v>344799.60850855819</c:v>
                </c:pt>
                <c:pt idx="48">
                  <c:v>335872.67779358645</c:v>
                </c:pt>
                <c:pt idx="49">
                  <c:v>326896.64895968232</c:v>
                </c:pt>
                <c:pt idx="50">
                  <c:v>317871.25196719175</c:v>
                </c:pt>
                <c:pt idx="51">
                  <c:v>308796.21529124246</c:v>
                </c:pt>
                <c:pt idx="52">
                  <c:v>299671.26591357548</c:v>
                </c:pt>
                <c:pt idx="53">
                  <c:v>290496.12931433134</c:v>
                </c:pt>
                <c:pt idx="54">
                  <c:v>281270.52946379135</c:v>
                </c:pt>
                <c:pt idx="55">
                  <c:v>271994.18881407339</c:v>
                </c:pt>
                <c:pt idx="56">
                  <c:v>262666.82829078194</c:v>
                </c:pt>
                <c:pt idx="57">
                  <c:v>253288.1672846124</c:v>
                </c:pt>
                <c:pt idx="58">
                  <c:v>243857.92364290892</c:v>
                </c:pt>
                <c:pt idx="59">
                  <c:v>234375.8136611761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675D-4615-BE59-4499D5EFC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74728"/>
        <c:axId val="1558697480"/>
      </c:lineChart>
      <c:dateAx>
        <c:axId val="781747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697480"/>
        <c:crosses val="autoZero"/>
        <c:auto val="1"/>
        <c:lblOffset val="100"/>
        <c:baseTimeUnit val="months"/>
      </c:dateAx>
      <c:valAx>
        <c:axId val="155869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74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'Declining Rate'!$I$6</c:f>
              <c:strCache>
                <c:ptCount val="1"/>
                <c:pt idx="0">
                  <c:v>Ending Balance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'Declining Rate'!$B$7:$B$66</c:f>
              <c:numCache>
                <c:formatCode>m/d/yyyy</c:formatCode>
                <c:ptCount val="60"/>
                <c:pt idx="0">
                  <c:v>45535.4375</c:v>
                </c:pt>
                <c:pt idx="1">
                  <c:v>45565.875</c:v>
                </c:pt>
                <c:pt idx="2">
                  <c:v>45596.3125</c:v>
                </c:pt>
                <c:pt idx="3">
                  <c:v>45626.75</c:v>
                </c:pt>
                <c:pt idx="4">
                  <c:v>45657.1875</c:v>
                </c:pt>
                <c:pt idx="5">
                  <c:v>45687.625</c:v>
                </c:pt>
                <c:pt idx="6">
                  <c:v>45718.0625</c:v>
                </c:pt>
                <c:pt idx="7">
                  <c:v>45748.5</c:v>
                </c:pt>
                <c:pt idx="8">
                  <c:v>45778.9375</c:v>
                </c:pt>
                <c:pt idx="9">
                  <c:v>45809.375</c:v>
                </c:pt>
                <c:pt idx="10">
                  <c:v>45839.8125</c:v>
                </c:pt>
                <c:pt idx="11">
                  <c:v>45870.25</c:v>
                </c:pt>
                <c:pt idx="12">
                  <c:v>45900.6875</c:v>
                </c:pt>
                <c:pt idx="13">
                  <c:v>45931.125</c:v>
                </c:pt>
                <c:pt idx="14">
                  <c:v>45961.5625</c:v>
                </c:pt>
                <c:pt idx="15">
                  <c:v>45992</c:v>
                </c:pt>
                <c:pt idx="16">
                  <c:v>46022.4375</c:v>
                </c:pt>
                <c:pt idx="17">
                  <c:v>46052.875</c:v>
                </c:pt>
                <c:pt idx="18">
                  <c:v>46083.3125</c:v>
                </c:pt>
                <c:pt idx="19">
                  <c:v>46113.75</c:v>
                </c:pt>
                <c:pt idx="20">
                  <c:v>46144.1875</c:v>
                </c:pt>
                <c:pt idx="21">
                  <c:v>46174.625</c:v>
                </c:pt>
                <c:pt idx="22">
                  <c:v>46205.0625</c:v>
                </c:pt>
                <c:pt idx="23">
                  <c:v>46235.5</c:v>
                </c:pt>
                <c:pt idx="24">
                  <c:v>46265.9375</c:v>
                </c:pt>
                <c:pt idx="25">
                  <c:v>46296.375</c:v>
                </c:pt>
                <c:pt idx="26">
                  <c:v>46326.8125</c:v>
                </c:pt>
                <c:pt idx="27">
                  <c:v>46357.25</c:v>
                </c:pt>
                <c:pt idx="28">
                  <c:v>46387.6875</c:v>
                </c:pt>
                <c:pt idx="29">
                  <c:v>46418.125</c:v>
                </c:pt>
                <c:pt idx="30">
                  <c:v>46448.5625</c:v>
                </c:pt>
                <c:pt idx="31">
                  <c:v>46479</c:v>
                </c:pt>
                <c:pt idx="32">
                  <c:v>46509.4375</c:v>
                </c:pt>
                <c:pt idx="33">
                  <c:v>46539.875</c:v>
                </c:pt>
                <c:pt idx="34">
                  <c:v>46570.3125</c:v>
                </c:pt>
                <c:pt idx="35">
                  <c:v>46600.75</c:v>
                </c:pt>
                <c:pt idx="36">
                  <c:v>46631.1875</c:v>
                </c:pt>
                <c:pt idx="37">
                  <c:v>46661.625</c:v>
                </c:pt>
                <c:pt idx="38">
                  <c:v>46692.0625</c:v>
                </c:pt>
                <c:pt idx="39">
                  <c:v>46722.5</c:v>
                </c:pt>
                <c:pt idx="40">
                  <c:v>46752.9375</c:v>
                </c:pt>
                <c:pt idx="41">
                  <c:v>46783.375</c:v>
                </c:pt>
                <c:pt idx="42">
                  <c:v>46813.8125</c:v>
                </c:pt>
                <c:pt idx="43">
                  <c:v>46844.25</c:v>
                </c:pt>
                <c:pt idx="44">
                  <c:v>46874.6875</c:v>
                </c:pt>
                <c:pt idx="45">
                  <c:v>46905.125</c:v>
                </c:pt>
                <c:pt idx="46">
                  <c:v>46935.5625</c:v>
                </c:pt>
                <c:pt idx="47">
                  <c:v>46966</c:v>
                </c:pt>
                <c:pt idx="48">
                  <c:v>46996.4375</c:v>
                </c:pt>
                <c:pt idx="49">
                  <c:v>47026.875</c:v>
                </c:pt>
                <c:pt idx="50">
                  <c:v>47057.3125</c:v>
                </c:pt>
                <c:pt idx="51">
                  <c:v>47087.75</c:v>
                </c:pt>
                <c:pt idx="52">
                  <c:v>47118.1875</c:v>
                </c:pt>
                <c:pt idx="53">
                  <c:v>47148.625</c:v>
                </c:pt>
                <c:pt idx="54">
                  <c:v>47179.0625</c:v>
                </c:pt>
                <c:pt idx="55">
                  <c:v>47209.5</c:v>
                </c:pt>
                <c:pt idx="56">
                  <c:v>47239.9375</c:v>
                </c:pt>
                <c:pt idx="57">
                  <c:v>47270.375</c:v>
                </c:pt>
                <c:pt idx="58">
                  <c:v>47300.8125</c:v>
                </c:pt>
                <c:pt idx="59">
                  <c:v>47331.25</c:v>
                </c:pt>
              </c:numCache>
            </c:numRef>
          </c:cat>
          <c:val>
            <c:numRef>
              <c:f>'Declining Rate'!$I$7:$I$66</c:f>
              <c:numCache>
                <c:formatCode>"$"#,##0.00</c:formatCode>
                <c:ptCount val="60"/>
                <c:pt idx="0">
                  <c:v>705951.67143823113</c:v>
                </c:pt>
                <c:pt idx="1">
                  <c:v>699364.05290509167</c:v>
                </c:pt>
                <c:pt idx="2">
                  <c:v>692736.9086607534</c:v>
                </c:pt>
                <c:pt idx="3">
                  <c:v>686070.00155094906</c:v>
                </c:pt>
                <c:pt idx="4">
                  <c:v>679363.0929984859</c:v>
                </c:pt>
                <c:pt idx="5">
                  <c:v>672615.94299470796</c:v>
                </c:pt>
                <c:pt idx="6">
                  <c:v>665828.31009090738</c:v>
                </c:pt>
                <c:pt idx="7">
                  <c:v>658999.95138968399</c:v>
                </c:pt>
                <c:pt idx="8">
                  <c:v>652130.6225362533</c:v>
                </c:pt>
                <c:pt idx="9">
                  <c:v>645220.07770970196</c:v>
                </c:pt>
                <c:pt idx="10">
                  <c:v>638268.06961419131</c:v>
                </c:pt>
                <c:pt idx="11">
                  <c:v>631194.56596140587</c:v>
                </c:pt>
                <c:pt idx="12">
                  <c:v>624079.50547466031</c:v>
                </c:pt>
                <c:pt idx="13">
                  <c:v>616922.64400755509</c:v>
                </c:pt>
                <c:pt idx="14">
                  <c:v>609723.73597933061</c:v>
                </c:pt>
                <c:pt idx="15">
                  <c:v>602482.53436644038</c:v>
                </c:pt>
                <c:pt idx="16">
                  <c:v>595198.79069407436</c:v>
                </c:pt>
                <c:pt idx="17">
                  <c:v>587872.25502763316</c:v>
                </c:pt>
                <c:pt idx="18">
                  <c:v>580502.67596415163</c:v>
                </c:pt>
                <c:pt idx="19">
                  <c:v>573089.8006236722</c:v>
                </c:pt>
                <c:pt idx="20">
                  <c:v>565633.37464056746</c:v>
                </c:pt>
                <c:pt idx="21">
                  <c:v>558133.142154812</c:v>
                </c:pt>
                <c:pt idx="22">
                  <c:v>550588.84580320271</c:v>
                </c:pt>
                <c:pt idx="23">
                  <c:v>543000.22671052767</c:v>
                </c:pt>
                <c:pt idx="24">
                  <c:v>535299.1494523444</c:v>
                </c:pt>
                <c:pt idx="25">
                  <c:v>527553.79099992651</c:v>
                </c:pt>
                <c:pt idx="26">
                  <c:v>519763.89673640725</c:v>
                </c:pt>
                <c:pt idx="27">
                  <c:v>511929.21058087278</c:v>
                </c:pt>
                <c:pt idx="28">
                  <c:v>504049.47497994395</c:v>
                </c:pt>
                <c:pt idx="29">
                  <c:v>496124.43089930981</c:v>
                </c:pt>
                <c:pt idx="30">
                  <c:v>488153.81781521201</c:v>
                </c:pt>
                <c:pt idx="31">
                  <c:v>480137.37370588066</c:v>
                </c:pt>
                <c:pt idx="32">
                  <c:v>472074.83504292066</c:v>
                </c:pt>
                <c:pt idx="33">
                  <c:v>463965.93678264861</c:v>
                </c:pt>
                <c:pt idx="34">
                  <c:v>455810.41235738003</c:v>
                </c:pt>
                <c:pt idx="35">
                  <c:v>447607.99366666615</c:v>
                </c:pt>
                <c:pt idx="36">
                  <c:v>439302.46006927232</c:v>
                </c:pt>
                <c:pt idx="37">
                  <c:v>430950.20784539316</c:v>
                </c:pt>
                <c:pt idx="38">
                  <c:v>422550.97420275467</c:v>
                </c:pt>
                <c:pt idx="39">
                  <c:v>414104.49487087631</c:v>
                </c:pt>
                <c:pt idx="40">
                  <c:v>405610.50409275613</c:v>
                </c:pt>
                <c:pt idx="41">
                  <c:v>397068.73461650906</c:v>
                </c:pt>
                <c:pt idx="42">
                  <c:v>388478.9176869581</c:v>
                </c:pt>
                <c:pt idx="43">
                  <c:v>379840.78303717839</c:v>
                </c:pt>
                <c:pt idx="44">
                  <c:v>371154.05887999368</c:v>
                </c:pt>
                <c:pt idx="45">
                  <c:v>362418.4718994248</c:v>
                </c:pt>
                <c:pt idx="46">
                  <c:v>353633.74724209023</c:v>
                </c:pt>
                <c:pt idx="47">
                  <c:v>344799.60850855819</c:v>
                </c:pt>
                <c:pt idx="48">
                  <c:v>335872.67779358645</c:v>
                </c:pt>
                <c:pt idx="49">
                  <c:v>326896.64895968232</c:v>
                </c:pt>
                <c:pt idx="50">
                  <c:v>317871.25196719175</c:v>
                </c:pt>
                <c:pt idx="51">
                  <c:v>308796.21529124246</c:v>
                </c:pt>
                <c:pt idx="52">
                  <c:v>299671.26591357548</c:v>
                </c:pt>
                <c:pt idx="53">
                  <c:v>290496.12931433134</c:v>
                </c:pt>
                <c:pt idx="54">
                  <c:v>281270.52946379135</c:v>
                </c:pt>
                <c:pt idx="55">
                  <c:v>271994.18881407339</c:v>
                </c:pt>
                <c:pt idx="56">
                  <c:v>262666.82829078194</c:v>
                </c:pt>
                <c:pt idx="57">
                  <c:v>253288.1672846124</c:v>
                </c:pt>
                <c:pt idx="58">
                  <c:v>243857.92364290892</c:v>
                </c:pt>
                <c:pt idx="59">
                  <c:v>234375.8136611761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3-4C54-A401-4321802D5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74728"/>
        <c:axId val="1558697480"/>
      </c:lineChart>
      <c:dateAx>
        <c:axId val="781747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697480"/>
        <c:crosses val="autoZero"/>
        <c:auto val="1"/>
        <c:lblOffset val="100"/>
        <c:baseTimeUnit val="months"/>
      </c:dateAx>
      <c:valAx>
        <c:axId val="155869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74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'Fixed Rate'!$I$6</c:f>
              <c:strCache>
                <c:ptCount val="1"/>
                <c:pt idx="0">
                  <c:v>Ending Balance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'Fixed Rate'!$B$7:$B$66</c:f>
              <c:numCache>
                <c:formatCode>m/d/yyyy</c:formatCode>
                <c:ptCount val="60"/>
                <c:pt idx="0">
                  <c:v>45535.4375</c:v>
                </c:pt>
                <c:pt idx="1">
                  <c:v>45565.875</c:v>
                </c:pt>
                <c:pt idx="2">
                  <c:v>45596.3125</c:v>
                </c:pt>
                <c:pt idx="3">
                  <c:v>45626.75</c:v>
                </c:pt>
                <c:pt idx="4">
                  <c:v>45657.1875</c:v>
                </c:pt>
                <c:pt idx="5">
                  <c:v>45687.625</c:v>
                </c:pt>
                <c:pt idx="6">
                  <c:v>45718.0625</c:v>
                </c:pt>
                <c:pt idx="7">
                  <c:v>45748.5</c:v>
                </c:pt>
                <c:pt idx="8">
                  <c:v>45778.9375</c:v>
                </c:pt>
                <c:pt idx="9">
                  <c:v>45809.375</c:v>
                </c:pt>
                <c:pt idx="10">
                  <c:v>45839.8125</c:v>
                </c:pt>
                <c:pt idx="11">
                  <c:v>45870.25</c:v>
                </c:pt>
                <c:pt idx="12">
                  <c:v>45900.6875</c:v>
                </c:pt>
                <c:pt idx="13">
                  <c:v>45931.125</c:v>
                </c:pt>
                <c:pt idx="14">
                  <c:v>45961.5625</c:v>
                </c:pt>
                <c:pt idx="15">
                  <c:v>45992</c:v>
                </c:pt>
                <c:pt idx="16">
                  <c:v>46022.4375</c:v>
                </c:pt>
                <c:pt idx="17">
                  <c:v>46052.875</c:v>
                </c:pt>
                <c:pt idx="18">
                  <c:v>46083.3125</c:v>
                </c:pt>
                <c:pt idx="19">
                  <c:v>46113.75</c:v>
                </c:pt>
                <c:pt idx="20">
                  <c:v>46144.1875</c:v>
                </c:pt>
                <c:pt idx="21">
                  <c:v>46174.625</c:v>
                </c:pt>
                <c:pt idx="22">
                  <c:v>46205.0625</c:v>
                </c:pt>
                <c:pt idx="23">
                  <c:v>46235.5</c:v>
                </c:pt>
                <c:pt idx="24">
                  <c:v>46265.9375</c:v>
                </c:pt>
                <c:pt idx="25">
                  <c:v>46296.375</c:v>
                </c:pt>
                <c:pt idx="26">
                  <c:v>46326.8125</c:v>
                </c:pt>
                <c:pt idx="27">
                  <c:v>46357.25</c:v>
                </c:pt>
                <c:pt idx="28">
                  <c:v>46387.6875</c:v>
                </c:pt>
                <c:pt idx="29">
                  <c:v>46418.125</c:v>
                </c:pt>
                <c:pt idx="30">
                  <c:v>46448.5625</c:v>
                </c:pt>
                <c:pt idx="31">
                  <c:v>46479</c:v>
                </c:pt>
                <c:pt idx="32">
                  <c:v>46509.4375</c:v>
                </c:pt>
                <c:pt idx="33">
                  <c:v>46539.875</c:v>
                </c:pt>
                <c:pt idx="34">
                  <c:v>46570.3125</c:v>
                </c:pt>
                <c:pt idx="35">
                  <c:v>46600.75</c:v>
                </c:pt>
                <c:pt idx="36">
                  <c:v>46631.1875</c:v>
                </c:pt>
                <c:pt idx="37">
                  <c:v>46661.625</c:v>
                </c:pt>
                <c:pt idx="38">
                  <c:v>46692.0625</c:v>
                </c:pt>
                <c:pt idx="39">
                  <c:v>46722.5</c:v>
                </c:pt>
                <c:pt idx="40">
                  <c:v>46752.9375</c:v>
                </c:pt>
                <c:pt idx="41">
                  <c:v>46783.375</c:v>
                </c:pt>
                <c:pt idx="42">
                  <c:v>46813.8125</c:v>
                </c:pt>
                <c:pt idx="43">
                  <c:v>46844.25</c:v>
                </c:pt>
                <c:pt idx="44">
                  <c:v>46874.6875</c:v>
                </c:pt>
                <c:pt idx="45">
                  <c:v>46905.125</c:v>
                </c:pt>
                <c:pt idx="46">
                  <c:v>46935.5625</c:v>
                </c:pt>
                <c:pt idx="47">
                  <c:v>46966</c:v>
                </c:pt>
                <c:pt idx="48">
                  <c:v>46996.4375</c:v>
                </c:pt>
                <c:pt idx="49">
                  <c:v>47026.875</c:v>
                </c:pt>
                <c:pt idx="50">
                  <c:v>47057.3125</c:v>
                </c:pt>
                <c:pt idx="51">
                  <c:v>47087.75</c:v>
                </c:pt>
                <c:pt idx="52">
                  <c:v>47118.1875</c:v>
                </c:pt>
                <c:pt idx="53">
                  <c:v>47148.625</c:v>
                </c:pt>
                <c:pt idx="54">
                  <c:v>47179.0625</c:v>
                </c:pt>
                <c:pt idx="55">
                  <c:v>47209.5</c:v>
                </c:pt>
                <c:pt idx="56">
                  <c:v>47239.9375</c:v>
                </c:pt>
                <c:pt idx="57">
                  <c:v>47270.375</c:v>
                </c:pt>
                <c:pt idx="58">
                  <c:v>47300.8125</c:v>
                </c:pt>
                <c:pt idx="59">
                  <c:v>47331.25</c:v>
                </c:pt>
              </c:numCache>
            </c:numRef>
          </c:cat>
          <c:val>
            <c:numRef>
              <c:f>'Fixed Rate'!$I$7:$I$66</c:f>
              <c:numCache>
                <c:formatCode>"$"#,##0.00</c:formatCode>
                <c:ptCount val="60"/>
                <c:pt idx="0">
                  <c:v>701988.43398454285</c:v>
                </c:pt>
                <c:pt idx="1">
                  <c:v>695437.79857299291</c:v>
                </c:pt>
                <c:pt idx="2">
                  <c:v>688847.85934897372</c:v>
                </c:pt>
                <c:pt idx="3">
                  <c:v>682218.38048961037</c:v>
                </c:pt>
                <c:pt idx="4">
                  <c:v>675549.12475709093</c:v>
                </c:pt>
                <c:pt idx="5">
                  <c:v>668839.85349017638</c:v>
                </c:pt>
                <c:pt idx="6">
                  <c:v>662090.3265956603</c:v>
                </c:pt>
                <c:pt idx="7">
                  <c:v>655300.30253977713</c:v>
                </c:pt>
                <c:pt idx="8">
                  <c:v>648469.53833955864</c:v>
                </c:pt>
                <c:pt idx="9">
                  <c:v>641597.7895541389</c:v>
                </c:pt>
                <c:pt idx="10">
                  <c:v>634684.81027600658</c:v>
                </c:pt>
                <c:pt idx="11">
                  <c:v>627730.35312220547</c:v>
                </c:pt>
                <c:pt idx="12">
                  <c:v>620734.16922548157</c:v>
                </c:pt>
                <c:pt idx="13">
                  <c:v>613696.0082253773</c:v>
                </c:pt>
                <c:pt idx="14">
                  <c:v>606615.61825927242</c:v>
                </c:pt>
                <c:pt idx="15">
                  <c:v>599492.74595337093</c:v>
                </c:pt>
                <c:pt idx="16">
                  <c:v>592327.13641363406</c:v>
                </c:pt>
                <c:pt idx="17">
                  <c:v>585118.53321665875</c:v>
                </c:pt>
                <c:pt idx="18">
                  <c:v>577866.67840050161</c:v>
                </c:pt>
                <c:pt idx="19">
                  <c:v>570571.31245544751</c:v>
                </c:pt>
                <c:pt idx="20">
                  <c:v>563232.174314723</c:v>
                </c:pt>
                <c:pt idx="21">
                  <c:v>555849.00134515425</c:v>
                </c:pt>
                <c:pt idx="22">
                  <c:v>548421.52933776798</c:v>
                </c:pt>
                <c:pt idx="23">
                  <c:v>540949.49249833741</c:v>
                </c:pt>
                <c:pt idx="24">
                  <c:v>533432.62343787029</c:v>
                </c:pt>
                <c:pt idx="25">
                  <c:v>525870.65316304041</c:v>
                </c:pt>
                <c:pt idx="26">
                  <c:v>518263.31106656149</c:v>
                </c:pt>
                <c:pt idx="27">
                  <c:v>510610.32491750369</c:v>
                </c:pt>
                <c:pt idx="28">
                  <c:v>502911.42085155158</c:v>
                </c:pt>
                <c:pt idx="29">
                  <c:v>495166.32336120371</c:v>
                </c:pt>
                <c:pt idx="30">
                  <c:v>487374.75528591376</c:v>
                </c:pt>
                <c:pt idx="31">
                  <c:v>479536.43780217209</c:v>
                </c:pt>
                <c:pt idx="32">
                  <c:v>471651.09041352797</c:v>
                </c:pt>
                <c:pt idx="33">
                  <c:v>463718.43094055197</c:v>
                </c:pt>
                <c:pt idx="34">
                  <c:v>455738.17551073816</c:v>
                </c:pt>
                <c:pt idx="35">
                  <c:v>447710.03854834544</c:v>
                </c:pt>
                <c:pt idx="36">
                  <c:v>439633.73276417836</c:v>
                </c:pt>
                <c:pt idx="37">
                  <c:v>431508.96914530627</c:v>
                </c:pt>
                <c:pt idx="38">
                  <c:v>423335.45694472094</c:v>
                </c:pt>
                <c:pt idx="39">
                  <c:v>415112.90367093211</c:v>
                </c:pt>
                <c:pt idx="40">
                  <c:v>406841.01507750055</c:v>
                </c:pt>
                <c:pt idx="41">
                  <c:v>398519.49515250837</c:v>
                </c:pt>
                <c:pt idx="42">
                  <c:v>390148.04610796628</c:v>
                </c:pt>
                <c:pt idx="43">
                  <c:v>381726.36836915696</c:v>
                </c:pt>
                <c:pt idx="44">
                  <c:v>373254.16056391475</c:v>
                </c:pt>
                <c:pt idx="45">
                  <c:v>364731.1195118411</c:v>
                </c:pt>
                <c:pt idx="46">
                  <c:v>356156.940213455</c:v>
                </c:pt>
                <c:pt idx="47">
                  <c:v>347531.31583927857</c:v>
                </c:pt>
                <c:pt idx="48">
                  <c:v>338853.93771885708</c:v>
                </c:pt>
                <c:pt idx="49">
                  <c:v>330124.4953297131</c:v>
                </c:pt>
                <c:pt idx="50">
                  <c:v>321342.67628623423</c:v>
                </c:pt>
                <c:pt idx="51">
                  <c:v>312508.1663284945</c:v>
                </c:pt>
                <c:pt idx="52">
                  <c:v>303620.64931100834</c:v>
                </c:pt>
                <c:pt idx="53">
                  <c:v>294679.80719141726</c:v>
                </c:pt>
                <c:pt idx="54">
                  <c:v>285685.32001910859</c:v>
                </c:pt>
                <c:pt idx="55">
                  <c:v>276636.8659237661</c:v>
                </c:pt>
                <c:pt idx="56">
                  <c:v>267534.12110385153</c:v>
                </c:pt>
                <c:pt idx="57">
                  <c:v>258376.75981501749</c:v>
                </c:pt>
                <c:pt idx="58">
                  <c:v>249164.45435845046</c:v>
                </c:pt>
                <c:pt idx="59">
                  <c:v>239896.87506914401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CD-4A1E-8769-AA3718AAE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74728"/>
        <c:axId val="1558697480"/>
      </c:lineChart>
      <c:dateAx>
        <c:axId val="781747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697480"/>
        <c:crosses val="autoZero"/>
        <c:auto val="1"/>
        <c:lblOffset val="100"/>
        <c:baseTimeUnit val="months"/>
      </c:dateAx>
      <c:valAx>
        <c:axId val="155869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74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'190 x75%'!$I$6</c:f>
              <c:strCache>
                <c:ptCount val="1"/>
                <c:pt idx="0">
                  <c:v>Ending Balance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'190 x75%'!$B$7:$B$42</c:f>
              <c:numCache>
                <c:formatCode>m/d/yyyy</c:formatCode>
                <c:ptCount val="36"/>
                <c:pt idx="0">
                  <c:v>45535.4375</c:v>
                </c:pt>
                <c:pt idx="1">
                  <c:v>45565.875</c:v>
                </c:pt>
                <c:pt idx="2">
                  <c:v>45596.3125</c:v>
                </c:pt>
                <c:pt idx="3">
                  <c:v>45626.75</c:v>
                </c:pt>
                <c:pt idx="4">
                  <c:v>45657.1875</c:v>
                </c:pt>
                <c:pt idx="5">
                  <c:v>45687.625</c:v>
                </c:pt>
                <c:pt idx="6">
                  <c:v>45718.0625</c:v>
                </c:pt>
                <c:pt idx="7">
                  <c:v>45748.5</c:v>
                </c:pt>
                <c:pt idx="8">
                  <c:v>45778.9375</c:v>
                </c:pt>
                <c:pt idx="9">
                  <c:v>45809.375</c:v>
                </c:pt>
                <c:pt idx="10">
                  <c:v>45839.8125</c:v>
                </c:pt>
                <c:pt idx="11">
                  <c:v>45870.25</c:v>
                </c:pt>
                <c:pt idx="12">
                  <c:v>45900.6875</c:v>
                </c:pt>
                <c:pt idx="13">
                  <c:v>45931.125</c:v>
                </c:pt>
                <c:pt idx="14">
                  <c:v>45961.5625</c:v>
                </c:pt>
                <c:pt idx="15">
                  <c:v>45992</c:v>
                </c:pt>
                <c:pt idx="16">
                  <c:v>46022.4375</c:v>
                </c:pt>
                <c:pt idx="17">
                  <c:v>46052.875</c:v>
                </c:pt>
                <c:pt idx="18">
                  <c:v>46083.3125</c:v>
                </c:pt>
                <c:pt idx="19">
                  <c:v>46113.75</c:v>
                </c:pt>
                <c:pt idx="20">
                  <c:v>46144.1875</c:v>
                </c:pt>
                <c:pt idx="21">
                  <c:v>46174.625</c:v>
                </c:pt>
                <c:pt idx="22">
                  <c:v>46205.0625</c:v>
                </c:pt>
                <c:pt idx="23">
                  <c:v>46235.5</c:v>
                </c:pt>
                <c:pt idx="24">
                  <c:v>46265.9375</c:v>
                </c:pt>
                <c:pt idx="25">
                  <c:v>46296.375</c:v>
                </c:pt>
                <c:pt idx="26">
                  <c:v>46326.8125</c:v>
                </c:pt>
                <c:pt idx="27">
                  <c:v>46357.25</c:v>
                </c:pt>
                <c:pt idx="28">
                  <c:v>46387.6875</c:v>
                </c:pt>
                <c:pt idx="29">
                  <c:v>46418.125</c:v>
                </c:pt>
                <c:pt idx="30">
                  <c:v>46448.5625</c:v>
                </c:pt>
                <c:pt idx="31">
                  <c:v>46479</c:v>
                </c:pt>
                <c:pt idx="32">
                  <c:v>46509.4375</c:v>
                </c:pt>
                <c:pt idx="33">
                  <c:v>46539.875</c:v>
                </c:pt>
                <c:pt idx="34">
                  <c:v>46570.3125</c:v>
                </c:pt>
                <c:pt idx="35">
                  <c:v>46600.75</c:v>
                </c:pt>
              </c:numCache>
            </c:numRef>
          </c:cat>
          <c:val>
            <c:numRef>
              <c:f>'190 x75%'!$I$7:$I$42</c:f>
              <c:numCache>
                <c:formatCode>"$"#,##0.00</c:formatCode>
                <c:ptCount val="36"/>
                <c:pt idx="0">
                  <c:v>138863.80980650141</c:v>
                </c:pt>
                <c:pt idx="1">
                  <c:v>135210.19620165898</c:v>
                </c:pt>
                <c:pt idx="2">
                  <c:v>131539.07569829334</c:v>
                </c:pt>
                <c:pt idx="3">
                  <c:v>127850.36440918241</c:v>
                </c:pt>
                <c:pt idx="4">
                  <c:v>124143.9780451445</c:v>
                </c:pt>
                <c:pt idx="5">
                  <c:v>120419.83191311223</c:v>
                </c:pt>
                <c:pt idx="6">
                  <c:v>116677.84091419731</c:v>
                </c:pt>
                <c:pt idx="7">
                  <c:v>112917.91954174593</c:v>
                </c:pt>
                <c:pt idx="8">
                  <c:v>109139.98187938488</c:v>
                </c:pt>
                <c:pt idx="9">
                  <c:v>105343.94159905835</c:v>
                </c:pt>
                <c:pt idx="10">
                  <c:v>101529.71195905526</c:v>
                </c:pt>
                <c:pt idx="11">
                  <c:v>97697.205802027151</c:v>
                </c:pt>
                <c:pt idx="12">
                  <c:v>93846.335552996621</c:v>
                </c:pt>
                <c:pt idx="13">
                  <c:v>89977.013217356143</c:v>
                </c:pt>
                <c:pt idx="14">
                  <c:v>86089.15037885739</c:v>
                </c:pt>
                <c:pt idx="15">
                  <c:v>82182.658197590834</c:v>
                </c:pt>
                <c:pt idx="16">
                  <c:v>78257.447407955711</c:v>
                </c:pt>
                <c:pt idx="17">
                  <c:v>74313.428316620251</c:v>
                </c:pt>
                <c:pt idx="18">
                  <c:v>70350.510800472141</c:v>
                </c:pt>
                <c:pt idx="19">
                  <c:v>66368.60430455915</c:v>
                </c:pt>
                <c:pt idx="20">
                  <c:v>62367.617840019913</c:v>
                </c:pt>
                <c:pt idx="21">
                  <c:v>58347.459982004759</c:v>
                </c:pt>
                <c:pt idx="22">
                  <c:v>54308.038867586612</c:v>
                </c:pt>
                <c:pt idx="23">
                  <c:v>50249.262193661882</c:v>
                </c:pt>
                <c:pt idx="24">
                  <c:v>46171.037214841264</c:v>
                </c:pt>
                <c:pt idx="25">
                  <c:v>42073.27074133046</c:v>
                </c:pt>
                <c:pt idx="26">
                  <c:v>37955.869136800749</c:v>
                </c:pt>
                <c:pt idx="27">
                  <c:v>33818.738316249335</c:v>
                </c:pt>
                <c:pt idx="28">
                  <c:v>29661.783743849446</c:v>
                </c:pt>
                <c:pt idx="29">
                  <c:v>25484.910430790143</c:v>
                </c:pt>
                <c:pt idx="30">
                  <c:v>21288.022933105764</c:v>
                </c:pt>
                <c:pt idx="31">
                  <c:v>17071.025349494979</c:v>
                </c:pt>
                <c:pt idx="32">
                  <c:v>12833.821319129394</c:v>
                </c:pt>
                <c:pt idx="33">
                  <c:v>8576.31401945164</c:v>
                </c:pt>
                <c:pt idx="34">
                  <c:v>4298.4061639629299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BA-4C7E-A500-01B857D78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74728"/>
        <c:axId val="1558697480"/>
      </c:lineChart>
      <c:dateAx>
        <c:axId val="781747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697480"/>
        <c:crosses val="autoZero"/>
        <c:auto val="1"/>
        <c:lblOffset val="100"/>
        <c:baseTimeUnit val="months"/>
      </c:dateAx>
      <c:valAx>
        <c:axId val="155869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74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'190'!$I$6</c:f>
              <c:strCache>
                <c:ptCount val="1"/>
                <c:pt idx="0">
                  <c:v>Ending Balance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'190'!$B$7:$B$42</c:f>
              <c:numCache>
                <c:formatCode>m/d/yyyy</c:formatCode>
                <c:ptCount val="36"/>
                <c:pt idx="0">
                  <c:v>45535.4375</c:v>
                </c:pt>
                <c:pt idx="1">
                  <c:v>45565.875</c:v>
                </c:pt>
                <c:pt idx="2">
                  <c:v>45596.3125</c:v>
                </c:pt>
                <c:pt idx="3">
                  <c:v>45626.75</c:v>
                </c:pt>
                <c:pt idx="4">
                  <c:v>45657.1875</c:v>
                </c:pt>
                <c:pt idx="5">
                  <c:v>45687.625</c:v>
                </c:pt>
                <c:pt idx="6">
                  <c:v>45718.0625</c:v>
                </c:pt>
                <c:pt idx="7">
                  <c:v>45748.5</c:v>
                </c:pt>
                <c:pt idx="8">
                  <c:v>45778.9375</c:v>
                </c:pt>
                <c:pt idx="9">
                  <c:v>45809.375</c:v>
                </c:pt>
                <c:pt idx="10">
                  <c:v>45839.8125</c:v>
                </c:pt>
                <c:pt idx="11">
                  <c:v>45870.25</c:v>
                </c:pt>
                <c:pt idx="12">
                  <c:v>45900.6875</c:v>
                </c:pt>
                <c:pt idx="13">
                  <c:v>45931.125</c:v>
                </c:pt>
                <c:pt idx="14">
                  <c:v>45961.5625</c:v>
                </c:pt>
                <c:pt idx="15">
                  <c:v>45992</c:v>
                </c:pt>
                <c:pt idx="16">
                  <c:v>46022.4375</c:v>
                </c:pt>
                <c:pt idx="17">
                  <c:v>46052.875</c:v>
                </c:pt>
                <c:pt idx="18">
                  <c:v>46083.3125</c:v>
                </c:pt>
                <c:pt idx="19">
                  <c:v>46113.75</c:v>
                </c:pt>
                <c:pt idx="20">
                  <c:v>46144.1875</c:v>
                </c:pt>
                <c:pt idx="21">
                  <c:v>46174.625</c:v>
                </c:pt>
                <c:pt idx="22">
                  <c:v>46205.0625</c:v>
                </c:pt>
                <c:pt idx="23">
                  <c:v>46235.5</c:v>
                </c:pt>
                <c:pt idx="24">
                  <c:v>46265.9375</c:v>
                </c:pt>
                <c:pt idx="25">
                  <c:v>46296.375</c:v>
                </c:pt>
                <c:pt idx="26">
                  <c:v>46326.8125</c:v>
                </c:pt>
                <c:pt idx="27">
                  <c:v>46357.25</c:v>
                </c:pt>
                <c:pt idx="28">
                  <c:v>46387.6875</c:v>
                </c:pt>
                <c:pt idx="29">
                  <c:v>46418.125</c:v>
                </c:pt>
                <c:pt idx="30">
                  <c:v>46448.5625</c:v>
                </c:pt>
                <c:pt idx="31">
                  <c:v>46479</c:v>
                </c:pt>
                <c:pt idx="32">
                  <c:v>46509.4375</c:v>
                </c:pt>
                <c:pt idx="33">
                  <c:v>46539.875</c:v>
                </c:pt>
                <c:pt idx="34">
                  <c:v>46570.3125</c:v>
                </c:pt>
                <c:pt idx="35">
                  <c:v>46600.75</c:v>
                </c:pt>
              </c:numCache>
            </c:numRef>
          </c:cat>
          <c:val>
            <c:numRef>
              <c:f>'190'!$I$7:$I$42</c:f>
              <c:numCache>
                <c:formatCode>"$"#,##0.00</c:formatCode>
                <c:ptCount val="36"/>
                <c:pt idx="0">
                  <c:v>185151.74640866855</c:v>
                </c:pt>
                <c:pt idx="1">
                  <c:v>180280.26160221198</c:v>
                </c:pt>
                <c:pt idx="2">
                  <c:v>175385.43426439114</c:v>
                </c:pt>
                <c:pt idx="3">
                  <c:v>170467.15254557657</c:v>
                </c:pt>
                <c:pt idx="4">
                  <c:v>165525.30406019266</c:v>
                </c:pt>
                <c:pt idx="5">
                  <c:v>160559.77588414965</c:v>
                </c:pt>
                <c:pt idx="6">
                  <c:v>155570.45455226308</c:v>
                </c:pt>
                <c:pt idx="7">
                  <c:v>150557.22605566122</c:v>
                </c:pt>
                <c:pt idx="8">
                  <c:v>145519.97583917982</c:v>
                </c:pt>
                <c:pt idx="9">
                  <c:v>140458.58879874446</c:v>
                </c:pt>
                <c:pt idx="10">
                  <c:v>135372.94927874033</c:v>
                </c:pt>
                <c:pt idx="11">
                  <c:v>130262.94106936951</c:v>
                </c:pt>
                <c:pt idx="12">
                  <c:v>125128.44740399547</c:v>
                </c:pt>
                <c:pt idx="13">
                  <c:v>119969.35095647484</c:v>
                </c:pt>
                <c:pt idx="14">
                  <c:v>114785.53383847651</c:v>
                </c:pt>
                <c:pt idx="15">
                  <c:v>109576.87759678776</c:v>
                </c:pt>
                <c:pt idx="16">
                  <c:v>104343.26321060759</c:v>
                </c:pt>
                <c:pt idx="17">
                  <c:v>99084.571088826968</c:v>
                </c:pt>
                <c:pt idx="18">
                  <c:v>93800.681067296158</c:v>
                </c:pt>
                <c:pt idx="19">
                  <c:v>88491.472406078843</c:v>
                </c:pt>
                <c:pt idx="20">
                  <c:v>83156.823786693189</c:v>
                </c:pt>
                <c:pt idx="21">
                  <c:v>77796.613309339649</c:v>
                </c:pt>
                <c:pt idx="22">
                  <c:v>72410.718490115454</c:v>
                </c:pt>
                <c:pt idx="23">
                  <c:v>66999.016258215808</c:v>
                </c:pt>
                <c:pt idx="24">
                  <c:v>61561.382953121647</c:v>
                </c:pt>
                <c:pt idx="25">
                  <c:v>56097.69432177391</c:v>
                </c:pt>
                <c:pt idx="26">
                  <c:v>50607.825515734301</c:v>
                </c:pt>
                <c:pt idx="27">
                  <c:v>45091.651088332415</c:v>
                </c:pt>
                <c:pt idx="28">
                  <c:v>39549.04499179923</c:v>
                </c:pt>
                <c:pt idx="29">
                  <c:v>33979.880574386822</c:v>
                </c:pt>
                <c:pt idx="30">
                  <c:v>28384.030577474314</c:v>
                </c:pt>
                <c:pt idx="31">
                  <c:v>22761.367132659936</c:v>
                </c:pt>
                <c:pt idx="32">
                  <c:v>17111.761758839155</c:v>
                </c:pt>
                <c:pt idx="33">
                  <c:v>11435.085359268814</c:v>
                </c:pt>
                <c:pt idx="34">
                  <c:v>5731.2082186172001</c:v>
                </c:pt>
                <c:pt idx="35">
                  <c:v>-3.7289282772690058E-11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11-4154-B70F-0AD467A29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74728"/>
        <c:axId val="1558697480"/>
      </c:lineChart>
      <c:dateAx>
        <c:axId val="781747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697480"/>
        <c:crosses val="autoZero"/>
        <c:auto val="1"/>
        <c:lblOffset val="100"/>
        <c:baseTimeUnit val="months"/>
      </c:dateAx>
      <c:valAx>
        <c:axId val="155869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74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'190 + 140'!$I$6</c:f>
              <c:strCache>
                <c:ptCount val="1"/>
                <c:pt idx="0">
                  <c:v>Ending Balance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'190 + 140'!$B$7:$B$42</c:f>
              <c:numCache>
                <c:formatCode>m/d/yyyy</c:formatCode>
                <c:ptCount val="36"/>
                <c:pt idx="0">
                  <c:v>45535.4375</c:v>
                </c:pt>
                <c:pt idx="1">
                  <c:v>45565.875</c:v>
                </c:pt>
                <c:pt idx="2">
                  <c:v>45596.3125</c:v>
                </c:pt>
                <c:pt idx="3">
                  <c:v>45626.75</c:v>
                </c:pt>
                <c:pt idx="4">
                  <c:v>45657.1875</c:v>
                </c:pt>
                <c:pt idx="5">
                  <c:v>45687.625</c:v>
                </c:pt>
                <c:pt idx="6">
                  <c:v>45718.0625</c:v>
                </c:pt>
                <c:pt idx="7">
                  <c:v>45748.5</c:v>
                </c:pt>
                <c:pt idx="8">
                  <c:v>45778.9375</c:v>
                </c:pt>
                <c:pt idx="9">
                  <c:v>45809.375</c:v>
                </c:pt>
                <c:pt idx="10">
                  <c:v>45839.8125</c:v>
                </c:pt>
                <c:pt idx="11">
                  <c:v>45870.25</c:v>
                </c:pt>
                <c:pt idx="12">
                  <c:v>45900.6875</c:v>
                </c:pt>
                <c:pt idx="13">
                  <c:v>45931.125</c:v>
                </c:pt>
                <c:pt idx="14">
                  <c:v>45961.5625</c:v>
                </c:pt>
                <c:pt idx="15">
                  <c:v>45992</c:v>
                </c:pt>
                <c:pt idx="16">
                  <c:v>46022.4375</c:v>
                </c:pt>
                <c:pt idx="17">
                  <c:v>46052.875</c:v>
                </c:pt>
                <c:pt idx="18">
                  <c:v>46083.3125</c:v>
                </c:pt>
                <c:pt idx="19">
                  <c:v>46113.75</c:v>
                </c:pt>
                <c:pt idx="20">
                  <c:v>46144.1875</c:v>
                </c:pt>
                <c:pt idx="21">
                  <c:v>46174.625</c:v>
                </c:pt>
                <c:pt idx="22">
                  <c:v>46205.0625</c:v>
                </c:pt>
                <c:pt idx="23">
                  <c:v>46235.5</c:v>
                </c:pt>
                <c:pt idx="24">
                  <c:v>46265.9375</c:v>
                </c:pt>
                <c:pt idx="25">
                  <c:v>46296.375</c:v>
                </c:pt>
                <c:pt idx="26">
                  <c:v>46326.8125</c:v>
                </c:pt>
                <c:pt idx="27">
                  <c:v>46357.25</c:v>
                </c:pt>
                <c:pt idx="28">
                  <c:v>46387.6875</c:v>
                </c:pt>
                <c:pt idx="29">
                  <c:v>46418.125</c:v>
                </c:pt>
                <c:pt idx="30">
                  <c:v>46448.5625</c:v>
                </c:pt>
                <c:pt idx="31">
                  <c:v>46479</c:v>
                </c:pt>
                <c:pt idx="32">
                  <c:v>46509.4375</c:v>
                </c:pt>
                <c:pt idx="33">
                  <c:v>46539.875</c:v>
                </c:pt>
                <c:pt idx="34">
                  <c:v>46570.3125</c:v>
                </c:pt>
                <c:pt idx="35">
                  <c:v>46600.75</c:v>
                </c:pt>
              </c:numCache>
            </c:numRef>
          </c:cat>
          <c:val>
            <c:numRef>
              <c:f>'190 + 140'!$I$7:$I$42</c:f>
              <c:numCache>
                <c:formatCode>"$"#,##0.00</c:formatCode>
                <c:ptCount val="36"/>
                <c:pt idx="0">
                  <c:v>321579.34902558225</c:v>
                </c:pt>
                <c:pt idx="1">
                  <c:v>313118.34909857874</c:v>
                </c:pt>
                <c:pt idx="2">
                  <c:v>304616.80688025831</c:v>
                </c:pt>
                <c:pt idx="3">
                  <c:v>296074.52810547512</c:v>
                </c:pt>
                <c:pt idx="4">
                  <c:v>287491.31757822941</c:v>
                </c:pt>
                <c:pt idx="5">
                  <c:v>278866.97916720732</c:v>
                </c:pt>
                <c:pt idx="6">
                  <c:v>270201.31580129906</c:v>
                </c:pt>
                <c:pt idx="7">
                  <c:v>261494.12946509584</c:v>
                </c:pt>
                <c:pt idx="8">
                  <c:v>252745.221194365</c:v>
                </c:pt>
                <c:pt idx="9">
                  <c:v>243954.39107150357</c:v>
                </c:pt>
                <c:pt idx="10">
                  <c:v>235121.4382209701</c:v>
                </c:pt>
                <c:pt idx="11">
                  <c:v>226246.16080469449</c:v>
                </c:pt>
                <c:pt idx="12">
                  <c:v>217328.35601746588</c:v>
                </c:pt>
                <c:pt idx="13">
                  <c:v>208367.82008229845</c:v>
                </c:pt>
                <c:pt idx="14">
                  <c:v>199364.34824577504</c:v>
                </c:pt>
                <c:pt idx="15">
                  <c:v>190317.73477336828</c:v>
                </c:pt>
                <c:pt idx="16">
                  <c:v>181227.77294473955</c:v>
                </c:pt>
                <c:pt idx="17">
                  <c:v>172094.25504901534</c:v>
                </c:pt>
                <c:pt idx="18">
                  <c:v>162916.97238004077</c:v>
                </c:pt>
                <c:pt idx="19">
                  <c:v>153695.71523161069</c:v>
                </c:pt>
                <c:pt idx="20">
                  <c:v>144430.27289267772</c:v>
                </c:pt>
                <c:pt idx="21">
                  <c:v>135120.43364253736</c:v>
                </c:pt>
                <c:pt idx="22">
                  <c:v>125765.98474599008</c:v>
                </c:pt>
                <c:pt idx="23">
                  <c:v>116366.71244848018</c:v>
                </c:pt>
                <c:pt idx="24">
                  <c:v>106922.40197121137</c:v>
                </c:pt>
                <c:pt idx="25">
                  <c:v>97432.837506238982</c:v>
                </c:pt>
                <c:pt idx="26">
                  <c:v>87897.802211538612</c:v>
                </c:pt>
                <c:pt idx="27">
                  <c:v>78317.078206051126</c:v>
                </c:pt>
                <c:pt idx="28">
                  <c:v>68690.44656470402</c:v>
                </c:pt>
                <c:pt idx="29">
                  <c:v>59017.687313408787</c:v>
                </c:pt>
                <c:pt idx="30">
                  <c:v>49298.579424034433</c:v>
                </c:pt>
                <c:pt idx="31">
                  <c:v>39532.900809356826</c:v>
                </c:pt>
                <c:pt idx="32">
                  <c:v>29720.428317983889</c:v>
                </c:pt>
                <c:pt idx="33">
                  <c:v>19860.93772925646</c:v>
                </c:pt>
                <c:pt idx="34">
                  <c:v>9954.2037481247098</c:v>
                </c:pt>
                <c:pt idx="35">
                  <c:v>3.637978807091713E-11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B2-40FE-B060-796D47248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74728"/>
        <c:axId val="1558697480"/>
      </c:lineChart>
      <c:dateAx>
        <c:axId val="781747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697480"/>
        <c:crosses val="autoZero"/>
        <c:auto val="1"/>
        <c:lblOffset val="100"/>
        <c:baseTimeUnit val="months"/>
      </c:dateAx>
      <c:valAx>
        <c:axId val="155869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74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'7.20'!$I$6</c:f>
              <c:strCache>
                <c:ptCount val="1"/>
                <c:pt idx="0">
                  <c:v>Ending Balance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'7.20'!$B$7:$B$42</c:f>
              <c:numCache>
                <c:formatCode>m/d/yyyy</c:formatCode>
                <c:ptCount val="36"/>
                <c:pt idx="0">
                  <c:v>45535.4375</c:v>
                </c:pt>
                <c:pt idx="1">
                  <c:v>45565.875</c:v>
                </c:pt>
                <c:pt idx="2">
                  <c:v>45596.3125</c:v>
                </c:pt>
                <c:pt idx="3">
                  <c:v>45626.75</c:v>
                </c:pt>
                <c:pt idx="4">
                  <c:v>45657.1875</c:v>
                </c:pt>
                <c:pt idx="5">
                  <c:v>45687.625</c:v>
                </c:pt>
                <c:pt idx="6">
                  <c:v>45718.0625</c:v>
                </c:pt>
                <c:pt idx="7">
                  <c:v>45748.5</c:v>
                </c:pt>
                <c:pt idx="8">
                  <c:v>45778.9375</c:v>
                </c:pt>
                <c:pt idx="9">
                  <c:v>45809.375</c:v>
                </c:pt>
                <c:pt idx="10">
                  <c:v>45839.8125</c:v>
                </c:pt>
                <c:pt idx="11">
                  <c:v>45870.25</c:v>
                </c:pt>
                <c:pt idx="12">
                  <c:v>45900.6875</c:v>
                </c:pt>
                <c:pt idx="13">
                  <c:v>45931.125</c:v>
                </c:pt>
                <c:pt idx="14">
                  <c:v>45961.5625</c:v>
                </c:pt>
                <c:pt idx="15">
                  <c:v>45992</c:v>
                </c:pt>
                <c:pt idx="16">
                  <c:v>46022.4375</c:v>
                </c:pt>
                <c:pt idx="17">
                  <c:v>46052.875</c:v>
                </c:pt>
                <c:pt idx="18">
                  <c:v>46083.3125</c:v>
                </c:pt>
                <c:pt idx="19">
                  <c:v>46113.75</c:v>
                </c:pt>
                <c:pt idx="20">
                  <c:v>46144.1875</c:v>
                </c:pt>
                <c:pt idx="21">
                  <c:v>46174.625</c:v>
                </c:pt>
                <c:pt idx="22">
                  <c:v>46205.0625</c:v>
                </c:pt>
                <c:pt idx="23">
                  <c:v>46235.5</c:v>
                </c:pt>
                <c:pt idx="24">
                  <c:v>46265.9375</c:v>
                </c:pt>
                <c:pt idx="25">
                  <c:v>46296.375</c:v>
                </c:pt>
                <c:pt idx="26">
                  <c:v>46326.8125</c:v>
                </c:pt>
                <c:pt idx="27">
                  <c:v>46357.25</c:v>
                </c:pt>
                <c:pt idx="28">
                  <c:v>46387.6875</c:v>
                </c:pt>
                <c:pt idx="29">
                  <c:v>46418.125</c:v>
                </c:pt>
                <c:pt idx="30">
                  <c:v>46448.5625</c:v>
                </c:pt>
                <c:pt idx="31">
                  <c:v>46479</c:v>
                </c:pt>
                <c:pt idx="32">
                  <c:v>46509.4375</c:v>
                </c:pt>
                <c:pt idx="33">
                  <c:v>46539.875</c:v>
                </c:pt>
                <c:pt idx="34">
                  <c:v>46570.3125</c:v>
                </c:pt>
                <c:pt idx="35">
                  <c:v>46600.75</c:v>
                </c:pt>
              </c:numCache>
            </c:numRef>
          </c:cat>
          <c:val>
            <c:numRef>
              <c:f>'7.20'!$I$7:$I$42</c:f>
              <c:numCache>
                <c:formatCode>"$"#,##0.00</c:formatCode>
                <c:ptCount val="36"/>
                <c:pt idx="0">
                  <c:v>321760.35468106309</c:v>
                </c:pt>
                <c:pt idx="1">
                  <c:v>313471.27149021259</c:v>
                </c:pt>
                <c:pt idx="2">
                  <c:v>305132.45380021696</c:v>
                </c:pt>
                <c:pt idx="3">
                  <c:v>296743.60320408136</c:v>
                </c:pt>
                <c:pt idx="4">
                  <c:v>288304.41950436897</c:v>
                </c:pt>
                <c:pt idx="5">
                  <c:v>279814.60070245829</c:v>
                </c:pt>
                <c:pt idx="6">
                  <c:v>271273.84298773616</c:v>
                </c:pt>
                <c:pt idx="7">
                  <c:v>262681.8407267257</c:v>
                </c:pt>
                <c:pt idx="8">
                  <c:v>254038.28645214916</c:v>
                </c:pt>
                <c:pt idx="9">
                  <c:v>245342.87085192517</c:v>
                </c:pt>
                <c:pt idx="10">
                  <c:v>236595.28275809984</c:v>
                </c:pt>
                <c:pt idx="11">
                  <c:v>227795.20913571154</c:v>
                </c:pt>
                <c:pt idx="12">
                  <c:v>218942.33507158892</c:v>
                </c:pt>
                <c:pt idx="13">
                  <c:v>210036.34376308156</c:v>
                </c:pt>
                <c:pt idx="14">
                  <c:v>201076.91650672315</c:v>
                </c:pt>
                <c:pt idx="15">
                  <c:v>192063.73268682661</c:v>
                </c:pt>
                <c:pt idx="16">
                  <c:v>182996.46976401069</c:v>
                </c:pt>
                <c:pt idx="17">
                  <c:v>173874.80326365787</c:v>
                </c:pt>
                <c:pt idx="18">
                  <c:v>164698.40676430293</c:v>
                </c:pt>
                <c:pt idx="19">
                  <c:v>155466.95188595186</c:v>
                </c:pt>
                <c:pt idx="20">
                  <c:v>146180.10827833068</c:v>
                </c:pt>
                <c:pt idx="21">
                  <c:v>136837.54360906378</c:v>
                </c:pt>
                <c:pt idx="22">
                  <c:v>127438.92355178128</c:v>
                </c:pt>
                <c:pt idx="23">
                  <c:v>117983.91177415507</c:v>
                </c:pt>
                <c:pt idx="24">
                  <c:v>108472.16992586311</c:v>
                </c:pt>
                <c:pt idx="25">
                  <c:v>98903.357626481404</c:v>
                </c:pt>
                <c:pt idx="26">
                  <c:v>89277.132453303406</c:v>
                </c:pt>
                <c:pt idx="27">
                  <c:v>79593.149929086343</c:v>
                </c:pt>
                <c:pt idx="28">
                  <c:v>69851.063509723972</c:v>
                </c:pt>
                <c:pt idx="29">
                  <c:v>60050.524571845424</c:v>
                </c:pt>
                <c:pt idx="30">
                  <c:v>50191.18240033961</c:v>
                </c:pt>
                <c:pt idx="31">
                  <c:v>40272.684175804759</c:v>
                </c:pt>
                <c:pt idx="32">
                  <c:v>30294.674961922701</c:v>
                </c:pt>
                <c:pt idx="33">
                  <c:v>20256.797692757347</c:v>
                </c:pt>
                <c:pt idx="34">
                  <c:v>10158.693159977003</c:v>
                </c:pt>
                <c:pt idx="35">
                  <c:v>-2.1827872842550278E-11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97-4209-AF96-557786394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74728"/>
        <c:axId val="1558697480"/>
      </c:lineChart>
      <c:dateAx>
        <c:axId val="781747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697480"/>
        <c:crosses val="autoZero"/>
        <c:auto val="1"/>
        <c:lblOffset val="100"/>
        <c:baseTimeUnit val="months"/>
      </c:dateAx>
      <c:valAx>
        <c:axId val="155869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74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6</xdr:row>
      <xdr:rowOff>133350</xdr:rowOff>
    </xdr:from>
    <xdr:to>
      <xdr:col>26</xdr:col>
      <xdr:colOff>390525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BE10C7-A50F-7EEF-CC50-6863B2AD8B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6</xdr:row>
      <xdr:rowOff>133350</xdr:rowOff>
    </xdr:from>
    <xdr:to>
      <xdr:col>26</xdr:col>
      <xdr:colOff>390525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B8D0EC-3BCC-45FF-9974-FFEE0185D5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6</xdr:row>
      <xdr:rowOff>133350</xdr:rowOff>
    </xdr:from>
    <xdr:to>
      <xdr:col>26</xdr:col>
      <xdr:colOff>390525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4A1E0D-CD82-447E-8248-07EE08B807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428625</xdr:colOff>
      <xdr:row>6</xdr:row>
      <xdr:rowOff>133350</xdr:rowOff>
    </xdr:from>
    <xdr:to>
      <xdr:col>31</xdr:col>
      <xdr:colOff>581025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EB2872-7655-4E05-9E45-2ECAB8A4B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428625</xdr:colOff>
      <xdr:row>6</xdr:row>
      <xdr:rowOff>133350</xdr:rowOff>
    </xdr:from>
    <xdr:to>
      <xdr:col>31</xdr:col>
      <xdr:colOff>581025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4DD76E-4D99-4156-8202-4214F4CBF6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428625</xdr:colOff>
      <xdr:row>6</xdr:row>
      <xdr:rowOff>133350</xdr:rowOff>
    </xdr:from>
    <xdr:to>
      <xdr:col>31</xdr:col>
      <xdr:colOff>581025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10B992-978D-451A-8435-BCD6D049F7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428625</xdr:colOff>
      <xdr:row>6</xdr:row>
      <xdr:rowOff>133350</xdr:rowOff>
    </xdr:from>
    <xdr:to>
      <xdr:col>31</xdr:col>
      <xdr:colOff>581025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8A0BBA-C67E-4083-B37F-77ADA755E1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workbookViewId="0">
      <selection activeCell="S16" sqref="S16"/>
    </sheetView>
  </sheetViews>
  <sheetFormatPr defaultRowHeight="15"/>
  <cols>
    <col min="1" max="1" width="9.140625" customWidth="1"/>
    <col min="3" max="3" width="18.85546875" bestFit="1" customWidth="1"/>
    <col min="8" max="8" width="11.85546875" customWidth="1"/>
    <col min="9" max="9" width="14.28515625" customWidth="1"/>
    <col min="10" max="10" width="12.85546875" bestFit="1" customWidth="1"/>
    <col min="11" max="11" width="5.140625" customWidth="1"/>
    <col min="12" max="13" width="12.85546875" bestFit="1" customWidth="1"/>
    <col min="14" max="14" width="15.140625" customWidth="1"/>
  </cols>
  <sheetData>
    <row r="1" spans="1:14">
      <c r="A1" t="s">
        <v>0</v>
      </c>
      <c r="I1" s="5" t="s">
        <v>1</v>
      </c>
      <c r="J1" s="5" t="s">
        <v>2</v>
      </c>
      <c r="L1" s="14" t="s">
        <v>1</v>
      </c>
      <c r="M1" s="14" t="s">
        <v>2</v>
      </c>
      <c r="N1" s="14" t="s">
        <v>3</v>
      </c>
    </row>
    <row r="2" spans="1:14">
      <c r="A2" t="s">
        <v>4</v>
      </c>
    </row>
    <row r="3" spans="1:14">
      <c r="A3" t="s">
        <v>5</v>
      </c>
      <c r="B3" s="1">
        <f>4.75%+1%</f>
        <v>5.7500000000000002E-2</v>
      </c>
      <c r="C3" t="s">
        <v>6</v>
      </c>
      <c r="E3" t="s">
        <v>7</v>
      </c>
      <c r="I3" s="1">
        <v>7.1999999999999995E-2</v>
      </c>
      <c r="J3" s="1">
        <f>I3</f>
        <v>7.1999999999999995E-2</v>
      </c>
      <c r="L3" s="1">
        <v>7.1999999999999995E-2</v>
      </c>
      <c r="M3" s="1">
        <f>L3</f>
        <v>7.1999999999999995E-2</v>
      </c>
    </row>
    <row r="4" spans="1:14">
      <c r="A4" t="s">
        <v>8</v>
      </c>
      <c r="B4" t="s">
        <v>9</v>
      </c>
      <c r="I4">
        <v>1</v>
      </c>
      <c r="J4">
        <f>I4</f>
        <v>1</v>
      </c>
      <c r="L4">
        <v>7</v>
      </c>
      <c r="M4">
        <f>L4</f>
        <v>7</v>
      </c>
    </row>
    <row r="5" spans="1:14">
      <c r="A5" t="s">
        <v>10</v>
      </c>
      <c r="B5" t="s">
        <v>11</v>
      </c>
      <c r="H5" s="5" t="s">
        <v>12</v>
      </c>
      <c r="I5">
        <f>I4*12</f>
        <v>12</v>
      </c>
      <c r="J5">
        <f>J4*12</f>
        <v>12</v>
      </c>
      <c r="L5">
        <f>L4*12</f>
        <v>84</v>
      </c>
      <c r="M5">
        <f>M4*12</f>
        <v>84</v>
      </c>
    </row>
    <row r="6" spans="1:14">
      <c r="A6" t="s">
        <v>13</v>
      </c>
      <c r="B6" t="s">
        <v>14</v>
      </c>
      <c r="H6" s="5"/>
      <c r="I6" s="4">
        <f>712500/7</f>
        <v>101785.71428571429</v>
      </c>
      <c r="J6" s="4">
        <f>190000/6</f>
        <v>31666.666666666668</v>
      </c>
      <c r="L6" s="4">
        <f>712500</f>
        <v>712500</v>
      </c>
      <c r="M6" s="4">
        <f>190000</f>
        <v>190000</v>
      </c>
      <c r="N6" s="4">
        <f>L6+M6</f>
        <v>902500</v>
      </c>
    </row>
    <row r="7" spans="1:14">
      <c r="A7" t="s">
        <v>15</v>
      </c>
      <c r="B7" t="s">
        <v>16</v>
      </c>
      <c r="H7" s="5"/>
      <c r="I7" s="4">
        <v>0</v>
      </c>
      <c r="J7" s="4">
        <v>0</v>
      </c>
      <c r="L7" s="4">
        <v>0</v>
      </c>
      <c r="M7" s="4">
        <v>0</v>
      </c>
    </row>
    <row r="8" spans="1:14">
      <c r="H8" s="5"/>
    </row>
    <row r="9" spans="1:14">
      <c r="H9" s="5" t="s">
        <v>17</v>
      </c>
    </row>
    <row r="10" spans="1:14">
      <c r="H10" s="5" t="s">
        <v>18</v>
      </c>
      <c r="I10" s="2">
        <f>PMT((I3/12),I5,I6,0,0)</f>
        <v>-8816.5740810986663</v>
      </c>
      <c r="J10" s="2">
        <f>PMT((J3/12),J5,J6,0,0)</f>
        <v>-2742.9341585640291</v>
      </c>
      <c r="L10" s="2">
        <f>PMT((L3/12),L5,L6,0,0)</f>
        <v>-10823.328561768831</v>
      </c>
      <c r="M10" s="2">
        <f>PMT((M3/12),M5,M6,0,0)</f>
        <v>-2886.2209498050211</v>
      </c>
      <c r="N10" s="2">
        <f>M10+L10</f>
        <v>-13709.549511573852</v>
      </c>
    </row>
    <row r="11" spans="1:14">
      <c r="H11" s="5" t="s">
        <v>19</v>
      </c>
      <c r="I11" s="2">
        <f>I10*12</f>
        <v>-105798.88897318399</v>
      </c>
      <c r="J11" s="2">
        <f>J10*12</f>
        <v>-32915.209902768351</v>
      </c>
      <c r="L11" s="2">
        <f>L10*12</f>
        <v>-129879.94274122597</v>
      </c>
      <c r="M11" s="2">
        <f>M10*12</f>
        <v>-34634.651397660251</v>
      </c>
      <c r="N11" s="2">
        <f t="shared" ref="N11:N14" si="0">M11+L11</f>
        <v>-164514.59413888623</v>
      </c>
    </row>
    <row r="12" spans="1:14">
      <c r="H12" s="5" t="s">
        <v>20</v>
      </c>
      <c r="I12" s="2">
        <f>I10*I5</f>
        <v>-105798.88897318399</v>
      </c>
      <c r="J12" s="2">
        <f>J10*J5</f>
        <v>-32915.209902768351</v>
      </c>
      <c r="L12" s="2">
        <f>L10*L5</f>
        <v>-909159.59918858181</v>
      </c>
      <c r="M12" s="2">
        <f>M10*M5</f>
        <v>-242442.55978362178</v>
      </c>
      <c r="N12" s="2">
        <f t="shared" si="0"/>
        <v>-1151602.1589722035</v>
      </c>
    </row>
    <row r="13" spans="1:14">
      <c r="H13" s="5" t="s">
        <v>21</v>
      </c>
      <c r="I13" s="2">
        <f>I12-I14</f>
        <v>-101785.71428571429</v>
      </c>
      <c r="J13" s="2">
        <f>J12-J14</f>
        <v>-31666.666666666668</v>
      </c>
      <c r="L13" s="2">
        <f>L12-L14</f>
        <v>-712500</v>
      </c>
      <c r="M13" s="2">
        <f>M12-M14</f>
        <v>-190000</v>
      </c>
      <c r="N13" s="2">
        <f t="shared" si="0"/>
        <v>-902500</v>
      </c>
    </row>
    <row r="14" spans="1:14">
      <c r="H14" s="5" t="s">
        <v>22</v>
      </c>
      <c r="I14" s="2">
        <f>I12+I6</f>
        <v>-4013.1746874696983</v>
      </c>
      <c r="J14" s="2">
        <f>J12+J6</f>
        <v>-1248.5432361016829</v>
      </c>
      <c r="L14" s="2">
        <f>L12+L6</f>
        <v>-196659.59918858181</v>
      </c>
      <c r="M14" s="2">
        <f>M12+M6</f>
        <v>-52442.559783621778</v>
      </c>
      <c r="N14" s="2">
        <f t="shared" si="0"/>
        <v>-249102.15897220359</v>
      </c>
    </row>
    <row r="15" spans="1:14">
      <c r="I15" s="1">
        <f>-I14/I6</f>
        <v>3.9427681140053177E-2</v>
      </c>
      <c r="J15" s="1">
        <f>-J14/J6</f>
        <v>3.9427681140053142E-2</v>
      </c>
      <c r="L15" s="1">
        <f>-L14/L6</f>
        <v>0.276013472545378</v>
      </c>
      <c r="M15" s="1">
        <f>-M14/M6</f>
        <v>0.27601347254537778</v>
      </c>
      <c r="N15" s="1">
        <f>-N14/N6</f>
        <v>0.27601347254537795</v>
      </c>
    </row>
    <row r="18" spans="8:13">
      <c r="I18" s="5"/>
      <c r="J18" s="5"/>
      <c r="L18" s="5"/>
      <c r="M18" s="5"/>
    </row>
    <row r="20" spans="8:13">
      <c r="I20" s="1"/>
      <c r="J20" s="1"/>
      <c r="L20" s="1"/>
      <c r="M20" s="1"/>
    </row>
    <row r="21" spans="8:13">
      <c r="H21" s="5"/>
    </row>
    <row r="22" spans="8:13">
      <c r="H22" s="5"/>
      <c r="I22" s="4"/>
      <c r="J22" s="4"/>
      <c r="L22" s="4"/>
      <c r="M22" s="4"/>
    </row>
    <row r="23" spans="8:13">
      <c r="H23" s="5"/>
      <c r="I23" s="4"/>
      <c r="J23" s="4"/>
      <c r="L23" s="4"/>
      <c r="M23" s="4"/>
    </row>
    <row r="24" spans="8:13">
      <c r="H24" s="5"/>
    </row>
    <row r="25" spans="8:13">
      <c r="H25" s="5"/>
    </row>
    <row r="26" spans="8:13">
      <c r="H26" s="5"/>
      <c r="I26" s="2"/>
      <c r="J26" s="2"/>
      <c r="L26" s="2"/>
      <c r="M26" s="2"/>
    </row>
    <row r="27" spans="8:13">
      <c r="H27" s="5"/>
      <c r="I27" s="2"/>
      <c r="J27" s="2"/>
      <c r="L27" s="2"/>
      <c r="M27" s="2"/>
    </row>
    <row r="28" spans="8:13">
      <c r="H28" s="5"/>
      <c r="I28" s="2"/>
      <c r="J28" s="2"/>
      <c r="L28" s="2"/>
      <c r="M28" s="2"/>
    </row>
    <row r="29" spans="8:13">
      <c r="H29" s="5"/>
      <c r="I29" s="2"/>
      <c r="J29" s="2"/>
      <c r="L29" s="2"/>
      <c r="M29" s="2"/>
    </row>
    <row r="30" spans="8:13">
      <c r="H30" s="5"/>
      <c r="I30" s="2"/>
      <c r="J30" s="2"/>
      <c r="L30" s="2"/>
      <c r="M30" s="2"/>
    </row>
    <row r="31" spans="8:13">
      <c r="I31" s="1"/>
      <c r="J31" s="1"/>
      <c r="L31" s="1"/>
      <c r="M31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8B78-EC1C-4BAB-B80A-1DDF4CFFCFD2}">
  <dimension ref="A1:N44"/>
  <sheetViews>
    <sheetView workbookViewId="0"/>
  </sheetViews>
  <sheetFormatPr defaultRowHeight="15"/>
  <cols>
    <col min="1" max="1" width="13" customWidth="1"/>
    <col min="2" max="2" width="12.85546875" bestFit="1" customWidth="1"/>
    <col min="3" max="3" width="20" customWidth="1"/>
    <col min="4" max="5" width="11.5703125" customWidth="1"/>
    <col min="6" max="6" width="11.28515625" customWidth="1"/>
    <col min="7" max="9" width="16.7109375" customWidth="1"/>
    <col min="10" max="11" width="17.7109375" customWidth="1"/>
    <col min="12" max="12" width="4.42578125" customWidth="1"/>
    <col min="13" max="13" width="18.28515625" customWidth="1"/>
    <col min="14" max="14" width="16.140625" customWidth="1"/>
  </cols>
  <sheetData>
    <row r="1" spans="1:14">
      <c r="A1" s="5" t="s">
        <v>23</v>
      </c>
      <c r="B1" s="4">
        <f>(190000+140000)</f>
        <v>330000</v>
      </c>
      <c r="C1" s="5" t="s">
        <v>24</v>
      </c>
      <c r="D1">
        <f>B2</f>
        <v>36</v>
      </c>
      <c r="F1" s="15" t="s">
        <v>36</v>
      </c>
      <c r="G1" s="8">
        <f>SUM(H7:H42)</f>
        <v>367907.23148172803</v>
      </c>
    </row>
    <row r="2" spans="1:14">
      <c r="A2" s="5" t="s">
        <v>25</v>
      </c>
      <c r="B2">
        <v>36</v>
      </c>
      <c r="C2" s="5" t="s">
        <v>26</v>
      </c>
      <c r="D2" s="3">
        <f>B3/12</f>
        <v>5.9999999999999993E-3</v>
      </c>
      <c r="E2" s="3"/>
      <c r="F2" s="15" t="s">
        <v>37</v>
      </c>
      <c r="G2" s="8">
        <f>G1-B1</f>
        <v>37907.231481728028</v>
      </c>
    </row>
    <row r="3" spans="1:14">
      <c r="A3" s="5" t="s">
        <v>27</v>
      </c>
      <c r="B3" s="1">
        <v>7.1999999999999995E-2</v>
      </c>
      <c r="C3" s="5" t="s">
        <v>28</v>
      </c>
      <c r="D3" s="2">
        <f>PMT(B3/12,D1,-B1,0,0)</f>
        <v>10219.645318936888</v>
      </c>
      <c r="E3" s="2"/>
      <c r="F3" s="2"/>
    </row>
    <row r="4" spans="1:14">
      <c r="A4" s="5" t="s">
        <v>29</v>
      </c>
      <c r="B4" s="6">
        <f>DATE(2024,8,1)</f>
        <v>45505</v>
      </c>
      <c r="C4" s="5" t="s">
        <v>49</v>
      </c>
      <c r="D4" s="2">
        <f>D3*12</f>
        <v>122635.74382724265</v>
      </c>
      <c r="J4" s="5" t="s">
        <v>50</v>
      </c>
      <c r="M4" s="5" t="s">
        <v>51</v>
      </c>
    </row>
    <row r="6" spans="1:14">
      <c r="A6" s="14" t="s">
        <v>30</v>
      </c>
      <c r="B6" s="14" t="s">
        <v>31</v>
      </c>
      <c r="C6" s="14" t="s">
        <v>32</v>
      </c>
      <c r="D6" s="14" t="s">
        <v>28</v>
      </c>
      <c r="E6" s="14" t="s">
        <v>33</v>
      </c>
      <c r="F6" s="14" t="s">
        <v>33</v>
      </c>
      <c r="G6" s="14" t="s">
        <v>23</v>
      </c>
      <c r="H6" s="14" t="s">
        <v>34</v>
      </c>
      <c r="I6" s="14" t="s">
        <v>35</v>
      </c>
      <c r="J6" s="14" t="s">
        <v>52</v>
      </c>
      <c r="K6" s="14" t="s">
        <v>35</v>
      </c>
      <c r="L6" s="14"/>
      <c r="M6" s="14" t="s">
        <v>52</v>
      </c>
      <c r="N6" s="14" t="s">
        <v>35</v>
      </c>
    </row>
    <row r="7" spans="1:14">
      <c r="A7">
        <v>1</v>
      </c>
      <c r="B7" s="6">
        <f>B4+(365.25/12)</f>
        <v>45535.4375</v>
      </c>
      <c r="C7" s="8">
        <f>B1</f>
        <v>330000</v>
      </c>
      <c r="D7" s="7">
        <f>$D$3</f>
        <v>10219.645318936888</v>
      </c>
      <c r="E7" s="9">
        <f>$B$3</f>
        <v>7.1999999999999995E-2</v>
      </c>
      <c r="F7" s="8">
        <f>C7*E7/12</f>
        <v>1980</v>
      </c>
      <c r="G7" s="8">
        <f>D7-F7</f>
        <v>8239.6453189368876</v>
      </c>
      <c r="H7" s="8">
        <f>F7+G7</f>
        <v>10219.645318936888</v>
      </c>
      <c r="I7" s="8">
        <f>C7-G7</f>
        <v>321760.35468106309</v>
      </c>
      <c r="J7" s="8">
        <f>F7</f>
        <v>1980</v>
      </c>
      <c r="K7" s="8">
        <f>C7-F7</f>
        <v>328020</v>
      </c>
      <c r="L7" s="8"/>
      <c r="M7" s="8">
        <f>F7</f>
        <v>1980</v>
      </c>
      <c r="N7" s="8">
        <f>C7-F7</f>
        <v>328020</v>
      </c>
    </row>
    <row r="8" spans="1:14">
      <c r="A8">
        <v>2</v>
      </c>
      <c r="B8" s="6">
        <f>B7+(365.25/12)</f>
        <v>45565.875</v>
      </c>
      <c r="C8" s="8">
        <f>I7</f>
        <v>321760.35468106309</v>
      </c>
      <c r="D8" s="7">
        <f>$D$3</f>
        <v>10219.645318936888</v>
      </c>
      <c r="E8" s="9">
        <f>E7</f>
        <v>7.1999999999999995E-2</v>
      </c>
      <c r="F8" s="8">
        <f t="shared" ref="F8:F42" si="0">C8*E8/12</f>
        <v>1930.5621280863786</v>
      </c>
      <c r="G8" s="8">
        <f>D8-F8</f>
        <v>8289.0831908505097</v>
      </c>
      <c r="H8" s="8">
        <f>F8+G8</f>
        <v>10219.645318936888</v>
      </c>
      <c r="I8" s="8">
        <f>C8-G8</f>
        <v>313471.27149021259</v>
      </c>
      <c r="J8" s="8">
        <f t="shared" ref="J8:J30" si="1">F8</f>
        <v>1930.5621280863786</v>
      </c>
      <c r="K8" s="8">
        <f>K7-J8</f>
        <v>326089.4378719136</v>
      </c>
      <c r="L8" s="8"/>
      <c r="M8" s="8">
        <f t="shared" ref="M8:M18" si="2">F8</f>
        <v>1930.5621280863786</v>
      </c>
      <c r="N8" s="8">
        <f>N7-M8</f>
        <v>326089.4378719136</v>
      </c>
    </row>
    <row r="9" spans="1:14">
      <c r="A9">
        <v>3</v>
      </c>
      <c r="B9" s="6">
        <f t="shared" ref="B9:B42" si="3">B8+(365.25/12)</f>
        <v>45596.3125</v>
      </c>
      <c r="C9" s="8">
        <f t="shared" ref="C9:C42" si="4">I8</f>
        <v>313471.27149021259</v>
      </c>
      <c r="D9" s="7">
        <f t="shared" ref="D9:D42" si="5">$D$3</f>
        <v>10219.645318936888</v>
      </c>
      <c r="E9" s="9">
        <f t="shared" ref="E9:E42" si="6">E8</f>
        <v>7.1999999999999995E-2</v>
      </c>
      <c r="F9" s="8">
        <f t="shared" si="0"/>
        <v>1880.8276289412754</v>
      </c>
      <c r="G9" s="8">
        <f>D9-F9</f>
        <v>8338.8176899956125</v>
      </c>
      <c r="H9" s="8">
        <f t="shared" ref="H9:H42" si="7">F9+G9</f>
        <v>10219.645318936888</v>
      </c>
      <c r="I9" s="8">
        <f>C9-G9</f>
        <v>305132.45380021696</v>
      </c>
      <c r="J9" s="8">
        <f t="shared" si="1"/>
        <v>1880.8276289412754</v>
      </c>
      <c r="K9" s="8">
        <f t="shared" ref="K9:N24" si="8">K8-J9</f>
        <v>324208.61024297233</v>
      </c>
      <c r="L9" s="8"/>
      <c r="M9" s="8">
        <f t="shared" si="2"/>
        <v>1880.8276289412754</v>
      </c>
      <c r="N9" s="8">
        <f t="shared" si="8"/>
        <v>324208.61024297233</v>
      </c>
    </row>
    <row r="10" spans="1:14">
      <c r="A10">
        <v>4</v>
      </c>
      <c r="B10" s="6">
        <f t="shared" si="3"/>
        <v>45626.75</v>
      </c>
      <c r="C10" s="8">
        <f t="shared" si="4"/>
        <v>305132.45380021696</v>
      </c>
      <c r="D10" s="7">
        <f t="shared" si="5"/>
        <v>10219.645318936888</v>
      </c>
      <c r="E10" s="9">
        <f t="shared" si="6"/>
        <v>7.1999999999999995E-2</v>
      </c>
      <c r="F10" s="8">
        <f t="shared" si="0"/>
        <v>1830.7947228013015</v>
      </c>
      <c r="G10" s="8">
        <f>D10-F10</f>
        <v>8388.8505961355859</v>
      </c>
      <c r="H10" s="8">
        <f t="shared" si="7"/>
        <v>10219.645318936888</v>
      </c>
      <c r="I10" s="8">
        <f>C10-G10</f>
        <v>296743.60320408136</v>
      </c>
      <c r="J10" s="8">
        <f t="shared" si="1"/>
        <v>1830.7947228013015</v>
      </c>
      <c r="K10" s="8">
        <f t="shared" si="8"/>
        <v>322377.81552017102</v>
      </c>
      <c r="L10" s="8"/>
      <c r="M10" s="8">
        <f t="shared" si="2"/>
        <v>1830.7947228013015</v>
      </c>
      <c r="N10" s="8">
        <f t="shared" si="8"/>
        <v>322377.81552017102</v>
      </c>
    </row>
    <row r="11" spans="1:14">
      <c r="A11">
        <v>5</v>
      </c>
      <c r="B11" s="6">
        <f t="shared" si="3"/>
        <v>45657.1875</v>
      </c>
      <c r="C11" s="8">
        <f t="shared" si="4"/>
        <v>296743.60320408136</v>
      </c>
      <c r="D11" s="7">
        <f t="shared" si="5"/>
        <v>10219.645318936888</v>
      </c>
      <c r="E11" s="9">
        <f t="shared" si="6"/>
        <v>7.1999999999999995E-2</v>
      </c>
      <c r="F11" s="8">
        <f t="shared" si="0"/>
        <v>1780.4616192244882</v>
      </c>
      <c r="G11" s="8">
        <f>D11-F11</f>
        <v>8439.1836997123992</v>
      </c>
      <c r="H11" s="8">
        <f t="shared" si="7"/>
        <v>10219.645318936888</v>
      </c>
      <c r="I11" s="8">
        <f>C11-G11</f>
        <v>288304.41950436897</v>
      </c>
      <c r="J11" s="8">
        <f t="shared" si="1"/>
        <v>1780.4616192244882</v>
      </c>
      <c r="K11" s="8">
        <f t="shared" si="8"/>
        <v>320597.3539009465</v>
      </c>
      <c r="L11" s="8"/>
      <c r="M11" s="8">
        <f t="shared" si="2"/>
        <v>1780.4616192244882</v>
      </c>
      <c r="N11" s="8">
        <f t="shared" si="8"/>
        <v>320597.3539009465</v>
      </c>
    </row>
    <row r="12" spans="1:14">
      <c r="A12">
        <v>6</v>
      </c>
      <c r="B12" s="6">
        <f t="shared" si="3"/>
        <v>45687.625</v>
      </c>
      <c r="C12" s="8">
        <f t="shared" si="4"/>
        <v>288304.41950436897</v>
      </c>
      <c r="D12" s="7">
        <f t="shared" si="5"/>
        <v>10219.645318936888</v>
      </c>
      <c r="E12" s="9">
        <f t="shared" si="6"/>
        <v>7.1999999999999995E-2</v>
      </c>
      <c r="F12" s="8">
        <f t="shared" si="0"/>
        <v>1729.8265170262137</v>
      </c>
      <c r="G12" s="8">
        <f>D12-F12</f>
        <v>8489.8188019106747</v>
      </c>
      <c r="H12" s="8">
        <f t="shared" si="7"/>
        <v>10219.645318936888</v>
      </c>
      <c r="I12" s="8">
        <f>C12-G12</f>
        <v>279814.60070245829</v>
      </c>
      <c r="J12" s="8">
        <f t="shared" si="1"/>
        <v>1729.8265170262137</v>
      </c>
      <c r="K12" s="8">
        <f t="shared" si="8"/>
        <v>318867.52738392027</v>
      </c>
      <c r="L12" s="8"/>
      <c r="M12" s="8">
        <f t="shared" si="2"/>
        <v>1729.8265170262137</v>
      </c>
      <c r="N12" s="8">
        <f t="shared" si="8"/>
        <v>318867.52738392027</v>
      </c>
    </row>
    <row r="13" spans="1:14">
      <c r="A13">
        <v>7</v>
      </c>
      <c r="B13" s="6">
        <f t="shared" si="3"/>
        <v>45718.0625</v>
      </c>
      <c r="C13" s="8">
        <f t="shared" si="4"/>
        <v>279814.60070245829</v>
      </c>
      <c r="D13" s="7">
        <f t="shared" si="5"/>
        <v>10219.645318936888</v>
      </c>
      <c r="E13" s="9">
        <f t="shared" si="6"/>
        <v>7.1999999999999995E-2</v>
      </c>
      <c r="F13" s="8">
        <f t="shared" si="0"/>
        <v>1678.8876042147497</v>
      </c>
      <c r="G13" s="8">
        <f>D13-F13</f>
        <v>8540.7577147221382</v>
      </c>
      <c r="H13" s="8">
        <f t="shared" si="7"/>
        <v>10219.645318936888</v>
      </c>
      <c r="I13" s="8">
        <f>C13-G13</f>
        <v>271273.84298773616</v>
      </c>
      <c r="J13" s="8">
        <f t="shared" si="1"/>
        <v>1678.8876042147497</v>
      </c>
      <c r="K13" s="8">
        <f t="shared" si="8"/>
        <v>317188.6397797055</v>
      </c>
      <c r="L13" s="8"/>
      <c r="M13" s="8">
        <f t="shared" si="2"/>
        <v>1678.8876042147497</v>
      </c>
      <c r="N13" s="8">
        <f t="shared" si="8"/>
        <v>317188.6397797055</v>
      </c>
    </row>
    <row r="14" spans="1:14">
      <c r="A14">
        <v>8</v>
      </c>
      <c r="B14" s="6">
        <f t="shared" si="3"/>
        <v>45748.5</v>
      </c>
      <c r="C14" s="8">
        <f t="shared" si="4"/>
        <v>271273.84298773616</v>
      </c>
      <c r="D14" s="7">
        <f t="shared" si="5"/>
        <v>10219.645318936888</v>
      </c>
      <c r="E14" s="9">
        <f t="shared" si="6"/>
        <v>7.1999999999999995E-2</v>
      </c>
      <c r="F14" s="8">
        <f t="shared" si="0"/>
        <v>1627.643057926417</v>
      </c>
      <c r="G14" s="8">
        <f>D14-F14</f>
        <v>8592.0022610104716</v>
      </c>
      <c r="H14" s="8">
        <f t="shared" si="7"/>
        <v>10219.645318936888</v>
      </c>
      <c r="I14" s="8">
        <f>C14-G14</f>
        <v>262681.8407267257</v>
      </c>
      <c r="J14" s="8">
        <f t="shared" si="1"/>
        <v>1627.643057926417</v>
      </c>
      <c r="K14" s="8">
        <f t="shared" si="8"/>
        <v>315560.99672177905</v>
      </c>
      <c r="L14" s="8"/>
      <c r="M14" s="8">
        <f t="shared" si="2"/>
        <v>1627.643057926417</v>
      </c>
      <c r="N14" s="8">
        <f t="shared" si="8"/>
        <v>315560.99672177905</v>
      </c>
    </row>
    <row r="15" spans="1:14">
      <c r="A15">
        <v>9</v>
      </c>
      <c r="B15" s="6">
        <f t="shared" si="3"/>
        <v>45778.9375</v>
      </c>
      <c r="C15" s="8">
        <f t="shared" si="4"/>
        <v>262681.8407267257</v>
      </c>
      <c r="D15" s="7">
        <f t="shared" si="5"/>
        <v>10219.645318936888</v>
      </c>
      <c r="E15" s="9">
        <f t="shared" si="6"/>
        <v>7.1999999999999995E-2</v>
      </c>
      <c r="F15" s="8">
        <f t="shared" si="0"/>
        <v>1576.0910443603541</v>
      </c>
      <c r="G15" s="8">
        <f>D15-F15</f>
        <v>8643.5542745765342</v>
      </c>
      <c r="H15" s="8">
        <f t="shared" si="7"/>
        <v>10219.645318936888</v>
      </c>
      <c r="I15" s="8">
        <f>C15-G15</f>
        <v>254038.28645214916</v>
      </c>
      <c r="J15" s="8">
        <f t="shared" si="1"/>
        <v>1576.0910443603541</v>
      </c>
      <c r="K15" s="8">
        <f t="shared" si="8"/>
        <v>313984.90567741869</v>
      </c>
      <c r="L15" s="8"/>
      <c r="M15" s="8">
        <f t="shared" si="2"/>
        <v>1576.0910443603541</v>
      </c>
      <c r="N15" s="8">
        <f t="shared" si="8"/>
        <v>313984.90567741869</v>
      </c>
    </row>
    <row r="16" spans="1:14">
      <c r="A16">
        <v>10</v>
      </c>
      <c r="B16" s="6">
        <f t="shared" si="3"/>
        <v>45809.375</v>
      </c>
      <c r="C16" s="8">
        <f t="shared" si="4"/>
        <v>254038.28645214916</v>
      </c>
      <c r="D16" s="7">
        <f t="shared" si="5"/>
        <v>10219.645318936888</v>
      </c>
      <c r="E16" s="9">
        <f t="shared" si="6"/>
        <v>7.1999999999999995E-2</v>
      </c>
      <c r="F16" s="8">
        <f t="shared" si="0"/>
        <v>1524.229718712895</v>
      </c>
      <c r="G16" s="8">
        <f>D16-F16</f>
        <v>8695.4156002239924</v>
      </c>
      <c r="H16" s="8">
        <f t="shared" si="7"/>
        <v>10219.645318936888</v>
      </c>
      <c r="I16" s="8">
        <f>C16-G16</f>
        <v>245342.87085192517</v>
      </c>
      <c r="J16" s="8">
        <f t="shared" si="1"/>
        <v>1524.229718712895</v>
      </c>
      <c r="K16" s="8">
        <f t="shared" si="8"/>
        <v>312460.67595870577</v>
      </c>
      <c r="L16" s="8"/>
      <c r="M16" s="8">
        <f t="shared" si="2"/>
        <v>1524.229718712895</v>
      </c>
      <c r="N16" s="8">
        <f t="shared" si="8"/>
        <v>312460.67595870577</v>
      </c>
    </row>
    <row r="17" spans="1:14">
      <c r="A17">
        <v>11</v>
      </c>
      <c r="B17" s="6">
        <f t="shared" si="3"/>
        <v>45839.8125</v>
      </c>
      <c r="C17" s="8">
        <f t="shared" si="4"/>
        <v>245342.87085192517</v>
      </c>
      <c r="D17" s="7">
        <f t="shared" si="5"/>
        <v>10219.645318936888</v>
      </c>
      <c r="E17" s="9">
        <f t="shared" si="6"/>
        <v>7.1999999999999995E-2</v>
      </c>
      <c r="F17" s="8">
        <f t="shared" si="0"/>
        <v>1472.0572251115509</v>
      </c>
      <c r="G17" s="8">
        <f>D17-F17</f>
        <v>8747.5880938253358</v>
      </c>
      <c r="H17" s="8">
        <f t="shared" si="7"/>
        <v>10219.645318936888</v>
      </c>
      <c r="I17" s="8">
        <f>C17-G17</f>
        <v>236595.28275809984</v>
      </c>
      <c r="J17" s="8">
        <f t="shared" si="1"/>
        <v>1472.0572251115509</v>
      </c>
      <c r="K17" s="8">
        <f t="shared" si="8"/>
        <v>310988.61873359425</v>
      </c>
      <c r="L17" s="8"/>
      <c r="M17" s="8">
        <f t="shared" si="2"/>
        <v>1472.0572251115509</v>
      </c>
      <c r="N17" s="8">
        <f t="shared" si="8"/>
        <v>310988.61873359425</v>
      </c>
    </row>
    <row r="18" spans="1:14">
      <c r="A18">
        <v>12</v>
      </c>
      <c r="B18" s="6">
        <f t="shared" si="3"/>
        <v>45870.25</v>
      </c>
      <c r="C18" s="8">
        <f t="shared" si="4"/>
        <v>236595.28275809984</v>
      </c>
      <c r="D18" s="7">
        <f t="shared" si="5"/>
        <v>10219.645318936888</v>
      </c>
      <c r="E18" s="9">
        <f t="shared" si="6"/>
        <v>7.1999999999999995E-2</v>
      </c>
      <c r="F18" s="8">
        <f t="shared" si="0"/>
        <v>1419.571696548599</v>
      </c>
      <c r="G18" s="8">
        <f>D18-F18</f>
        <v>8800.0736223882886</v>
      </c>
      <c r="H18" s="8">
        <f t="shared" si="7"/>
        <v>10219.645318936888</v>
      </c>
      <c r="I18" s="8">
        <f>C18-G18</f>
        <v>227795.20913571154</v>
      </c>
      <c r="J18" s="8">
        <f t="shared" si="1"/>
        <v>1419.571696548599</v>
      </c>
      <c r="K18" s="8">
        <f t="shared" si="8"/>
        <v>309569.04703704565</v>
      </c>
      <c r="L18" s="8"/>
      <c r="M18" s="8">
        <f t="shared" si="2"/>
        <v>1419.571696548599</v>
      </c>
      <c r="N18" s="8">
        <f t="shared" si="8"/>
        <v>309569.04703704565</v>
      </c>
    </row>
    <row r="19" spans="1:14">
      <c r="A19" s="5">
        <v>13</v>
      </c>
      <c r="B19" s="10">
        <f t="shared" si="3"/>
        <v>45900.6875</v>
      </c>
      <c r="C19" s="13">
        <f t="shared" si="4"/>
        <v>227795.20913571154</v>
      </c>
      <c r="D19" s="11">
        <f t="shared" si="5"/>
        <v>10219.645318936888</v>
      </c>
      <c r="E19" s="12">
        <f t="shared" si="6"/>
        <v>7.1999999999999995E-2</v>
      </c>
      <c r="F19" s="13">
        <f t="shared" si="0"/>
        <v>1366.771254814269</v>
      </c>
      <c r="G19" s="13">
        <f t="shared" ref="G19:G42" si="9">D19-F19</f>
        <v>8852.8740641226177</v>
      </c>
      <c r="H19" s="13">
        <f t="shared" si="7"/>
        <v>10219.645318936888</v>
      </c>
      <c r="I19" s="13">
        <f t="shared" ref="I19:I42" si="10">C19-G19</f>
        <v>218942.33507158892</v>
      </c>
      <c r="J19" s="13">
        <f t="shared" si="1"/>
        <v>1366.771254814269</v>
      </c>
      <c r="K19" s="13">
        <f t="shared" si="8"/>
        <v>308202.27578223136</v>
      </c>
      <c r="L19" s="13"/>
      <c r="M19" s="13">
        <f t="shared" ref="M19:M42" si="11">(SUM($G$7:$G$42)/24)+F19</f>
        <v>15116.771254814266</v>
      </c>
      <c r="N19" s="13">
        <f t="shared" si="8"/>
        <v>294452.27578223136</v>
      </c>
    </row>
    <row r="20" spans="1:14">
      <c r="A20" s="5">
        <v>14</v>
      </c>
      <c r="B20" s="10">
        <f t="shared" si="3"/>
        <v>45931.125</v>
      </c>
      <c r="C20" s="13">
        <f t="shared" si="4"/>
        <v>218942.33507158892</v>
      </c>
      <c r="D20" s="11">
        <f t="shared" si="5"/>
        <v>10219.645318936888</v>
      </c>
      <c r="E20" s="12">
        <f t="shared" si="6"/>
        <v>7.1999999999999995E-2</v>
      </c>
      <c r="F20" s="13">
        <f t="shared" si="0"/>
        <v>1313.6540104295334</v>
      </c>
      <c r="G20" s="13">
        <f t="shared" si="9"/>
        <v>8905.9913085073549</v>
      </c>
      <c r="H20" s="13">
        <f t="shared" si="7"/>
        <v>10219.645318936888</v>
      </c>
      <c r="I20" s="13">
        <f t="shared" si="10"/>
        <v>210036.34376308156</v>
      </c>
      <c r="J20" s="13">
        <f t="shared" si="1"/>
        <v>1313.6540104295334</v>
      </c>
      <c r="K20" s="13">
        <f t="shared" si="8"/>
        <v>306888.62177180185</v>
      </c>
      <c r="L20" s="13"/>
      <c r="M20" s="13">
        <f t="shared" si="11"/>
        <v>15063.654010429531</v>
      </c>
      <c r="N20" s="13">
        <f t="shared" si="8"/>
        <v>279388.62177180185</v>
      </c>
    </row>
    <row r="21" spans="1:14">
      <c r="A21" s="5">
        <v>15</v>
      </c>
      <c r="B21" s="10">
        <f t="shared" si="3"/>
        <v>45961.5625</v>
      </c>
      <c r="C21" s="13">
        <f t="shared" si="4"/>
        <v>210036.34376308156</v>
      </c>
      <c r="D21" s="11">
        <f t="shared" si="5"/>
        <v>10219.645318936888</v>
      </c>
      <c r="E21" s="12">
        <f t="shared" si="6"/>
        <v>7.1999999999999995E-2</v>
      </c>
      <c r="F21" s="13">
        <f t="shared" si="0"/>
        <v>1260.2180625784893</v>
      </c>
      <c r="G21" s="13">
        <f t="shared" si="9"/>
        <v>8959.4272563583982</v>
      </c>
      <c r="H21" s="13">
        <f t="shared" si="7"/>
        <v>10219.645318936888</v>
      </c>
      <c r="I21" s="13">
        <f t="shared" si="10"/>
        <v>201076.91650672315</v>
      </c>
      <c r="J21" s="13">
        <f t="shared" si="1"/>
        <v>1260.2180625784893</v>
      </c>
      <c r="K21" s="13">
        <f t="shared" si="8"/>
        <v>305628.40370922338</v>
      </c>
      <c r="L21" s="13"/>
      <c r="M21" s="13">
        <f t="shared" si="11"/>
        <v>15010.218062578488</v>
      </c>
      <c r="N21" s="13">
        <f t="shared" si="8"/>
        <v>264378.40370922338</v>
      </c>
    </row>
    <row r="22" spans="1:14">
      <c r="A22" s="5">
        <v>16</v>
      </c>
      <c r="B22" s="10">
        <f t="shared" si="3"/>
        <v>45992</v>
      </c>
      <c r="C22" s="13">
        <f t="shared" si="4"/>
        <v>201076.91650672315</v>
      </c>
      <c r="D22" s="11">
        <f t="shared" si="5"/>
        <v>10219.645318936888</v>
      </c>
      <c r="E22" s="12">
        <f t="shared" si="6"/>
        <v>7.1999999999999995E-2</v>
      </c>
      <c r="F22" s="13">
        <f t="shared" si="0"/>
        <v>1206.4614990403388</v>
      </c>
      <c r="G22" s="13">
        <f t="shared" si="9"/>
        <v>9013.1838198965488</v>
      </c>
      <c r="H22" s="13">
        <f t="shared" si="7"/>
        <v>10219.645318936888</v>
      </c>
      <c r="I22" s="13">
        <f t="shared" si="10"/>
        <v>192063.73268682661</v>
      </c>
      <c r="J22" s="13">
        <f t="shared" si="1"/>
        <v>1206.4614990403388</v>
      </c>
      <c r="K22" s="13">
        <f t="shared" si="8"/>
        <v>304421.94221018301</v>
      </c>
      <c r="L22" s="13"/>
      <c r="M22" s="13">
        <f t="shared" si="11"/>
        <v>14956.461499040337</v>
      </c>
      <c r="N22" s="13">
        <f t="shared" si="8"/>
        <v>249421.94221018304</v>
      </c>
    </row>
    <row r="23" spans="1:14">
      <c r="A23" s="5">
        <v>17</v>
      </c>
      <c r="B23" s="10">
        <f t="shared" si="3"/>
        <v>46022.4375</v>
      </c>
      <c r="C23" s="13">
        <f t="shared" si="4"/>
        <v>192063.73268682661</v>
      </c>
      <c r="D23" s="11">
        <f t="shared" si="5"/>
        <v>10219.645318936888</v>
      </c>
      <c r="E23" s="12">
        <f t="shared" si="6"/>
        <v>7.1999999999999995E-2</v>
      </c>
      <c r="F23" s="13">
        <f t="shared" si="0"/>
        <v>1152.3823961209596</v>
      </c>
      <c r="G23" s="13">
        <f t="shared" si="9"/>
        <v>9067.2629228159276</v>
      </c>
      <c r="H23" s="13">
        <f t="shared" si="7"/>
        <v>10219.645318936888</v>
      </c>
      <c r="I23" s="13">
        <f t="shared" si="10"/>
        <v>182996.46976401069</v>
      </c>
      <c r="J23" s="13">
        <f t="shared" si="1"/>
        <v>1152.3823961209596</v>
      </c>
      <c r="K23" s="13">
        <f t="shared" si="8"/>
        <v>303269.55981406203</v>
      </c>
      <c r="L23" s="13"/>
      <c r="M23" s="13">
        <f t="shared" si="11"/>
        <v>14902.382396120958</v>
      </c>
      <c r="N23" s="13">
        <f t="shared" si="8"/>
        <v>234519.55981406209</v>
      </c>
    </row>
    <row r="24" spans="1:14">
      <c r="A24" s="5">
        <v>18</v>
      </c>
      <c r="B24" s="10">
        <f t="shared" si="3"/>
        <v>46052.875</v>
      </c>
      <c r="C24" s="13">
        <f t="shared" si="4"/>
        <v>182996.46976401069</v>
      </c>
      <c r="D24" s="11">
        <f t="shared" si="5"/>
        <v>10219.645318936888</v>
      </c>
      <c r="E24" s="12">
        <f t="shared" si="6"/>
        <v>7.1999999999999995E-2</v>
      </c>
      <c r="F24" s="13">
        <f t="shared" si="0"/>
        <v>1097.9788185840641</v>
      </c>
      <c r="G24" s="13">
        <f t="shared" si="9"/>
        <v>9121.6665003528233</v>
      </c>
      <c r="H24" s="13">
        <f t="shared" si="7"/>
        <v>10219.645318936888</v>
      </c>
      <c r="I24" s="13">
        <f t="shared" si="10"/>
        <v>173874.80326365787</v>
      </c>
      <c r="J24" s="13">
        <f t="shared" si="1"/>
        <v>1097.9788185840641</v>
      </c>
      <c r="K24" s="13">
        <f t="shared" si="8"/>
        <v>302171.58099547797</v>
      </c>
      <c r="L24" s="13"/>
      <c r="M24" s="13">
        <f t="shared" si="11"/>
        <v>14847.978818584063</v>
      </c>
      <c r="N24" s="13">
        <f t="shared" si="8"/>
        <v>219671.58099547803</v>
      </c>
    </row>
    <row r="25" spans="1:14">
      <c r="A25" s="5">
        <v>19</v>
      </c>
      <c r="B25" s="10">
        <f t="shared" si="3"/>
        <v>46083.3125</v>
      </c>
      <c r="C25" s="13">
        <f t="shared" si="4"/>
        <v>173874.80326365787</v>
      </c>
      <c r="D25" s="11">
        <f t="shared" si="5"/>
        <v>10219.645318936888</v>
      </c>
      <c r="E25" s="12">
        <f t="shared" si="6"/>
        <v>7.1999999999999995E-2</v>
      </c>
      <c r="F25" s="13">
        <f t="shared" si="0"/>
        <v>1043.2488195819471</v>
      </c>
      <c r="G25" s="13">
        <f t="shared" si="9"/>
        <v>9176.3964993549398</v>
      </c>
      <c r="H25" s="13">
        <f t="shared" si="7"/>
        <v>10219.645318936888</v>
      </c>
      <c r="I25" s="13">
        <f t="shared" si="10"/>
        <v>164698.40676430293</v>
      </c>
      <c r="J25" s="13">
        <f t="shared" si="1"/>
        <v>1043.2488195819471</v>
      </c>
      <c r="K25" s="13">
        <f t="shared" ref="K25:N40" si="12">K24-J25</f>
        <v>301128.33217589604</v>
      </c>
      <c r="L25" s="13"/>
      <c r="M25" s="13">
        <f t="shared" si="11"/>
        <v>14793.248819581946</v>
      </c>
      <c r="N25" s="13">
        <f t="shared" si="12"/>
        <v>204878.3321758961</v>
      </c>
    </row>
    <row r="26" spans="1:14">
      <c r="A26" s="5">
        <v>20</v>
      </c>
      <c r="B26" s="10">
        <f t="shared" si="3"/>
        <v>46113.75</v>
      </c>
      <c r="C26" s="13">
        <f t="shared" si="4"/>
        <v>164698.40676430293</v>
      </c>
      <c r="D26" s="11">
        <f t="shared" si="5"/>
        <v>10219.645318936888</v>
      </c>
      <c r="E26" s="12">
        <f t="shared" si="6"/>
        <v>7.1999999999999995E-2</v>
      </c>
      <c r="F26" s="13">
        <f t="shared" si="0"/>
        <v>988.19044058581756</v>
      </c>
      <c r="G26" s="13">
        <f t="shared" si="9"/>
        <v>9231.4548783510709</v>
      </c>
      <c r="H26" s="13">
        <f t="shared" si="7"/>
        <v>10219.645318936888</v>
      </c>
      <c r="I26" s="13">
        <f t="shared" si="10"/>
        <v>155466.95188595186</v>
      </c>
      <c r="J26" s="13">
        <f t="shared" si="1"/>
        <v>988.19044058581756</v>
      </c>
      <c r="K26" s="13">
        <f t="shared" si="12"/>
        <v>300140.1417353102</v>
      </c>
      <c r="L26" s="13"/>
      <c r="M26" s="13">
        <f t="shared" si="11"/>
        <v>14738.190440585815</v>
      </c>
      <c r="N26" s="13">
        <f t="shared" si="12"/>
        <v>190140.14173531029</v>
      </c>
    </row>
    <row r="27" spans="1:14">
      <c r="A27" s="5">
        <v>21</v>
      </c>
      <c r="B27" s="10">
        <f t="shared" si="3"/>
        <v>46144.1875</v>
      </c>
      <c r="C27" s="13">
        <f t="shared" si="4"/>
        <v>155466.95188595186</v>
      </c>
      <c r="D27" s="11">
        <f t="shared" si="5"/>
        <v>10219.645318936888</v>
      </c>
      <c r="E27" s="12">
        <f t="shared" si="6"/>
        <v>7.1999999999999995E-2</v>
      </c>
      <c r="F27" s="13">
        <f t="shared" si="0"/>
        <v>932.80171131571115</v>
      </c>
      <c r="G27" s="13">
        <f t="shared" si="9"/>
        <v>9286.8436076211765</v>
      </c>
      <c r="H27" s="13">
        <f t="shared" si="7"/>
        <v>10219.645318936888</v>
      </c>
      <c r="I27" s="13">
        <f t="shared" si="10"/>
        <v>146180.10827833068</v>
      </c>
      <c r="J27" s="13">
        <f t="shared" si="1"/>
        <v>932.80171131571115</v>
      </c>
      <c r="K27" s="13">
        <f t="shared" si="12"/>
        <v>299207.3400239945</v>
      </c>
      <c r="L27" s="13"/>
      <c r="M27" s="13">
        <f t="shared" si="11"/>
        <v>14682.801711315709</v>
      </c>
      <c r="N27" s="13">
        <f t="shared" si="12"/>
        <v>175457.34002399459</v>
      </c>
    </row>
    <row r="28" spans="1:14">
      <c r="A28" s="5">
        <v>22</v>
      </c>
      <c r="B28" s="10">
        <f t="shared" si="3"/>
        <v>46174.625</v>
      </c>
      <c r="C28" s="13">
        <f t="shared" si="4"/>
        <v>146180.10827833068</v>
      </c>
      <c r="D28" s="11">
        <f t="shared" si="5"/>
        <v>10219.645318936888</v>
      </c>
      <c r="E28" s="12">
        <f t="shared" si="6"/>
        <v>7.1999999999999995E-2</v>
      </c>
      <c r="F28" s="13">
        <f t="shared" si="0"/>
        <v>877.08064966998393</v>
      </c>
      <c r="G28" s="13">
        <f t="shared" si="9"/>
        <v>9342.5646692669034</v>
      </c>
      <c r="H28" s="13">
        <f t="shared" si="7"/>
        <v>10219.645318936888</v>
      </c>
      <c r="I28" s="13">
        <f t="shared" si="10"/>
        <v>136837.54360906378</v>
      </c>
      <c r="J28" s="13">
        <f t="shared" si="1"/>
        <v>877.08064966998393</v>
      </c>
      <c r="K28" s="13">
        <f t="shared" si="12"/>
        <v>298330.25937432452</v>
      </c>
      <c r="L28" s="13"/>
      <c r="M28" s="13">
        <f t="shared" si="11"/>
        <v>14627.080649669982</v>
      </c>
      <c r="N28" s="13">
        <f t="shared" si="12"/>
        <v>160830.25937432461</v>
      </c>
    </row>
    <row r="29" spans="1:14">
      <c r="A29" s="5">
        <v>23</v>
      </c>
      <c r="B29" s="10">
        <f t="shared" si="3"/>
        <v>46205.0625</v>
      </c>
      <c r="C29" s="13">
        <f t="shared" si="4"/>
        <v>136837.54360906378</v>
      </c>
      <c r="D29" s="11">
        <f t="shared" si="5"/>
        <v>10219.645318936888</v>
      </c>
      <c r="E29" s="12">
        <f t="shared" si="6"/>
        <v>7.1999999999999995E-2</v>
      </c>
      <c r="F29" s="13">
        <f t="shared" si="0"/>
        <v>821.02526165438258</v>
      </c>
      <c r="G29" s="13">
        <f t="shared" si="9"/>
        <v>9398.6200572825055</v>
      </c>
      <c r="H29" s="13">
        <f t="shared" si="7"/>
        <v>10219.645318936888</v>
      </c>
      <c r="I29" s="13">
        <f t="shared" si="10"/>
        <v>127438.92355178128</v>
      </c>
      <c r="J29" s="13">
        <f t="shared" si="1"/>
        <v>821.02526165438258</v>
      </c>
      <c r="K29" s="13">
        <f t="shared" si="12"/>
        <v>297509.23411267012</v>
      </c>
      <c r="L29" s="13"/>
      <c r="M29" s="13">
        <f t="shared" si="11"/>
        <v>14571.02526165438</v>
      </c>
      <c r="N29" s="13">
        <f t="shared" si="12"/>
        <v>146259.23411267024</v>
      </c>
    </row>
    <row r="30" spans="1:14">
      <c r="A30" s="5">
        <v>24</v>
      </c>
      <c r="B30" s="10">
        <f t="shared" si="3"/>
        <v>46235.5</v>
      </c>
      <c r="C30" s="13">
        <f t="shared" si="4"/>
        <v>127438.92355178128</v>
      </c>
      <c r="D30" s="11">
        <f t="shared" si="5"/>
        <v>10219.645318936888</v>
      </c>
      <c r="E30" s="12">
        <f t="shared" si="6"/>
        <v>7.1999999999999995E-2</v>
      </c>
      <c r="F30" s="13">
        <f t="shared" si="0"/>
        <v>764.63354131068763</v>
      </c>
      <c r="G30" s="13">
        <f t="shared" si="9"/>
        <v>9455.0117776261995</v>
      </c>
      <c r="H30" s="13">
        <f t="shared" si="7"/>
        <v>10219.645318936888</v>
      </c>
      <c r="I30" s="13">
        <f t="shared" si="10"/>
        <v>117983.91177415507</v>
      </c>
      <c r="J30" s="13">
        <f t="shared" si="1"/>
        <v>764.63354131068763</v>
      </c>
      <c r="K30" s="13">
        <f t="shared" si="12"/>
        <v>296744.60057135945</v>
      </c>
      <c r="L30" s="13"/>
      <c r="M30" s="13">
        <f t="shared" si="11"/>
        <v>14514.633541310686</v>
      </c>
      <c r="N30" s="13">
        <f t="shared" si="12"/>
        <v>131744.60057135957</v>
      </c>
    </row>
    <row r="31" spans="1:14">
      <c r="A31">
        <v>25</v>
      </c>
      <c r="B31" s="6">
        <f t="shared" si="3"/>
        <v>46265.9375</v>
      </c>
      <c r="C31" s="8">
        <f t="shared" si="4"/>
        <v>117983.91177415507</v>
      </c>
      <c r="D31" s="7">
        <f t="shared" si="5"/>
        <v>10219.645318936888</v>
      </c>
      <c r="E31" s="9">
        <f t="shared" si="6"/>
        <v>7.1999999999999995E-2</v>
      </c>
      <c r="F31" s="8">
        <f t="shared" si="0"/>
        <v>707.90347064493028</v>
      </c>
      <c r="G31" s="8">
        <f t="shared" si="9"/>
        <v>9511.7418482919566</v>
      </c>
      <c r="H31" s="8">
        <f t="shared" si="7"/>
        <v>10219.645318936888</v>
      </c>
      <c r="I31" s="8">
        <f t="shared" si="10"/>
        <v>108472.16992586311</v>
      </c>
      <c r="J31" s="8">
        <f>(SUM($G$7:$G$42)/12)+F31</f>
        <v>28207.903470644927</v>
      </c>
      <c r="K31" s="8">
        <f t="shared" si="12"/>
        <v>268536.69710071455</v>
      </c>
      <c r="L31" s="8"/>
      <c r="M31" s="8">
        <f t="shared" si="11"/>
        <v>14457.903470644929</v>
      </c>
      <c r="N31" s="8">
        <f t="shared" si="12"/>
        <v>117286.69710071463</v>
      </c>
    </row>
    <row r="32" spans="1:14">
      <c r="A32">
        <v>26</v>
      </c>
      <c r="B32" s="6">
        <f t="shared" si="3"/>
        <v>46296.375</v>
      </c>
      <c r="C32" s="8">
        <f t="shared" si="4"/>
        <v>108472.16992586311</v>
      </c>
      <c r="D32" s="7">
        <f t="shared" si="5"/>
        <v>10219.645318936888</v>
      </c>
      <c r="E32" s="9">
        <f t="shared" si="6"/>
        <v>7.1999999999999995E-2</v>
      </c>
      <c r="F32" s="8">
        <f t="shared" si="0"/>
        <v>650.83301955517857</v>
      </c>
      <c r="G32" s="8">
        <f t="shared" si="9"/>
        <v>9568.8122993817087</v>
      </c>
      <c r="H32" s="8">
        <f t="shared" si="7"/>
        <v>10219.645318936888</v>
      </c>
      <c r="I32" s="8">
        <f t="shared" si="10"/>
        <v>98903.357626481404</v>
      </c>
      <c r="J32" s="8">
        <f t="shared" ref="J32:J42" si="13">(SUM($G$7:$G$42)/12)+F32</f>
        <v>28150.833019555175</v>
      </c>
      <c r="K32" s="8">
        <f t="shared" si="12"/>
        <v>240385.86408115938</v>
      </c>
      <c r="L32" s="8"/>
      <c r="M32" s="8">
        <f t="shared" si="11"/>
        <v>14400.833019555177</v>
      </c>
      <c r="N32" s="8">
        <f t="shared" si="12"/>
        <v>102885.86408115945</v>
      </c>
    </row>
    <row r="33" spans="1:14">
      <c r="A33">
        <v>27</v>
      </c>
      <c r="B33" s="6">
        <f t="shared" si="3"/>
        <v>46326.8125</v>
      </c>
      <c r="C33" s="8">
        <f t="shared" si="4"/>
        <v>98903.357626481404</v>
      </c>
      <c r="D33" s="7">
        <f t="shared" si="5"/>
        <v>10219.645318936888</v>
      </c>
      <c r="E33" s="9">
        <f t="shared" si="6"/>
        <v>7.1999999999999995E-2</v>
      </c>
      <c r="F33" s="8">
        <f t="shared" si="0"/>
        <v>593.42014575888845</v>
      </c>
      <c r="G33" s="8">
        <f t="shared" si="9"/>
        <v>9626.2251731779997</v>
      </c>
      <c r="H33" s="8">
        <f t="shared" si="7"/>
        <v>10219.645318936888</v>
      </c>
      <c r="I33" s="8">
        <f t="shared" si="10"/>
        <v>89277.132453303406</v>
      </c>
      <c r="J33" s="8">
        <f t="shared" si="13"/>
        <v>28093.420145758886</v>
      </c>
      <c r="K33" s="8">
        <f t="shared" si="12"/>
        <v>212292.44393540049</v>
      </c>
      <c r="L33" s="8"/>
      <c r="M33" s="8">
        <f t="shared" si="11"/>
        <v>14343.420145758886</v>
      </c>
      <c r="N33" s="8">
        <f t="shared" si="12"/>
        <v>88542.443935400574</v>
      </c>
    </row>
    <row r="34" spans="1:14">
      <c r="A34">
        <v>28</v>
      </c>
      <c r="B34" s="6">
        <f t="shared" si="3"/>
        <v>46357.25</v>
      </c>
      <c r="C34" s="8">
        <f t="shared" si="4"/>
        <v>89277.132453303406</v>
      </c>
      <c r="D34" s="7">
        <f t="shared" si="5"/>
        <v>10219.645318936888</v>
      </c>
      <c r="E34" s="9">
        <f t="shared" si="6"/>
        <v>7.1999999999999995E-2</v>
      </c>
      <c r="F34" s="8">
        <f t="shared" si="0"/>
        <v>535.66279471982045</v>
      </c>
      <c r="G34" s="8">
        <f t="shared" si="9"/>
        <v>9683.9825242170664</v>
      </c>
      <c r="H34" s="8">
        <f t="shared" si="7"/>
        <v>10219.645318936888</v>
      </c>
      <c r="I34" s="8">
        <f t="shared" si="10"/>
        <v>79593.149929086343</v>
      </c>
      <c r="J34" s="8">
        <f t="shared" si="13"/>
        <v>28035.662794719818</v>
      </c>
      <c r="K34" s="8">
        <f t="shared" si="12"/>
        <v>184256.78114068066</v>
      </c>
      <c r="L34" s="8"/>
      <c r="M34" s="8">
        <f t="shared" si="11"/>
        <v>14285.662794719819</v>
      </c>
      <c r="N34" s="8">
        <f t="shared" si="12"/>
        <v>74256.78114068076</v>
      </c>
    </row>
    <row r="35" spans="1:14">
      <c r="A35">
        <v>29</v>
      </c>
      <c r="B35" s="6">
        <f t="shared" si="3"/>
        <v>46387.6875</v>
      </c>
      <c r="C35" s="8">
        <f t="shared" si="4"/>
        <v>79593.149929086343</v>
      </c>
      <c r="D35" s="7">
        <f t="shared" si="5"/>
        <v>10219.645318936888</v>
      </c>
      <c r="E35" s="9">
        <f t="shared" si="6"/>
        <v>7.1999999999999995E-2</v>
      </c>
      <c r="F35" s="8">
        <f t="shared" si="0"/>
        <v>477.55889957451797</v>
      </c>
      <c r="G35" s="8">
        <f t="shared" si="9"/>
        <v>9742.0864193623693</v>
      </c>
      <c r="H35" s="8">
        <f t="shared" si="7"/>
        <v>10219.645318936888</v>
      </c>
      <c r="I35" s="8">
        <f t="shared" si="10"/>
        <v>69851.063509723972</v>
      </c>
      <c r="J35" s="8">
        <f t="shared" si="13"/>
        <v>27977.558899574513</v>
      </c>
      <c r="K35" s="8">
        <f t="shared" si="12"/>
        <v>156279.22224110615</v>
      </c>
      <c r="L35" s="8"/>
      <c r="M35" s="8">
        <f t="shared" si="11"/>
        <v>14227.558899574517</v>
      </c>
      <c r="N35" s="8">
        <f t="shared" si="12"/>
        <v>60029.222241106239</v>
      </c>
    </row>
    <row r="36" spans="1:14">
      <c r="A36">
        <v>30</v>
      </c>
      <c r="B36" s="6">
        <f t="shared" si="3"/>
        <v>46418.125</v>
      </c>
      <c r="C36" s="8">
        <f t="shared" si="4"/>
        <v>69851.063509723972</v>
      </c>
      <c r="D36" s="7">
        <f t="shared" si="5"/>
        <v>10219.645318936888</v>
      </c>
      <c r="E36" s="9">
        <f t="shared" si="6"/>
        <v>7.1999999999999995E-2</v>
      </c>
      <c r="F36" s="8">
        <f t="shared" si="0"/>
        <v>419.10638105834386</v>
      </c>
      <c r="G36" s="8">
        <f t="shared" si="9"/>
        <v>9800.5389378785439</v>
      </c>
      <c r="H36" s="8">
        <f t="shared" si="7"/>
        <v>10219.645318936888</v>
      </c>
      <c r="I36" s="8">
        <f t="shared" si="10"/>
        <v>60050.524571845424</v>
      </c>
      <c r="J36" s="8">
        <f t="shared" si="13"/>
        <v>27919.10638105834</v>
      </c>
      <c r="K36" s="8">
        <f t="shared" si="12"/>
        <v>128360.11586004781</v>
      </c>
      <c r="L36" s="8"/>
      <c r="M36" s="8">
        <f t="shared" si="11"/>
        <v>14169.106381058342</v>
      </c>
      <c r="N36" s="8">
        <f t="shared" si="12"/>
        <v>45860.115860047896</v>
      </c>
    </row>
    <row r="37" spans="1:14">
      <c r="A37">
        <v>31</v>
      </c>
      <c r="B37" s="6">
        <f t="shared" si="3"/>
        <v>46448.5625</v>
      </c>
      <c r="C37" s="8">
        <f t="shared" si="4"/>
        <v>60050.524571845424</v>
      </c>
      <c r="D37" s="7">
        <f t="shared" si="5"/>
        <v>10219.645318936888</v>
      </c>
      <c r="E37" s="9">
        <f t="shared" si="6"/>
        <v>7.1999999999999995E-2</v>
      </c>
      <c r="F37" s="8">
        <f t="shared" si="0"/>
        <v>360.30314743107255</v>
      </c>
      <c r="G37" s="8">
        <f t="shared" si="9"/>
        <v>9859.3421715058157</v>
      </c>
      <c r="H37" s="8">
        <f t="shared" si="7"/>
        <v>10219.645318936888</v>
      </c>
      <c r="I37" s="8">
        <f t="shared" si="10"/>
        <v>50191.18240033961</v>
      </c>
      <c r="J37" s="8">
        <f t="shared" si="13"/>
        <v>27860.30314743107</v>
      </c>
      <c r="K37" s="8">
        <f t="shared" si="12"/>
        <v>100499.81271261674</v>
      </c>
      <c r="L37" s="8"/>
      <c r="M37" s="8">
        <f t="shared" si="11"/>
        <v>14110.30314743107</v>
      </c>
      <c r="N37" s="8">
        <f t="shared" si="12"/>
        <v>31749.812712616826</v>
      </c>
    </row>
    <row r="38" spans="1:14">
      <c r="A38">
        <v>32</v>
      </c>
      <c r="B38" s="6">
        <f t="shared" si="3"/>
        <v>46479</v>
      </c>
      <c r="C38" s="8">
        <f t="shared" si="4"/>
        <v>50191.18240033961</v>
      </c>
      <c r="D38" s="7">
        <f t="shared" si="5"/>
        <v>10219.645318936888</v>
      </c>
      <c r="E38" s="9">
        <f t="shared" si="6"/>
        <v>7.1999999999999995E-2</v>
      </c>
      <c r="F38" s="8">
        <f t="shared" si="0"/>
        <v>301.14709440203762</v>
      </c>
      <c r="G38" s="8">
        <f t="shared" si="9"/>
        <v>9918.4982245348492</v>
      </c>
      <c r="H38" s="8">
        <f t="shared" si="7"/>
        <v>10219.645318936888</v>
      </c>
      <c r="I38" s="8">
        <f t="shared" si="10"/>
        <v>40272.684175804759</v>
      </c>
      <c r="J38" s="8">
        <f t="shared" si="13"/>
        <v>27801.147094402033</v>
      </c>
      <c r="K38" s="8">
        <f t="shared" si="12"/>
        <v>72698.665618214698</v>
      </c>
      <c r="L38" s="8"/>
      <c r="M38" s="8">
        <f t="shared" si="11"/>
        <v>14051.147094402037</v>
      </c>
      <c r="N38" s="8">
        <f t="shared" si="12"/>
        <v>17698.665618214789</v>
      </c>
    </row>
    <row r="39" spans="1:14">
      <c r="A39">
        <v>33</v>
      </c>
      <c r="B39" s="6">
        <f t="shared" si="3"/>
        <v>46509.4375</v>
      </c>
      <c r="C39" s="8">
        <f t="shared" si="4"/>
        <v>40272.684175804759</v>
      </c>
      <c r="D39" s="7">
        <f t="shared" si="5"/>
        <v>10219.645318936888</v>
      </c>
      <c r="E39" s="9">
        <f t="shared" si="6"/>
        <v>7.1999999999999995E-2</v>
      </c>
      <c r="F39" s="8">
        <f t="shared" si="0"/>
        <v>241.63610505482856</v>
      </c>
      <c r="G39" s="8">
        <f t="shared" si="9"/>
        <v>9978.0092138820582</v>
      </c>
      <c r="H39" s="8">
        <f t="shared" si="7"/>
        <v>10219.645318936888</v>
      </c>
      <c r="I39" s="8">
        <f t="shared" si="10"/>
        <v>30294.674961922701</v>
      </c>
      <c r="J39" s="8">
        <f t="shared" si="13"/>
        <v>27741.636105054826</v>
      </c>
      <c r="K39" s="8">
        <f t="shared" si="12"/>
        <v>44957.029513159869</v>
      </c>
      <c r="L39" s="8"/>
      <c r="M39" s="8">
        <f t="shared" si="11"/>
        <v>13991.636105054828</v>
      </c>
      <c r="N39" s="8">
        <f t="shared" si="12"/>
        <v>3707.0295131599614</v>
      </c>
    </row>
    <row r="40" spans="1:14">
      <c r="A40">
        <v>34</v>
      </c>
      <c r="B40" s="6">
        <f t="shared" si="3"/>
        <v>46539.875</v>
      </c>
      <c r="C40" s="8">
        <f t="shared" si="4"/>
        <v>30294.674961922701</v>
      </c>
      <c r="D40" s="7">
        <f t="shared" si="5"/>
        <v>10219.645318936888</v>
      </c>
      <c r="E40" s="9">
        <f t="shared" si="6"/>
        <v>7.1999999999999995E-2</v>
      </c>
      <c r="F40" s="8">
        <f t="shared" si="0"/>
        <v>181.7680497715362</v>
      </c>
      <c r="G40" s="8">
        <f t="shared" si="9"/>
        <v>10037.877269165352</v>
      </c>
      <c r="H40" s="8">
        <f t="shared" si="7"/>
        <v>10219.645318936888</v>
      </c>
      <c r="I40" s="8">
        <f t="shared" si="10"/>
        <v>20256.797692757347</v>
      </c>
      <c r="J40" s="8">
        <f t="shared" si="13"/>
        <v>27681.768049771534</v>
      </c>
      <c r="K40" s="8">
        <f t="shared" si="12"/>
        <v>17275.261463388335</v>
      </c>
      <c r="L40" s="8"/>
      <c r="M40" s="8">
        <f t="shared" si="11"/>
        <v>13931.768049771534</v>
      </c>
      <c r="N40" s="8">
        <f t="shared" si="12"/>
        <v>-10224.738536611572</v>
      </c>
    </row>
    <row r="41" spans="1:14">
      <c r="A41">
        <v>35</v>
      </c>
      <c r="B41" s="6">
        <f t="shared" si="3"/>
        <v>46570.3125</v>
      </c>
      <c r="C41" s="8">
        <f t="shared" si="4"/>
        <v>20256.797692757347</v>
      </c>
      <c r="D41" s="7">
        <f t="shared" si="5"/>
        <v>10219.645318936888</v>
      </c>
      <c r="E41" s="9">
        <f t="shared" si="6"/>
        <v>7.1999999999999995E-2</v>
      </c>
      <c r="F41" s="8">
        <f t="shared" si="0"/>
        <v>121.54078615654407</v>
      </c>
      <c r="G41" s="8">
        <f t="shared" si="9"/>
        <v>10098.104532780344</v>
      </c>
      <c r="H41" s="8">
        <f t="shared" si="7"/>
        <v>10219.645318936888</v>
      </c>
      <c r="I41" s="8">
        <f t="shared" si="10"/>
        <v>10158.693159977003</v>
      </c>
      <c r="J41" s="8">
        <f t="shared" si="13"/>
        <v>27621.54078615654</v>
      </c>
      <c r="K41" s="8">
        <f>K40-J41</f>
        <v>-10346.279322768205</v>
      </c>
      <c r="L41" s="8"/>
      <c r="M41" s="8">
        <f t="shared" si="11"/>
        <v>13871.540786156542</v>
      </c>
      <c r="N41" s="8">
        <f>N40-M41</f>
        <v>-24096.279322768114</v>
      </c>
    </row>
    <row r="42" spans="1:14">
      <c r="A42">
        <v>36</v>
      </c>
      <c r="B42" s="6">
        <f t="shared" si="3"/>
        <v>46600.75</v>
      </c>
      <c r="C42" s="8">
        <f t="shared" si="4"/>
        <v>10158.693159977003</v>
      </c>
      <c r="D42" s="7">
        <f t="shared" si="5"/>
        <v>10219.645318936888</v>
      </c>
      <c r="E42" s="9">
        <f t="shared" si="6"/>
        <v>7.1999999999999995E-2</v>
      </c>
      <c r="F42" s="8">
        <f t="shared" si="0"/>
        <v>60.952158959862011</v>
      </c>
      <c r="G42" s="8">
        <f t="shared" si="9"/>
        <v>10158.693159977025</v>
      </c>
      <c r="H42" s="8">
        <f t="shared" si="7"/>
        <v>10219.645318936888</v>
      </c>
      <c r="I42" s="8">
        <f t="shared" si="10"/>
        <v>-2.1827872842550278E-11</v>
      </c>
      <c r="J42" s="8">
        <f t="shared" si="13"/>
        <v>27560.952158959859</v>
      </c>
      <c r="K42" s="8">
        <f t="shared" ref="K42:N42" si="14">K41-J42</f>
        <v>-37907.231481728064</v>
      </c>
      <c r="L42" s="8"/>
      <c r="M42" s="8">
        <f t="shared" si="11"/>
        <v>13810.952158959861</v>
      </c>
      <c r="N42" s="8">
        <f t="shared" si="14"/>
        <v>-37907.231481727977</v>
      </c>
    </row>
    <row r="44" spans="1:14">
      <c r="H44" s="8">
        <f>SUM(H7:H42)</f>
        <v>367907.23148172803</v>
      </c>
      <c r="I44" s="8"/>
      <c r="J44" s="8">
        <f>SUM(J7:J42)</f>
        <v>367907.23148172797</v>
      </c>
      <c r="K44" s="8">
        <f>K42+G2</f>
        <v>0</v>
      </c>
      <c r="L44" s="8"/>
      <c r="M44" s="8">
        <f>SUM(M7:M42)</f>
        <v>367907.23148172791</v>
      </c>
      <c r="N44" s="8">
        <f>N42+G2</f>
        <v>0</v>
      </c>
    </row>
  </sheetData>
  <conditionalFormatting sqref="H44:N44">
    <cfRule type="cellIs" dxfId="0" priority="1" operator="equal">
      <formula>$G$1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7546D-4F06-48B4-A527-BEAD4E0738C9}">
  <dimension ref="A1:I90"/>
  <sheetViews>
    <sheetView workbookViewId="0">
      <selection activeCell="G3" sqref="G3"/>
    </sheetView>
  </sheetViews>
  <sheetFormatPr defaultRowHeight="15"/>
  <cols>
    <col min="1" max="1" width="13" customWidth="1"/>
    <col min="2" max="2" width="12.85546875" bestFit="1" customWidth="1"/>
    <col min="3" max="3" width="20" customWidth="1"/>
    <col min="4" max="5" width="11.5703125" customWidth="1"/>
    <col min="6" max="6" width="11.28515625" customWidth="1"/>
    <col min="7" max="9" width="16.7109375" customWidth="1"/>
  </cols>
  <sheetData>
    <row r="1" spans="1:9">
      <c r="A1" s="5" t="s">
        <v>23</v>
      </c>
      <c r="B1" s="4">
        <v>712500</v>
      </c>
      <c r="C1" s="5" t="s">
        <v>24</v>
      </c>
      <c r="D1">
        <f>B2</f>
        <v>84</v>
      </c>
    </row>
    <row r="2" spans="1:9">
      <c r="A2" s="5" t="s">
        <v>25</v>
      </c>
      <c r="B2">
        <f>7*12</f>
        <v>84</v>
      </c>
      <c r="C2" s="5" t="s">
        <v>26</v>
      </c>
      <c r="D2" s="3">
        <f>B3/12</f>
        <v>5.9999999999999993E-3</v>
      </c>
      <c r="E2" s="3"/>
    </row>
    <row r="3" spans="1:9">
      <c r="A3" s="5" t="s">
        <v>27</v>
      </c>
      <c r="B3" s="1">
        <v>7.1999999999999995E-2</v>
      </c>
      <c r="C3" s="5" t="s">
        <v>28</v>
      </c>
      <c r="D3" s="2">
        <f>PMT(B3/12,D1,-B1,0,0)</f>
        <v>10823.328561768831</v>
      </c>
      <c r="E3" s="2"/>
      <c r="F3" s="2"/>
    </row>
    <row r="4" spans="1:9">
      <c r="A4" s="5" t="s">
        <v>29</v>
      </c>
      <c r="B4" s="6">
        <f>DATE(2024,8,1)</f>
        <v>45505</v>
      </c>
    </row>
    <row r="6" spans="1:9">
      <c r="A6" s="14" t="s">
        <v>30</v>
      </c>
      <c r="B6" s="14" t="s">
        <v>31</v>
      </c>
      <c r="C6" s="14" t="s">
        <v>32</v>
      </c>
      <c r="D6" s="14" t="s">
        <v>28</v>
      </c>
      <c r="E6" s="14" t="s">
        <v>33</v>
      </c>
      <c r="F6" s="14" t="s">
        <v>33</v>
      </c>
      <c r="G6" s="14" t="s">
        <v>23</v>
      </c>
      <c r="H6" s="14" t="s">
        <v>34</v>
      </c>
      <c r="I6" s="14" t="s">
        <v>35</v>
      </c>
    </row>
    <row r="7" spans="1:9">
      <c r="A7">
        <v>1</v>
      </c>
      <c r="B7" s="6">
        <f>B4+(365.25/12)</f>
        <v>45535.4375</v>
      </c>
      <c r="C7" s="8">
        <f>B1</f>
        <v>712500</v>
      </c>
      <c r="D7" s="7">
        <f>$D$3</f>
        <v>10823.328561768831</v>
      </c>
      <c r="E7" s="9">
        <v>7.1999999999999995E-2</v>
      </c>
      <c r="F7" s="8">
        <f>C7*E7/12</f>
        <v>4274.9999999999991</v>
      </c>
      <c r="G7" s="8">
        <f>D7-F7</f>
        <v>6548.3285617688316</v>
      </c>
      <c r="H7" s="8">
        <f>F7+G7</f>
        <v>10823.328561768831</v>
      </c>
      <c r="I7" s="8">
        <f>C7-G7</f>
        <v>705951.67143823113</v>
      </c>
    </row>
    <row r="8" spans="1:9">
      <c r="A8">
        <v>2</v>
      </c>
      <c r="B8" s="6">
        <f>B7+(365.25/12)</f>
        <v>45565.875</v>
      </c>
      <c r="C8" s="8">
        <f>I7</f>
        <v>705951.67143823113</v>
      </c>
      <c r="D8" s="7">
        <f>$D$3</f>
        <v>10823.328561768831</v>
      </c>
      <c r="E8" s="9">
        <f>E7</f>
        <v>7.1999999999999995E-2</v>
      </c>
      <c r="F8" s="8">
        <f t="shared" ref="F8:F18" si="0">C8*E8/12</f>
        <v>4235.7100286293862</v>
      </c>
      <c r="G8" s="8">
        <f>D8-F8</f>
        <v>6587.6185331394445</v>
      </c>
      <c r="H8" s="8">
        <f>F8+G8</f>
        <v>10823.328561768831</v>
      </c>
      <c r="I8" s="8">
        <f>C8-G8</f>
        <v>699364.05290509167</v>
      </c>
    </row>
    <row r="9" spans="1:9">
      <c r="A9">
        <v>3</v>
      </c>
      <c r="B9" s="6">
        <f t="shared" ref="B9:B25" si="1">B8+(365.25/12)</f>
        <v>45596.3125</v>
      </c>
      <c r="C9" s="8">
        <f t="shared" ref="C9:C18" si="2">I8</f>
        <v>699364.05290509167</v>
      </c>
      <c r="D9" s="7">
        <f t="shared" ref="D9:D72" si="3">$D$3</f>
        <v>10823.328561768831</v>
      </c>
      <c r="E9" s="9">
        <f t="shared" ref="E9:E18" si="4">E8</f>
        <v>7.1999999999999995E-2</v>
      </c>
      <c r="F9" s="8">
        <f t="shared" si="0"/>
        <v>4196.1843174305495</v>
      </c>
      <c r="G9" s="8">
        <f>D9-F9</f>
        <v>6627.1442443382812</v>
      </c>
      <c r="H9" s="8">
        <f t="shared" ref="H9:H18" si="5">F9+G9</f>
        <v>10823.328561768831</v>
      </c>
      <c r="I9" s="8">
        <f>C9-G9</f>
        <v>692736.9086607534</v>
      </c>
    </row>
    <row r="10" spans="1:9">
      <c r="A10">
        <v>4</v>
      </c>
      <c r="B10" s="6">
        <f t="shared" si="1"/>
        <v>45626.75</v>
      </c>
      <c r="C10" s="8">
        <f t="shared" si="2"/>
        <v>692736.9086607534</v>
      </c>
      <c r="D10" s="7">
        <f t="shared" si="3"/>
        <v>10823.328561768831</v>
      </c>
      <c r="E10" s="9">
        <f t="shared" si="4"/>
        <v>7.1999999999999995E-2</v>
      </c>
      <c r="F10" s="8">
        <f t="shared" si="0"/>
        <v>4156.4214519645202</v>
      </c>
      <c r="G10" s="8">
        <f>D10-F10</f>
        <v>6666.9071098043105</v>
      </c>
      <c r="H10" s="8">
        <f t="shared" si="5"/>
        <v>10823.328561768831</v>
      </c>
      <c r="I10" s="8">
        <f>C10-G10</f>
        <v>686070.00155094906</v>
      </c>
    </row>
    <row r="11" spans="1:9">
      <c r="A11">
        <v>5</v>
      </c>
      <c r="B11" s="6">
        <f t="shared" si="1"/>
        <v>45657.1875</v>
      </c>
      <c r="C11" s="8">
        <f t="shared" si="2"/>
        <v>686070.00155094906</v>
      </c>
      <c r="D11" s="7">
        <f t="shared" si="3"/>
        <v>10823.328561768831</v>
      </c>
      <c r="E11" s="9">
        <f t="shared" si="4"/>
        <v>7.1999999999999995E-2</v>
      </c>
      <c r="F11" s="8">
        <f t="shared" si="0"/>
        <v>4116.4200093056943</v>
      </c>
      <c r="G11" s="8">
        <f>D11-F11</f>
        <v>6706.9085524631364</v>
      </c>
      <c r="H11" s="8">
        <f t="shared" si="5"/>
        <v>10823.328561768831</v>
      </c>
      <c r="I11" s="8">
        <f>C11-G11</f>
        <v>679363.0929984859</v>
      </c>
    </row>
    <row r="12" spans="1:9">
      <c r="A12">
        <v>6</v>
      </c>
      <c r="B12" s="6">
        <f t="shared" si="1"/>
        <v>45687.625</v>
      </c>
      <c r="C12" s="8">
        <f t="shared" si="2"/>
        <v>679363.0929984859</v>
      </c>
      <c r="D12" s="7">
        <f t="shared" si="3"/>
        <v>10823.328561768831</v>
      </c>
      <c r="E12" s="9">
        <f t="shared" si="4"/>
        <v>7.1999999999999995E-2</v>
      </c>
      <c r="F12" s="8">
        <f t="shared" si="0"/>
        <v>4076.1785579909151</v>
      </c>
      <c r="G12" s="8">
        <f>D12-F12</f>
        <v>6747.1500037779151</v>
      </c>
      <c r="H12" s="8">
        <f t="shared" si="5"/>
        <v>10823.328561768831</v>
      </c>
      <c r="I12" s="8">
        <f>C12-G12</f>
        <v>672615.94299470796</v>
      </c>
    </row>
    <row r="13" spans="1:9">
      <c r="A13">
        <v>7</v>
      </c>
      <c r="B13" s="6">
        <f t="shared" si="1"/>
        <v>45718.0625</v>
      </c>
      <c r="C13" s="8">
        <f t="shared" si="2"/>
        <v>672615.94299470796</v>
      </c>
      <c r="D13" s="7">
        <f t="shared" si="3"/>
        <v>10823.328561768831</v>
      </c>
      <c r="E13" s="9">
        <f t="shared" si="4"/>
        <v>7.1999999999999995E-2</v>
      </c>
      <c r="F13" s="8">
        <f t="shared" si="0"/>
        <v>4035.6956579682478</v>
      </c>
      <c r="G13" s="8">
        <f>D13-F13</f>
        <v>6787.6329038005824</v>
      </c>
      <c r="H13" s="8">
        <f t="shared" si="5"/>
        <v>10823.328561768831</v>
      </c>
      <c r="I13" s="8">
        <f>C13-G13</f>
        <v>665828.31009090738</v>
      </c>
    </row>
    <row r="14" spans="1:9">
      <c r="A14">
        <v>8</v>
      </c>
      <c r="B14" s="6">
        <f t="shared" si="1"/>
        <v>45748.5</v>
      </c>
      <c r="C14" s="8">
        <f t="shared" si="2"/>
        <v>665828.31009090738</v>
      </c>
      <c r="D14" s="7">
        <f t="shared" si="3"/>
        <v>10823.328561768831</v>
      </c>
      <c r="E14" s="9">
        <f t="shared" si="4"/>
        <v>7.1999999999999995E-2</v>
      </c>
      <c r="F14" s="8">
        <f t="shared" si="0"/>
        <v>3994.9698605454437</v>
      </c>
      <c r="G14" s="8">
        <f>D14-F14</f>
        <v>6828.3587012233875</v>
      </c>
      <c r="H14" s="8">
        <f t="shared" si="5"/>
        <v>10823.328561768831</v>
      </c>
      <c r="I14" s="8">
        <f>C14-G14</f>
        <v>658999.95138968399</v>
      </c>
    </row>
    <row r="15" spans="1:9">
      <c r="A15">
        <v>9</v>
      </c>
      <c r="B15" s="6">
        <f t="shared" si="1"/>
        <v>45778.9375</v>
      </c>
      <c r="C15" s="8">
        <f t="shared" si="2"/>
        <v>658999.95138968399</v>
      </c>
      <c r="D15" s="7">
        <f t="shared" si="3"/>
        <v>10823.328561768831</v>
      </c>
      <c r="E15" s="9">
        <f t="shared" si="4"/>
        <v>7.1999999999999995E-2</v>
      </c>
      <c r="F15" s="8">
        <f t="shared" si="0"/>
        <v>3953.9997083381036</v>
      </c>
      <c r="G15" s="8">
        <f>D15-F15</f>
        <v>6869.3288534307267</v>
      </c>
      <c r="H15" s="8">
        <f t="shared" si="5"/>
        <v>10823.328561768831</v>
      </c>
      <c r="I15" s="8">
        <f>C15-G15</f>
        <v>652130.6225362533</v>
      </c>
    </row>
    <row r="16" spans="1:9">
      <c r="A16">
        <v>10</v>
      </c>
      <c r="B16" s="6">
        <f t="shared" si="1"/>
        <v>45809.375</v>
      </c>
      <c r="C16" s="8">
        <f t="shared" si="2"/>
        <v>652130.6225362533</v>
      </c>
      <c r="D16" s="7">
        <f t="shared" si="3"/>
        <v>10823.328561768831</v>
      </c>
      <c r="E16" s="9">
        <f t="shared" si="4"/>
        <v>7.1999999999999995E-2</v>
      </c>
      <c r="F16" s="8">
        <f t="shared" si="0"/>
        <v>3912.7837352175193</v>
      </c>
      <c r="G16" s="8">
        <f>D16-F16</f>
        <v>6910.5448265513114</v>
      </c>
      <c r="H16" s="8">
        <f t="shared" si="5"/>
        <v>10823.328561768831</v>
      </c>
      <c r="I16" s="8">
        <f>C16-G16</f>
        <v>645220.07770970196</v>
      </c>
    </row>
    <row r="17" spans="1:9">
      <c r="A17">
        <v>11</v>
      </c>
      <c r="B17" s="6">
        <f t="shared" si="1"/>
        <v>45839.8125</v>
      </c>
      <c r="C17" s="8">
        <f t="shared" si="2"/>
        <v>645220.07770970196</v>
      </c>
      <c r="D17" s="7">
        <f t="shared" si="3"/>
        <v>10823.328561768831</v>
      </c>
      <c r="E17" s="9">
        <f t="shared" si="4"/>
        <v>7.1999999999999995E-2</v>
      </c>
      <c r="F17" s="8">
        <f t="shared" si="0"/>
        <v>3871.3204662582116</v>
      </c>
      <c r="G17" s="8">
        <f>D17-F17</f>
        <v>6952.0080955106187</v>
      </c>
      <c r="H17" s="8">
        <f t="shared" si="5"/>
        <v>10823.328561768831</v>
      </c>
      <c r="I17" s="8">
        <f>C17-G17</f>
        <v>638268.06961419131</v>
      </c>
    </row>
    <row r="18" spans="1:9">
      <c r="A18" s="5">
        <v>12</v>
      </c>
      <c r="B18" s="10">
        <f t="shared" si="1"/>
        <v>45870.25</v>
      </c>
      <c r="C18" s="13">
        <f t="shared" si="2"/>
        <v>638268.06961419131</v>
      </c>
      <c r="D18" s="11">
        <f t="shared" si="3"/>
        <v>10823.328561768831</v>
      </c>
      <c r="E18" s="12">
        <f>E17-0.15%</f>
        <v>7.0499999999999993E-2</v>
      </c>
      <c r="F18" s="13">
        <f t="shared" si="0"/>
        <v>3749.8249089833735</v>
      </c>
      <c r="G18" s="13">
        <f>D18-F18</f>
        <v>7073.5036527854572</v>
      </c>
      <c r="H18" s="13">
        <f t="shared" si="5"/>
        <v>10823.328561768831</v>
      </c>
      <c r="I18" s="13">
        <f>C18-G18</f>
        <v>631194.56596140587</v>
      </c>
    </row>
    <row r="19" spans="1:9">
      <c r="A19" s="5">
        <v>13</v>
      </c>
      <c r="B19" s="10">
        <f t="shared" si="1"/>
        <v>45900.6875</v>
      </c>
      <c r="C19" s="13">
        <f t="shared" ref="C19:C30" si="6">I18</f>
        <v>631194.56596140587</v>
      </c>
      <c r="D19" s="11">
        <f t="shared" si="3"/>
        <v>10823.328561768831</v>
      </c>
      <c r="E19" s="12">
        <f t="shared" ref="E19:E30" si="7">E18</f>
        <v>7.0499999999999993E-2</v>
      </c>
      <c r="F19" s="13">
        <f t="shared" ref="F19:F30" si="8">C19*E19/12</f>
        <v>3708.2680750232594</v>
      </c>
      <c r="G19" s="13">
        <f t="shared" ref="G19:G30" si="9">D19-F19</f>
        <v>7115.0604867455713</v>
      </c>
      <c r="H19" s="13">
        <f t="shared" ref="H19:H30" si="10">F19+G19</f>
        <v>10823.328561768831</v>
      </c>
      <c r="I19" s="13">
        <f t="shared" ref="I19:I30" si="11">C19-G19</f>
        <v>624079.50547466031</v>
      </c>
    </row>
    <row r="20" spans="1:9">
      <c r="A20" s="5">
        <v>14</v>
      </c>
      <c r="B20" s="10">
        <f t="shared" si="1"/>
        <v>45931.125</v>
      </c>
      <c r="C20" s="13">
        <f t="shared" si="6"/>
        <v>624079.50547466031</v>
      </c>
      <c r="D20" s="11">
        <f t="shared" si="3"/>
        <v>10823.328561768831</v>
      </c>
      <c r="E20" s="12">
        <f t="shared" si="7"/>
        <v>7.0499999999999993E-2</v>
      </c>
      <c r="F20" s="13">
        <f t="shared" si="8"/>
        <v>3666.4670946636288</v>
      </c>
      <c r="G20" s="13">
        <f t="shared" si="9"/>
        <v>7156.8614671052019</v>
      </c>
      <c r="H20" s="13">
        <f t="shared" si="10"/>
        <v>10823.328561768831</v>
      </c>
      <c r="I20" s="13">
        <f t="shared" si="11"/>
        <v>616922.64400755509</v>
      </c>
    </row>
    <row r="21" spans="1:9">
      <c r="A21" s="5">
        <v>15</v>
      </c>
      <c r="B21" s="10">
        <f t="shared" si="1"/>
        <v>45961.5625</v>
      </c>
      <c r="C21" s="13">
        <f t="shared" si="6"/>
        <v>616922.64400755509</v>
      </c>
      <c r="D21" s="11">
        <f t="shared" si="3"/>
        <v>10823.328561768831</v>
      </c>
      <c r="E21" s="12">
        <f t="shared" si="7"/>
        <v>7.0499999999999993E-2</v>
      </c>
      <c r="F21" s="13">
        <f t="shared" si="8"/>
        <v>3624.4205335443858</v>
      </c>
      <c r="G21" s="13">
        <f t="shared" si="9"/>
        <v>7198.9080282244449</v>
      </c>
      <c r="H21" s="13">
        <f t="shared" si="10"/>
        <v>10823.328561768831</v>
      </c>
      <c r="I21" s="13">
        <f t="shared" si="11"/>
        <v>609723.73597933061</v>
      </c>
    </row>
    <row r="22" spans="1:9">
      <c r="A22" s="5">
        <v>16</v>
      </c>
      <c r="B22" s="10">
        <f t="shared" si="1"/>
        <v>45992</v>
      </c>
      <c r="C22" s="13">
        <f t="shared" si="6"/>
        <v>609723.73597933061</v>
      </c>
      <c r="D22" s="11">
        <f t="shared" si="3"/>
        <v>10823.328561768831</v>
      </c>
      <c r="E22" s="12">
        <f t="shared" si="7"/>
        <v>7.0499999999999993E-2</v>
      </c>
      <c r="F22" s="13">
        <f t="shared" si="8"/>
        <v>3582.126948878567</v>
      </c>
      <c r="G22" s="13">
        <f t="shared" si="9"/>
        <v>7241.2016128902633</v>
      </c>
      <c r="H22" s="13">
        <f t="shared" si="10"/>
        <v>10823.328561768831</v>
      </c>
      <c r="I22" s="13">
        <f t="shared" si="11"/>
        <v>602482.53436644038</v>
      </c>
    </row>
    <row r="23" spans="1:9">
      <c r="A23" s="5">
        <v>17</v>
      </c>
      <c r="B23" s="10">
        <f t="shared" si="1"/>
        <v>46022.4375</v>
      </c>
      <c r="C23" s="13">
        <f t="shared" si="6"/>
        <v>602482.53436644038</v>
      </c>
      <c r="D23" s="11">
        <f t="shared" si="3"/>
        <v>10823.328561768831</v>
      </c>
      <c r="E23" s="12">
        <f t="shared" si="7"/>
        <v>7.0499999999999993E-2</v>
      </c>
      <c r="F23" s="13">
        <f t="shared" si="8"/>
        <v>3539.5848894028368</v>
      </c>
      <c r="G23" s="13">
        <f t="shared" si="9"/>
        <v>7283.7436723659939</v>
      </c>
      <c r="H23" s="13">
        <f t="shared" si="10"/>
        <v>10823.328561768831</v>
      </c>
      <c r="I23" s="13">
        <f t="shared" si="11"/>
        <v>595198.79069407436</v>
      </c>
    </row>
    <row r="24" spans="1:9">
      <c r="A24" s="5">
        <v>18</v>
      </c>
      <c r="B24" s="10">
        <f t="shared" si="1"/>
        <v>46052.875</v>
      </c>
      <c r="C24" s="13">
        <f t="shared" si="6"/>
        <v>595198.79069407436</v>
      </c>
      <c r="D24" s="11">
        <f t="shared" si="3"/>
        <v>10823.328561768831</v>
      </c>
      <c r="E24" s="12">
        <f t="shared" si="7"/>
        <v>7.0499999999999993E-2</v>
      </c>
      <c r="F24" s="13">
        <f t="shared" si="8"/>
        <v>3496.7928953276864</v>
      </c>
      <c r="G24" s="13">
        <f t="shared" si="9"/>
        <v>7326.5356664411447</v>
      </c>
      <c r="H24" s="13">
        <f t="shared" si="10"/>
        <v>10823.328561768831</v>
      </c>
      <c r="I24" s="13">
        <f t="shared" si="11"/>
        <v>587872.25502763316</v>
      </c>
    </row>
    <row r="25" spans="1:9">
      <c r="A25" s="5">
        <v>19</v>
      </c>
      <c r="B25" s="10">
        <f t="shared" si="1"/>
        <v>46083.3125</v>
      </c>
      <c r="C25" s="13">
        <f t="shared" si="6"/>
        <v>587872.25502763316</v>
      </c>
      <c r="D25" s="11">
        <f t="shared" si="3"/>
        <v>10823.328561768831</v>
      </c>
      <c r="E25" s="12">
        <f t="shared" si="7"/>
        <v>7.0499999999999993E-2</v>
      </c>
      <c r="F25" s="13">
        <f t="shared" si="8"/>
        <v>3453.7494982873445</v>
      </c>
      <c r="G25" s="13">
        <f t="shared" si="9"/>
        <v>7369.5790634814857</v>
      </c>
      <c r="H25" s="13">
        <f t="shared" si="10"/>
        <v>10823.328561768831</v>
      </c>
      <c r="I25" s="13">
        <f t="shared" si="11"/>
        <v>580502.67596415163</v>
      </c>
    </row>
    <row r="26" spans="1:9">
      <c r="A26" s="5">
        <v>20</v>
      </c>
      <c r="B26" s="10">
        <f t="shared" ref="B26:B32" si="12">B25+(365.25/12)</f>
        <v>46113.75</v>
      </c>
      <c r="C26" s="13">
        <f t="shared" si="6"/>
        <v>580502.67596415163</v>
      </c>
      <c r="D26" s="11">
        <f t="shared" si="3"/>
        <v>10823.328561768831</v>
      </c>
      <c r="E26" s="12">
        <f t="shared" si="7"/>
        <v>7.0499999999999993E-2</v>
      </c>
      <c r="F26" s="13">
        <f t="shared" si="8"/>
        <v>3410.4532212893905</v>
      </c>
      <c r="G26" s="13">
        <f t="shared" si="9"/>
        <v>7412.8753404794406</v>
      </c>
      <c r="H26" s="13">
        <f t="shared" si="10"/>
        <v>10823.328561768831</v>
      </c>
      <c r="I26" s="13">
        <f t="shared" si="11"/>
        <v>573089.8006236722</v>
      </c>
    </row>
    <row r="27" spans="1:9">
      <c r="A27" s="5">
        <v>21</v>
      </c>
      <c r="B27" s="10">
        <f t="shared" si="12"/>
        <v>46144.1875</v>
      </c>
      <c r="C27" s="13">
        <f t="shared" si="6"/>
        <v>573089.8006236722</v>
      </c>
      <c r="D27" s="11">
        <f t="shared" si="3"/>
        <v>10823.328561768831</v>
      </c>
      <c r="E27" s="12">
        <f t="shared" si="7"/>
        <v>7.0499999999999993E-2</v>
      </c>
      <c r="F27" s="13">
        <f t="shared" si="8"/>
        <v>3366.9025786640741</v>
      </c>
      <c r="G27" s="13">
        <f t="shared" si="9"/>
        <v>7456.4259831047566</v>
      </c>
      <c r="H27" s="13">
        <f t="shared" si="10"/>
        <v>10823.328561768831</v>
      </c>
      <c r="I27" s="13">
        <f t="shared" si="11"/>
        <v>565633.37464056746</v>
      </c>
    </row>
    <row r="28" spans="1:9">
      <c r="A28" s="5">
        <v>22</v>
      </c>
      <c r="B28" s="10">
        <f t="shared" si="12"/>
        <v>46174.625</v>
      </c>
      <c r="C28" s="13">
        <f t="shared" si="6"/>
        <v>565633.37464056746</v>
      </c>
      <c r="D28" s="11">
        <f t="shared" si="3"/>
        <v>10823.328561768831</v>
      </c>
      <c r="E28" s="12">
        <f t="shared" si="7"/>
        <v>7.0499999999999993E-2</v>
      </c>
      <c r="F28" s="13">
        <f t="shared" si="8"/>
        <v>3323.0960760133335</v>
      </c>
      <c r="G28" s="13">
        <f t="shared" si="9"/>
        <v>7500.2324857554977</v>
      </c>
      <c r="H28" s="13">
        <f t="shared" si="10"/>
        <v>10823.328561768831</v>
      </c>
      <c r="I28" s="13">
        <f t="shared" si="11"/>
        <v>558133.142154812</v>
      </c>
    </row>
    <row r="29" spans="1:9">
      <c r="A29" s="5">
        <v>23</v>
      </c>
      <c r="B29" s="10">
        <f t="shared" si="12"/>
        <v>46205.0625</v>
      </c>
      <c r="C29" s="13">
        <f t="shared" si="6"/>
        <v>558133.142154812</v>
      </c>
      <c r="D29" s="11">
        <f t="shared" si="3"/>
        <v>10823.328561768831</v>
      </c>
      <c r="E29" s="12">
        <f t="shared" si="7"/>
        <v>7.0499999999999993E-2</v>
      </c>
      <c r="F29" s="13">
        <f t="shared" si="8"/>
        <v>3279.0322101595198</v>
      </c>
      <c r="G29" s="13">
        <f t="shared" si="9"/>
        <v>7544.2963516093114</v>
      </c>
      <c r="H29" s="13">
        <f t="shared" si="10"/>
        <v>10823.328561768831</v>
      </c>
      <c r="I29" s="13">
        <f t="shared" si="11"/>
        <v>550588.84580320271</v>
      </c>
    </row>
    <row r="30" spans="1:9">
      <c r="A30" s="5">
        <v>24</v>
      </c>
      <c r="B30" s="10">
        <f t="shared" si="12"/>
        <v>46235.5</v>
      </c>
      <c r="C30" s="13">
        <f t="shared" si="6"/>
        <v>550588.84580320271</v>
      </c>
      <c r="D30" s="11">
        <f t="shared" si="3"/>
        <v>10823.328561768831</v>
      </c>
      <c r="E30" s="12">
        <f t="shared" si="7"/>
        <v>7.0499999999999993E-2</v>
      </c>
      <c r="F30" s="13">
        <f t="shared" si="8"/>
        <v>3234.7094690938156</v>
      </c>
      <c r="G30" s="13">
        <f t="shared" si="9"/>
        <v>7588.6190926750151</v>
      </c>
      <c r="H30" s="13">
        <f t="shared" si="10"/>
        <v>10823.328561768831</v>
      </c>
      <c r="I30" s="13">
        <f t="shared" si="11"/>
        <v>543000.22671052767</v>
      </c>
    </row>
    <row r="31" spans="1:9">
      <c r="A31">
        <v>25</v>
      </c>
      <c r="B31" s="6">
        <f t="shared" si="12"/>
        <v>46265.9375</v>
      </c>
      <c r="C31" s="8">
        <f t="shared" ref="C31:C41" si="13">I30</f>
        <v>543000.22671052767</v>
      </c>
      <c r="D31" s="7">
        <f t="shared" si="3"/>
        <v>10823.328561768831</v>
      </c>
      <c r="E31" s="9">
        <f>E30-0.15%</f>
        <v>6.8999999999999992E-2</v>
      </c>
      <c r="F31" s="8">
        <f t="shared" ref="F31:F41" si="14">C31*E31/12</f>
        <v>3122.2513035855336</v>
      </c>
      <c r="G31" s="8">
        <f t="shared" ref="G31:G41" si="15">D31-F31</f>
        <v>7701.0772581832971</v>
      </c>
      <c r="H31" s="8">
        <f t="shared" ref="H31:H41" si="16">F31+G31</f>
        <v>10823.328561768831</v>
      </c>
      <c r="I31" s="8">
        <f t="shared" ref="I31:I41" si="17">C31-G31</f>
        <v>535299.1494523444</v>
      </c>
    </row>
    <row r="32" spans="1:9">
      <c r="A32">
        <v>26</v>
      </c>
      <c r="B32" s="6">
        <f t="shared" si="12"/>
        <v>46296.375</v>
      </c>
      <c r="C32" s="8">
        <f t="shared" si="13"/>
        <v>535299.1494523444</v>
      </c>
      <c r="D32" s="7">
        <f t="shared" si="3"/>
        <v>10823.328561768831</v>
      </c>
      <c r="E32" s="9">
        <f t="shared" ref="E31:E41" si="18">E31</f>
        <v>6.8999999999999992E-2</v>
      </c>
      <c r="F32" s="8">
        <f t="shared" si="14"/>
        <v>3077.9701093509798</v>
      </c>
      <c r="G32" s="8">
        <f t="shared" si="15"/>
        <v>7745.3584524178514</v>
      </c>
      <c r="H32" s="8">
        <f t="shared" si="16"/>
        <v>10823.328561768831</v>
      </c>
      <c r="I32" s="8">
        <f t="shared" si="17"/>
        <v>527553.79099992651</v>
      </c>
    </row>
    <row r="33" spans="1:9">
      <c r="A33">
        <v>27</v>
      </c>
      <c r="B33" s="6">
        <f t="shared" ref="B33:B42" si="19">B32+(365.25/12)</f>
        <v>46326.8125</v>
      </c>
      <c r="C33" s="8">
        <f t="shared" si="13"/>
        <v>527553.79099992651</v>
      </c>
      <c r="D33" s="7">
        <f t="shared" si="3"/>
        <v>10823.328561768831</v>
      </c>
      <c r="E33" s="9">
        <f t="shared" si="18"/>
        <v>6.8999999999999992E-2</v>
      </c>
      <c r="F33" s="8">
        <f t="shared" si="14"/>
        <v>3033.4342982495768</v>
      </c>
      <c r="G33" s="8">
        <f t="shared" si="15"/>
        <v>7789.8942635192543</v>
      </c>
      <c r="H33" s="8">
        <f t="shared" si="16"/>
        <v>10823.328561768831</v>
      </c>
      <c r="I33" s="8">
        <f t="shared" si="17"/>
        <v>519763.89673640725</v>
      </c>
    </row>
    <row r="34" spans="1:9">
      <c r="A34">
        <v>28</v>
      </c>
      <c r="B34" s="6">
        <f t="shared" si="19"/>
        <v>46357.25</v>
      </c>
      <c r="C34" s="8">
        <f t="shared" si="13"/>
        <v>519763.89673640725</v>
      </c>
      <c r="D34" s="7">
        <f t="shared" si="3"/>
        <v>10823.328561768831</v>
      </c>
      <c r="E34" s="9">
        <f t="shared" si="18"/>
        <v>6.8999999999999992E-2</v>
      </c>
      <c r="F34" s="8">
        <f t="shared" si="14"/>
        <v>2988.6424062343413</v>
      </c>
      <c r="G34" s="8">
        <f t="shared" si="15"/>
        <v>7834.6861555344894</v>
      </c>
      <c r="H34" s="8">
        <f t="shared" si="16"/>
        <v>10823.328561768831</v>
      </c>
      <c r="I34" s="8">
        <f t="shared" si="17"/>
        <v>511929.21058087278</v>
      </c>
    </row>
    <row r="35" spans="1:9">
      <c r="A35">
        <v>29</v>
      </c>
      <c r="B35" s="6">
        <f t="shared" si="19"/>
        <v>46387.6875</v>
      </c>
      <c r="C35" s="8">
        <f t="shared" si="13"/>
        <v>511929.21058087278</v>
      </c>
      <c r="D35" s="7">
        <f t="shared" si="3"/>
        <v>10823.328561768831</v>
      </c>
      <c r="E35" s="9">
        <f t="shared" si="18"/>
        <v>6.8999999999999992E-2</v>
      </c>
      <c r="F35" s="8">
        <f t="shared" si="14"/>
        <v>2943.5929608400183</v>
      </c>
      <c r="G35" s="8">
        <f t="shared" si="15"/>
        <v>7879.7356009288123</v>
      </c>
      <c r="H35" s="8">
        <f t="shared" si="16"/>
        <v>10823.328561768831</v>
      </c>
      <c r="I35" s="8">
        <f t="shared" si="17"/>
        <v>504049.47497994395</v>
      </c>
    </row>
    <row r="36" spans="1:9">
      <c r="A36">
        <v>30</v>
      </c>
      <c r="B36" s="6">
        <f t="shared" si="19"/>
        <v>46418.125</v>
      </c>
      <c r="C36" s="8">
        <f t="shared" si="13"/>
        <v>504049.47497994395</v>
      </c>
      <c r="D36" s="7">
        <f t="shared" si="3"/>
        <v>10823.328561768831</v>
      </c>
      <c r="E36" s="9">
        <f t="shared" si="18"/>
        <v>6.8999999999999992E-2</v>
      </c>
      <c r="F36" s="8">
        <f t="shared" si="14"/>
        <v>2898.2844811346772</v>
      </c>
      <c r="G36" s="8">
        <f t="shared" si="15"/>
        <v>7925.0440806341539</v>
      </c>
      <c r="H36" s="8">
        <f t="shared" si="16"/>
        <v>10823.328561768831</v>
      </c>
      <c r="I36" s="8">
        <f t="shared" si="17"/>
        <v>496124.43089930981</v>
      </c>
    </row>
    <row r="37" spans="1:9">
      <c r="A37">
        <v>31</v>
      </c>
      <c r="B37" s="6">
        <f t="shared" si="19"/>
        <v>46448.5625</v>
      </c>
      <c r="C37" s="8">
        <f t="shared" si="13"/>
        <v>496124.43089930981</v>
      </c>
      <c r="D37" s="7">
        <f t="shared" si="3"/>
        <v>10823.328561768831</v>
      </c>
      <c r="E37" s="9">
        <f t="shared" si="18"/>
        <v>6.8999999999999992E-2</v>
      </c>
      <c r="F37" s="8">
        <f t="shared" si="14"/>
        <v>2852.7154776710308</v>
      </c>
      <c r="G37" s="8">
        <f t="shared" si="15"/>
        <v>7970.6130840978003</v>
      </c>
      <c r="H37" s="8">
        <f t="shared" si="16"/>
        <v>10823.328561768831</v>
      </c>
      <c r="I37" s="8">
        <f t="shared" si="17"/>
        <v>488153.81781521201</v>
      </c>
    </row>
    <row r="38" spans="1:9">
      <c r="A38">
        <v>32</v>
      </c>
      <c r="B38" s="6">
        <f t="shared" si="19"/>
        <v>46479</v>
      </c>
      <c r="C38" s="8">
        <f t="shared" si="13"/>
        <v>488153.81781521201</v>
      </c>
      <c r="D38" s="7">
        <f t="shared" si="3"/>
        <v>10823.328561768831</v>
      </c>
      <c r="E38" s="9">
        <f t="shared" si="18"/>
        <v>6.8999999999999992E-2</v>
      </c>
      <c r="F38" s="8">
        <f t="shared" si="14"/>
        <v>2806.884452437469</v>
      </c>
      <c r="G38" s="8">
        <f t="shared" si="15"/>
        <v>8016.4441093313617</v>
      </c>
      <c r="H38" s="8">
        <f t="shared" si="16"/>
        <v>10823.328561768831</v>
      </c>
      <c r="I38" s="8">
        <f t="shared" si="17"/>
        <v>480137.37370588066</v>
      </c>
    </row>
    <row r="39" spans="1:9">
      <c r="A39">
        <v>33</v>
      </c>
      <c r="B39" s="6">
        <f t="shared" si="19"/>
        <v>46509.4375</v>
      </c>
      <c r="C39" s="8">
        <f t="shared" si="13"/>
        <v>480137.37370588066</v>
      </c>
      <c r="D39" s="7">
        <f t="shared" si="3"/>
        <v>10823.328561768831</v>
      </c>
      <c r="E39" s="9">
        <f t="shared" si="18"/>
        <v>6.8999999999999992E-2</v>
      </c>
      <c r="F39" s="8">
        <f t="shared" si="14"/>
        <v>2760.7898988088132</v>
      </c>
      <c r="G39" s="8">
        <f t="shared" si="15"/>
        <v>8062.538662960018</v>
      </c>
      <c r="H39" s="8">
        <f t="shared" si="16"/>
        <v>10823.328561768831</v>
      </c>
      <c r="I39" s="8">
        <f t="shared" si="17"/>
        <v>472074.83504292066</v>
      </c>
    </row>
    <row r="40" spans="1:9">
      <c r="A40">
        <v>34</v>
      </c>
      <c r="B40" s="6">
        <f t="shared" si="19"/>
        <v>46539.875</v>
      </c>
      <c r="C40" s="8">
        <f t="shared" si="13"/>
        <v>472074.83504292066</v>
      </c>
      <c r="D40" s="7">
        <f t="shared" si="3"/>
        <v>10823.328561768831</v>
      </c>
      <c r="E40" s="9">
        <f t="shared" si="18"/>
        <v>6.8999999999999992E-2</v>
      </c>
      <c r="F40" s="8">
        <f t="shared" si="14"/>
        <v>2714.4303014967936</v>
      </c>
      <c r="G40" s="8">
        <f t="shared" si="15"/>
        <v>8108.8982602720371</v>
      </c>
      <c r="H40" s="8">
        <f t="shared" si="16"/>
        <v>10823.328561768831</v>
      </c>
      <c r="I40" s="8">
        <f t="shared" si="17"/>
        <v>463965.93678264861</v>
      </c>
    </row>
    <row r="41" spans="1:9">
      <c r="A41">
        <v>35</v>
      </c>
      <c r="B41" s="6">
        <f t="shared" si="19"/>
        <v>46570.3125</v>
      </c>
      <c r="C41" s="8">
        <f t="shared" si="13"/>
        <v>463965.93678264861</v>
      </c>
      <c r="D41" s="7">
        <f t="shared" si="3"/>
        <v>10823.328561768831</v>
      </c>
      <c r="E41" s="9">
        <f t="shared" si="18"/>
        <v>6.8999999999999992E-2</v>
      </c>
      <c r="F41" s="8">
        <f t="shared" si="14"/>
        <v>2667.8041365002291</v>
      </c>
      <c r="G41" s="8">
        <f t="shared" si="15"/>
        <v>8155.5244252686016</v>
      </c>
      <c r="H41" s="8">
        <f t="shared" si="16"/>
        <v>10823.328561768831</v>
      </c>
      <c r="I41" s="8">
        <f t="shared" si="17"/>
        <v>455810.41235738003</v>
      </c>
    </row>
    <row r="42" spans="1:9">
      <c r="A42">
        <v>36</v>
      </c>
      <c r="B42" s="6">
        <f t="shared" si="19"/>
        <v>46600.75</v>
      </c>
      <c r="C42" s="8">
        <f t="shared" ref="C42" si="20">I41</f>
        <v>455810.41235738003</v>
      </c>
      <c r="D42" s="7">
        <f t="shared" si="3"/>
        <v>10823.328561768831</v>
      </c>
      <c r="E42" s="9">
        <f t="shared" ref="E42" si="21">E41</f>
        <v>6.8999999999999992E-2</v>
      </c>
      <c r="F42" s="8">
        <f t="shared" ref="F42" si="22">C42*E42/12</f>
        <v>2620.9098710549347</v>
      </c>
      <c r="G42" s="8">
        <f t="shared" ref="G42" si="23">D42-F42</f>
        <v>8202.4186907138956</v>
      </c>
      <c r="H42" s="8">
        <f t="shared" ref="H42" si="24">F42+G42</f>
        <v>10823.328561768831</v>
      </c>
      <c r="I42" s="8">
        <f t="shared" ref="I42" si="25">C42-G42</f>
        <v>447607.99366666615</v>
      </c>
    </row>
    <row r="43" spans="1:9">
      <c r="A43" s="5">
        <v>37</v>
      </c>
      <c r="B43" s="10">
        <f t="shared" ref="B43:B56" si="26">B42+(365.25/12)</f>
        <v>46631.1875</v>
      </c>
      <c r="C43" s="13">
        <f t="shared" ref="C43:C56" si="27">I42</f>
        <v>447607.99366666615</v>
      </c>
      <c r="D43" s="11">
        <f t="shared" si="3"/>
        <v>10823.328561768831</v>
      </c>
      <c r="E43" s="12">
        <f>6.9%-0.15%</f>
        <v>6.7500000000000004E-2</v>
      </c>
      <c r="F43" s="13">
        <f t="shared" ref="F43:F56" si="28">C43*E43/12</f>
        <v>2517.7949643749976</v>
      </c>
      <c r="G43" s="13">
        <f t="shared" ref="G43:G56" si="29">D43-F43</f>
        <v>8305.5335973938327</v>
      </c>
      <c r="H43" s="13">
        <f t="shared" ref="H43:H56" si="30">F43+G43</f>
        <v>10823.328561768831</v>
      </c>
      <c r="I43" s="13">
        <f t="shared" ref="I43:I56" si="31">C43-G43</f>
        <v>439302.46006927232</v>
      </c>
    </row>
    <row r="44" spans="1:9">
      <c r="A44" s="5">
        <v>38</v>
      </c>
      <c r="B44" s="10">
        <f t="shared" si="26"/>
        <v>46661.625</v>
      </c>
      <c r="C44" s="13">
        <f t="shared" si="27"/>
        <v>439302.46006927232</v>
      </c>
      <c r="D44" s="11">
        <f t="shared" si="3"/>
        <v>10823.328561768831</v>
      </c>
      <c r="E44" s="12">
        <f t="shared" ref="E43:E56" si="32">E43</f>
        <v>6.7500000000000004E-2</v>
      </c>
      <c r="F44" s="13">
        <f t="shared" si="28"/>
        <v>2471.0763378896568</v>
      </c>
      <c r="G44" s="13">
        <f t="shared" si="29"/>
        <v>8352.2522238791735</v>
      </c>
      <c r="H44" s="13">
        <f t="shared" si="30"/>
        <v>10823.328561768831</v>
      </c>
      <c r="I44" s="13">
        <f t="shared" si="31"/>
        <v>430950.20784539316</v>
      </c>
    </row>
    <row r="45" spans="1:9">
      <c r="A45" s="5">
        <v>39</v>
      </c>
      <c r="B45" s="10">
        <f t="shared" si="26"/>
        <v>46692.0625</v>
      </c>
      <c r="C45" s="13">
        <f t="shared" si="27"/>
        <v>430950.20784539316</v>
      </c>
      <c r="D45" s="11">
        <f t="shared" si="3"/>
        <v>10823.328561768831</v>
      </c>
      <c r="E45" s="12">
        <f t="shared" si="32"/>
        <v>6.7500000000000004E-2</v>
      </c>
      <c r="F45" s="13">
        <f t="shared" si="28"/>
        <v>2424.0949191303366</v>
      </c>
      <c r="G45" s="13">
        <f t="shared" si="29"/>
        <v>8399.2336426384936</v>
      </c>
      <c r="H45" s="13">
        <f t="shared" si="30"/>
        <v>10823.328561768831</v>
      </c>
      <c r="I45" s="13">
        <f t="shared" si="31"/>
        <v>422550.97420275467</v>
      </c>
    </row>
    <row r="46" spans="1:9">
      <c r="A46" s="5">
        <v>40</v>
      </c>
      <c r="B46" s="10">
        <f t="shared" si="26"/>
        <v>46722.5</v>
      </c>
      <c r="C46" s="13">
        <f t="shared" si="27"/>
        <v>422550.97420275467</v>
      </c>
      <c r="D46" s="11">
        <f t="shared" si="3"/>
        <v>10823.328561768831</v>
      </c>
      <c r="E46" s="12">
        <f t="shared" si="32"/>
        <v>6.7500000000000004E-2</v>
      </c>
      <c r="F46" s="13">
        <f t="shared" si="28"/>
        <v>2376.8492298904953</v>
      </c>
      <c r="G46" s="13">
        <f t="shared" si="29"/>
        <v>8446.4793318783359</v>
      </c>
      <c r="H46" s="13">
        <f t="shared" si="30"/>
        <v>10823.328561768831</v>
      </c>
      <c r="I46" s="13">
        <f t="shared" si="31"/>
        <v>414104.49487087631</v>
      </c>
    </row>
    <row r="47" spans="1:9">
      <c r="A47" s="5">
        <v>41</v>
      </c>
      <c r="B47" s="10">
        <f t="shared" si="26"/>
        <v>46752.9375</v>
      </c>
      <c r="C47" s="13">
        <f t="shared" si="27"/>
        <v>414104.49487087631</v>
      </c>
      <c r="D47" s="11">
        <f t="shared" si="3"/>
        <v>10823.328561768831</v>
      </c>
      <c r="E47" s="12">
        <f t="shared" si="32"/>
        <v>6.7500000000000004E-2</v>
      </c>
      <c r="F47" s="13">
        <f t="shared" si="28"/>
        <v>2329.3377836486793</v>
      </c>
      <c r="G47" s="13">
        <f t="shared" si="29"/>
        <v>8493.9907781201509</v>
      </c>
      <c r="H47" s="13">
        <f t="shared" si="30"/>
        <v>10823.328561768831</v>
      </c>
      <c r="I47" s="13">
        <f t="shared" si="31"/>
        <v>405610.50409275613</v>
      </c>
    </row>
    <row r="48" spans="1:9">
      <c r="A48" s="5">
        <v>42</v>
      </c>
      <c r="B48" s="10">
        <f t="shared" si="26"/>
        <v>46783.375</v>
      </c>
      <c r="C48" s="13">
        <f t="shared" si="27"/>
        <v>405610.50409275613</v>
      </c>
      <c r="D48" s="11">
        <f t="shared" si="3"/>
        <v>10823.328561768831</v>
      </c>
      <c r="E48" s="12">
        <f t="shared" si="32"/>
        <v>6.7500000000000004E-2</v>
      </c>
      <c r="F48" s="13">
        <f t="shared" si="28"/>
        <v>2281.5590855217533</v>
      </c>
      <c r="G48" s="13">
        <f t="shared" si="29"/>
        <v>8541.7694762470783</v>
      </c>
      <c r="H48" s="13">
        <f t="shared" si="30"/>
        <v>10823.328561768831</v>
      </c>
      <c r="I48" s="13">
        <f t="shared" si="31"/>
        <v>397068.73461650906</v>
      </c>
    </row>
    <row r="49" spans="1:9">
      <c r="A49" s="5">
        <v>43</v>
      </c>
      <c r="B49" s="10">
        <f t="shared" si="26"/>
        <v>46813.8125</v>
      </c>
      <c r="C49" s="13">
        <f t="shared" si="27"/>
        <v>397068.73461650906</v>
      </c>
      <c r="D49" s="11">
        <f t="shared" si="3"/>
        <v>10823.328561768831</v>
      </c>
      <c r="E49" s="12">
        <f t="shared" si="32"/>
        <v>6.7500000000000004E-2</v>
      </c>
      <c r="F49" s="13">
        <f t="shared" si="28"/>
        <v>2233.5116322178637</v>
      </c>
      <c r="G49" s="13">
        <f t="shared" si="29"/>
        <v>8589.816929550967</v>
      </c>
      <c r="H49" s="13">
        <f t="shared" si="30"/>
        <v>10823.328561768831</v>
      </c>
      <c r="I49" s="13">
        <f t="shared" si="31"/>
        <v>388478.9176869581</v>
      </c>
    </row>
    <row r="50" spans="1:9">
      <c r="A50" s="5">
        <v>44</v>
      </c>
      <c r="B50" s="10">
        <f t="shared" si="26"/>
        <v>46844.25</v>
      </c>
      <c r="C50" s="13">
        <f t="shared" si="27"/>
        <v>388478.9176869581</v>
      </c>
      <c r="D50" s="11">
        <f t="shared" si="3"/>
        <v>10823.328561768831</v>
      </c>
      <c r="E50" s="12">
        <f t="shared" si="32"/>
        <v>6.7500000000000004E-2</v>
      </c>
      <c r="F50" s="13">
        <f t="shared" si="28"/>
        <v>2185.1939119891395</v>
      </c>
      <c r="G50" s="13">
        <f t="shared" si="29"/>
        <v>8638.1346497796912</v>
      </c>
      <c r="H50" s="13">
        <f t="shared" si="30"/>
        <v>10823.328561768831</v>
      </c>
      <c r="I50" s="13">
        <f t="shared" si="31"/>
        <v>379840.78303717839</v>
      </c>
    </row>
    <row r="51" spans="1:9">
      <c r="A51" s="5">
        <v>45</v>
      </c>
      <c r="B51" s="10">
        <f t="shared" si="26"/>
        <v>46874.6875</v>
      </c>
      <c r="C51" s="13">
        <f t="shared" si="27"/>
        <v>379840.78303717839</v>
      </c>
      <c r="D51" s="11">
        <f t="shared" si="3"/>
        <v>10823.328561768831</v>
      </c>
      <c r="E51" s="12">
        <f t="shared" si="32"/>
        <v>6.7500000000000004E-2</v>
      </c>
      <c r="F51" s="13">
        <f t="shared" si="28"/>
        <v>2136.6044045841286</v>
      </c>
      <c r="G51" s="13">
        <f t="shared" si="29"/>
        <v>8686.7241571847026</v>
      </c>
      <c r="H51" s="13">
        <f t="shared" si="30"/>
        <v>10823.328561768831</v>
      </c>
      <c r="I51" s="13">
        <f t="shared" si="31"/>
        <v>371154.05887999368</v>
      </c>
    </row>
    <row r="52" spans="1:9">
      <c r="A52" s="5">
        <v>46</v>
      </c>
      <c r="B52" s="10">
        <f t="shared" si="26"/>
        <v>46905.125</v>
      </c>
      <c r="C52" s="13">
        <f t="shared" si="27"/>
        <v>371154.05887999368</v>
      </c>
      <c r="D52" s="11">
        <f t="shared" si="3"/>
        <v>10823.328561768831</v>
      </c>
      <c r="E52" s="12">
        <f t="shared" si="32"/>
        <v>6.7500000000000004E-2</v>
      </c>
      <c r="F52" s="13">
        <f t="shared" si="28"/>
        <v>2087.7415811999645</v>
      </c>
      <c r="G52" s="13">
        <f t="shared" si="29"/>
        <v>8735.5869805688671</v>
      </c>
      <c r="H52" s="13">
        <f t="shared" si="30"/>
        <v>10823.328561768831</v>
      </c>
      <c r="I52" s="13">
        <f t="shared" si="31"/>
        <v>362418.4718994248</v>
      </c>
    </row>
    <row r="53" spans="1:9">
      <c r="A53" s="5">
        <v>47</v>
      </c>
      <c r="B53" s="10">
        <f t="shared" si="26"/>
        <v>46935.5625</v>
      </c>
      <c r="C53" s="13">
        <f t="shared" si="27"/>
        <v>362418.4718994248</v>
      </c>
      <c r="D53" s="11">
        <f t="shared" si="3"/>
        <v>10823.328561768831</v>
      </c>
      <c r="E53" s="12">
        <f t="shared" si="32"/>
        <v>6.7500000000000004E-2</v>
      </c>
      <c r="F53" s="13">
        <f t="shared" si="28"/>
        <v>2038.6039044342645</v>
      </c>
      <c r="G53" s="13">
        <f t="shared" si="29"/>
        <v>8784.7246573345656</v>
      </c>
      <c r="H53" s="13">
        <f t="shared" si="30"/>
        <v>10823.328561768831</v>
      </c>
      <c r="I53" s="13">
        <f t="shared" si="31"/>
        <v>353633.74724209023</v>
      </c>
    </row>
    <row r="54" spans="1:9">
      <c r="A54" s="5">
        <v>48</v>
      </c>
      <c r="B54" s="10">
        <f t="shared" si="26"/>
        <v>46966</v>
      </c>
      <c r="C54" s="13">
        <f t="shared" si="27"/>
        <v>353633.74724209023</v>
      </c>
      <c r="D54" s="11">
        <f t="shared" si="3"/>
        <v>10823.328561768831</v>
      </c>
      <c r="E54" s="12">
        <f t="shared" si="32"/>
        <v>6.7500000000000004E-2</v>
      </c>
      <c r="F54" s="13">
        <f t="shared" si="28"/>
        <v>1989.1898282367576</v>
      </c>
      <c r="G54" s="13">
        <f t="shared" si="29"/>
        <v>8834.1387335320724</v>
      </c>
      <c r="H54" s="13">
        <f t="shared" si="30"/>
        <v>10823.328561768831</v>
      </c>
      <c r="I54" s="13">
        <f t="shared" si="31"/>
        <v>344799.60850855819</v>
      </c>
    </row>
    <row r="55" spans="1:9">
      <c r="A55">
        <v>49</v>
      </c>
      <c r="B55" s="6">
        <f t="shared" si="26"/>
        <v>46996.4375</v>
      </c>
      <c r="C55" s="8">
        <f t="shared" si="27"/>
        <v>344799.60850855819</v>
      </c>
      <c r="D55" s="7">
        <f t="shared" si="3"/>
        <v>10823.328561768831</v>
      </c>
      <c r="E55" s="9">
        <f>6.75%-0.15%</f>
        <v>6.6000000000000003E-2</v>
      </c>
      <c r="F55" s="8">
        <f t="shared" si="28"/>
        <v>1896.3978467970701</v>
      </c>
      <c r="G55" s="8">
        <f t="shared" si="29"/>
        <v>8926.9307149717606</v>
      </c>
      <c r="H55" s="8">
        <f t="shared" si="30"/>
        <v>10823.328561768831</v>
      </c>
      <c r="I55" s="8">
        <f t="shared" si="31"/>
        <v>335872.67779358645</v>
      </c>
    </row>
    <row r="56" spans="1:9">
      <c r="A56">
        <v>50</v>
      </c>
      <c r="B56" s="6">
        <f t="shared" si="26"/>
        <v>47026.875</v>
      </c>
      <c r="C56" s="8">
        <f t="shared" si="27"/>
        <v>335872.67779358645</v>
      </c>
      <c r="D56" s="7">
        <f t="shared" si="3"/>
        <v>10823.328561768831</v>
      </c>
      <c r="E56" s="9">
        <f t="shared" si="32"/>
        <v>6.6000000000000003E-2</v>
      </c>
      <c r="F56" s="8">
        <f t="shared" si="28"/>
        <v>1847.2997278647256</v>
      </c>
      <c r="G56" s="8">
        <f t="shared" si="29"/>
        <v>8976.0288339041053</v>
      </c>
      <c r="H56" s="8">
        <f t="shared" si="30"/>
        <v>10823.328561768831</v>
      </c>
      <c r="I56" s="8">
        <f t="shared" si="31"/>
        <v>326896.64895968232</v>
      </c>
    </row>
    <row r="57" spans="1:9">
      <c r="A57">
        <v>51</v>
      </c>
      <c r="B57" s="6">
        <f t="shared" ref="B57:B70" si="33">B56+(365.25/12)</f>
        <v>47057.3125</v>
      </c>
      <c r="C57" s="8">
        <f t="shared" ref="C57:C70" si="34">I56</f>
        <v>326896.64895968232</v>
      </c>
      <c r="D57" s="7">
        <f t="shared" si="3"/>
        <v>10823.328561768831</v>
      </c>
      <c r="E57" s="9">
        <f t="shared" ref="E57:E70" si="35">E56</f>
        <v>6.6000000000000003E-2</v>
      </c>
      <c r="F57" s="8">
        <f t="shared" ref="F57:F70" si="36">C57*E57/12</f>
        <v>1797.9315692782529</v>
      </c>
      <c r="G57" s="8">
        <f t="shared" ref="G57:G70" si="37">D57-F57</f>
        <v>9025.3969924905778</v>
      </c>
      <c r="H57" s="8">
        <f t="shared" ref="H57:H70" si="38">F57+G57</f>
        <v>10823.328561768831</v>
      </c>
      <c r="I57" s="8">
        <f t="shared" ref="I57:I70" si="39">C57-G57</f>
        <v>317871.25196719175</v>
      </c>
    </row>
    <row r="58" spans="1:9">
      <c r="A58">
        <v>52</v>
      </c>
      <c r="B58" s="6">
        <f t="shared" si="33"/>
        <v>47087.75</v>
      </c>
      <c r="C58" s="8">
        <f t="shared" si="34"/>
        <v>317871.25196719175</v>
      </c>
      <c r="D58" s="7">
        <f t="shared" si="3"/>
        <v>10823.328561768831</v>
      </c>
      <c r="E58" s="9">
        <f t="shared" si="35"/>
        <v>6.6000000000000003E-2</v>
      </c>
      <c r="F58" s="8">
        <f t="shared" si="36"/>
        <v>1748.2918858195546</v>
      </c>
      <c r="G58" s="8">
        <f t="shared" si="37"/>
        <v>9075.0366759492754</v>
      </c>
      <c r="H58" s="8">
        <f t="shared" si="38"/>
        <v>10823.328561768831</v>
      </c>
      <c r="I58" s="8">
        <f t="shared" si="39"/>
        <v>308796.21529124246</v>
      </c>
    </row>
    <row r="59" spans="1:9">
      <c r="A59">
        <v>53</v>
      </c>
      <c r="B59" s="6">
        <f t="shared" si="33"/>
        <v>47118.1875</v>
      </c>
      <c r="C59" s="8">
        <f t="shared" si="34"/>
        <v>308796.21529124246</v>
      </c>
      <c r="D59" s="7">
        <f t="shared" si="3"/>
        <v>10823.328561768831</v>
      </c>
      <c r="E59" s="9">
        <f t="shared" si="35"/>
        <v>6.6000000000000003E-2</v>
      </c>
      <c r="F59" s="8">
        <f t="shared" si="36"/>
        <v>1698.3791841018337</v>
      </c>
      <c r="G59" s="8">
        <f t="shared" si="37"/>
        <v>9124.949377666997</v>
      </c>
      <c r="H59" s="8">
        <f t="shared" si="38"/>
        <v>10823.328561768831</v>
      </c>
      <c r="I59" s="8">
        <f t="shared" si="39"/>
        <v>299671.26591357548</v>
      </c>
    </row>
    <row r="60" spans="1:9">
      <c r="A60">
        <v>54</v>
      </c>
      <c r="B60" s="6">
        <f t="shared" si="33"/>
        <v>47148.625</v>
      </c>
      <c r="C60" s="8">
        <f t="shared" si="34"/>
        <v>299671.26591357548</v>
      </c>
      <c r="D60" s="7">
        <f t="shared" si="3"/>
        <v>10823.328561768831</v>
      </c>
      <c r="E60" s="9">
        <f t="shared" si="35"/>
        <v>6.6000000000000003E-2</v>
      </c>
      <c r="F60" s="8">
        <f t="shared" si="36"/>
        <v>1648.1919625246653</v>
      </c>
      <c r="G60" s="8">
        <f t="shared" si="37"/>
        <v>9175.1365992441661</v>
      </c>
      <c r="H60" s="8">
        <f t="shared" si="38"/>
        <v>10823.328561768831</v>
      </c>
      <c r="I60" s="8">
        <f t="shared" si="39"/>
        <v>290496.12931433134</v>
      </c>
    </row>
    <row r="61" spans="1:9">
      <c r="A61">
        <v>55</v>
      </c>
      <c r="B61" s="6">
        <f t="shared" si="33"/>
        <v>47179.0625</v>
      </c>
      <c r="C61" s="8">
        <f t="shared" si="34"/>
        <v>290496.12931433134</v>
      </c>
      <c r="D61" s="7">
        <f t="shared" si="3"/>
        <v>10823.328561768831</v>
      </c>
      <c r="E61" s="9">
        <f t="shared" si="35"/>
        <v>6.6000000000000003E-2</v>
      </c>
      <c r="F61" s="8">
        <f t="shared" si="36"/>
        <v>1597.7287112288225</v>
      </c>
      <c r="G61" s="8">
        <f t="shared" si="37"/>
        <v>9225.5998505400075</v>
      </c>
      <c r="H61" s="8">
        <f t="shared" si="38"/>
        <v>10823.328561768831</v>
      </c>
      <c r="I61" s="8">
        <f t="shared" si="39"/>
        <v>281270.52946379135</v>
      </c>
    </row>
    <row r="62" spans="1:9">
      <c r="A62">
        <v>56</v>
      </c>
      <c r="B62" s="6">
        <f t="shared" si="33"/>
        <v>47209.5</v>
      </c>
      <c r="C62" s="8">
        <f t="shared" si="34"/>
        <v>281270.52946379135</v>
      </c>
      <c r="D62" s="7">
        <f t="shared" si="3"/>
        <v>10823.328561768831</v>
      </c>
      <c r="E62" s="9">
        <f t="shared" si="35"/>
        <v>6.6000000000000003E-2</v>
      </c>
      <c r="F62" s="8">
        <f t="shared" si="36"/>
        <v>1546.9879120508524</v>
      </c>
      <c r="G62" s="8">
        <f t="shared" si="37"/>
        <v>9276.3406497179785</v>
      </c>
      <c r="H62" s="8">
        <f t="shared" si="38"/>
        <v>10823.328561768831</v>
      </c>
      <c r="I62" s="8">
        <f t="shared" si="39"/>
        <v>271994.18881407339</v>
      </c>
    </row>
    <row r="63" spans="1:9">
      <c r="A63">
        <v>57</v>
      </c>
      <c r="B63" s="6">
        <f t="shared" si="33"/>
        <v>47239.9375</v>
      </c>
      <c r="C63" s="8">
        <f t="shared" si="34"/>
        <v>271994.18881407339</v>
      </c>
      <c r="D63" s="7">
        <f t="shared" si="3"/>
        <v>10823.328561768831</v>
      </c>
      <c r="E63" s="9">
        <f t="shared" si="35"/>
        <v>6.6000000000000003E-2</v>
      </c>
      <c r="F63" s="8">
        <f t="shared" si="36"/>
        <v>1495.9680384774038</v>
      </c>
      <c r="G63" s="8">
        <f t="shared" si="37"/>
        <v>9327.3605232914269</v>
      </c>
      <c r="H63" s="8">
        <f t="shared" si="38"/>
        <v>10823.328561768831</v>
      </c>
      <c r="I63" s="8">
        <f t="shared" si="39"/>
        <v>262666.82829078194</v>
      </c>
    </row>
    <row r="64" spans="1:9">
      <c r="A64">
        <v>58</v>
      </c>
      <c r="B64" s="6">
        <f t="shared" si="33"/>
        <v>47270.375</v>
      </c>
      <c r="C64" s="8">
        <f t="shared" si="34"/>
        <v>262666.82829078194</v>
      </c>
      <c r="D64" s="7">
        <f t="shared" si="3"/>
        <v>10823.328561768831</v>
      </c>
      <c r="E64" s="9">
        <f t="shared" si="35"/>
        <v>6.6000000000000003E-2</v>
      </c>
      <c r="F64" s="8">
        <f t="shared" si="36"/>
        <v>1444.6675555993006</v>
      </c>
      <c r="G64" s="8">
        <f t="shared" si="37"/>
        <v>9378.6610061695301</v>
      </c>
      <c r="H64" s="8">
        <f t="shared" si="38"/>
        <v>10823.328561768831</v>
      </c>
      <c r="I64" s="8">
        <f t="shared" si="39"/>
        <v>253288.1672846124</v>
      </c>
    </row>
    <row r="65" spans="1:9">
      <c r="A65">
        <v>59</v>
      </c>
      <c r="B65" s="6">
        <f t="shared" si="33"/>
        <v>47300.8125</v>
      </c>
      <c r="C65" s="8">
        <f t="shared" si="34"/>
        <v>253288.1672846124</v>
      </c>
      <c r="D65" s="7">
        <f t="shared" si="3"/>
        <v>10823.328561768831</v>
      </c>
      <c r="E65" s="9">
        <f t="shared" si="35"/>
        <v>6.6000000000000003E-2</v>
      </c>
      <c r="F65" s="8">
        <f t="shared" si="36"/>
        <v>1393.0849200653684</v>
      </c>
      <c r="G65" s="8">
        <f t="shared" si="37"/>
        <v>9430.2436417034623</v>
      </c>
      <c r="H65" s="8">
        <f t="shared" si="38"/>
        <v>10823.328561768831</v>
      </c>
      <c r="I65" s="8">
        <f t="shared" si="39"/>
        <v>243857.92364290892</v>
      </c>
    </row>
    <row r="66" spans="1:9">
      <c r="A66">
        <v>60</v>
      </c>
      <c r="B66" s="6">
        <f t="shared" si="33"/>
        <v>47331.25</v>
      </c>
      <c r="C66" s="8">
        <f t="shared" si="34"/>
        <v>243857.92364290892</v>
      </c>
      <c r="D66" s="7">
        <f t="shared" si="3"/>
        <v>10823.328561768831</v>
      </c>
      <c r="E66" s="9">
        <f t="shared" si="35"/>
        <v>6.6000000000000003E-2</v>
      </c>
      <c r="F66" s="8">
        <f t="shared" si="36"/>
        <v>1341.2185800359991</v>
      </c>
      <c r="G66" s="8">
        <f t="shared" si="37"/>
        <v>9482.1099817328322</v>
      </c>
      <c r="H66" s="8">
        <f t="shared" si="38"/>
        <v>10823.328561768831</v>
      </c>
      <c r="I66" s="8">
        <f t="shared" si="39"/>
        <v>234375.8136611761</v>
      </c>
    </row>
    <row r="67" spans="1:9">
      <c r="A67" s="5">
        <v>61</v>
      </c>
      <c r="B67" s="10">
        <f t="shared" ref="B67:B90" si="40">B66+(365.25/12)</f>
        <v>47361.6875</v>
      </c>
      <c r="C67" s="13">
        <f t="shared" ref="C67:C90" si="41">I66</f>
        <v>234375.8136611761</v>
      </c>
      <c r="D67" s="11">
        <f t="shared" si="3"/>
        <v>10823.328561768831</v>
      </c>
      <c r="E67" s="12">
        <f t="shared" ref="E67:E90" si="42">E66</f>
        <v>6.6000000000000003E-2</v>
      </c>
      <c r="F67" s="13">
        <f t="shared" ref="F67:F90" si="43">C67*E67/12</f>
        <v>1289.0669751364687</v>
      </c>
      <c r="G67" s="13">
        <f t="shared" ref="G67:G90" si="44">D67-F67</f>
        <v>9534.2615866323613</v>
      </c>
      <c r="H67" s="13">
        <f t="shared" ref="H67:H90" si="45">F67+G67</f>
        <v>10823.328561768831</v>
      </c>
      <c r="I67" s="13">
        <f t="shared" ref="I67:I90" si="46">C67-G67</f>
        <v>224841.55207454372</v>
      </c>
    </row>
    <row r="68" spans="1:9">
      <c r="A68" s="5">
        <v>62</v>
      </c>
      <c r="B68" s="10">
        <f t="shared" si="40"/>
        <v>47392.125</v>
      </c>
      <c r="C68" s="13">
        <f t="shared" si="41"/>
        <v>224841.55207454372</v>
      </c>
      <c r="D68" s="11">
        <f t="shared" si="3"/>
        <v>10823.328561768831</v>
      </c>
      <c r="E68" s="12">
        <f t="shared" si="42"/>
        <v>6.6000000000000003E-2</v>
      </c>
      <c r="F68" s="13">
        <f t="shared" si="43"/>
        <v>1236.6285364099906</v>
      </c>
      <c r="G68" s="13">
        <f t="shared" si="44"/>
        <v>9586.7000253588394</v>
      </c>
      <c r="H68" s="13">
        <f t="shared" si="45"/>
        <v>10823.328561768831</v>
      </c>
      <c r="I68" s="13">
        <f t="shared" si="46"/>
        <v>215254.85204918488</v>
      </c>
    </row>
    <row r="69" spans="1:9">
      <c r="A69" s="5">
        <v>63</v>
      </c>
      <c r="B69" s="10">
        <f t="shared" si="40"/>
        <v>47422.5625</v>
      </c>
      <c r="C69" s="13">
        <f t="shared" si="41"/>
        <v>215254.85204918488</v>
      </c>
      <c r="D69" s="11">
        <f t="shared" si="3"/>
        <v>10823.328561768831</v>
      </c>
      <c r="E69" s="12">
        <f t="shared" si="42"/>
        <v>6.6000000000000003E-2</v>
      </c>
      <c r="F69" s="13">
        <f t="shared" si="43"/>
        <v>1183.9016862705168</v>
      </c>
      <c r="G69" s="13">
        <f t="shared" si="44"/>
        <v>9639.4268754983132</v>
      </c>
      <c r="H69" s="13">
        <f t="shared" si="45"/>
        <v>10823.328561768831</v>
      </c>
      <c r="I69" s="13">
        <f t="shared" si="46"/>
        <v>205615.42517368656</v>
      </c>
    </row>
    <row r="70" spans="1:9">
      <c r="A70" s="5">
        <v>64</v>
      </c>
      <c r="B70" s="10">
        <f t="shared" si="40"/>
        <v>47453</v>
      </c>
      <c r="C70" s="13">
        <f t="shared" si="41"/>
        <v>205615.42517368656</v>
      </c>
      <c r="D70" s="11">
        <f t="shared" si="3"/>
        <v>10823.328561768831</v>
      </c>
      <c r="E70" s="12">
        <f t="shared" si="42"/>
        <v>6.6000000000000003E-2</v>
      </c>
      <c r="F70" s="13">
        <f t="shared" si="43"/>
        <v>1130.8848384552762</v>
      </c>
      <c r="G70" s="13">
        <f t="shared" si="44"/>
        <v>9692.4437233135541</v>
      </c>
      <c r="H70" s="13">
        <f t="shared" si="45"/>
        <v>10823.328561768831</v>
      </c>
      <c r="I70" s="13">
        <f t="shared" si="46"/>
        <v>195922.98145037302</v>
      </c>
    </row>
    <row r="71" spans="1:9">
      <c r="A71" s="5">
        <v>65</v>
      </c>
      <c r="B71" s="10">
        <f t="shared" si="40"/>
        <v>47483.4375</v>
      </c>
      <c r="C71" s="13">
        <f t="shared" si="41"/>
        <v>195922.98145037302</v>
      </c>
      <c r="D71" s="11">
        <f t="shared" si="3"/>
        <v>10823.328561768831</v>
      </c>
      <c r="E71" s="12">
        <f t="shared" si="42"/>
        <v>6.6000000000000003E-2</v>
      </c>
      <c r="F71" s="13">
        <f t="shared" si="43"/>
        <v>1077.5763979770516</v>
      </c>
      <c r="G71" s="13">
        <f t="shared" si="44"/>
        <v>9745.7521637917798</v>
      </c>
      <c r="H71" s="13">
        <f t="shared" si="45"/>
        <v>10823.328561768831</v>
      </c>
      <c r="I71" s="13">
        <f t="shared" si="46"/>
        <v>186177.22928658125</v>
      </c>
    </row>
    <row r="72" spans="1:9">
      <c r="A72" s="5">
        <v>66</v>
      </c>
      <c r="B72" s="10">
        <f t="shared" si="40"/>
        <v>47513.875</v>
      </c>
      <c r="C72" s="13">
        <f t="shared" si="41"/>
        <v>186177.22928658125</v>
      </c>
      <c r="D72" s="11">
        <f t="shared" si="3"/>
        <v>10823.328561768831</v>
      </c>
      <c r="E72" s="12">
        <f t="shared" si="42"/>
        <v>6.6000000000000003E-2</v>
      </c>
      <c r="F72" s="13">
        <f t="shared" si="43"/>
        <v>1023.974761076197</v>
      </c>
      <c r="G72" s="13">
        <f t="shared" si="44"/>
        <v>9799.3538006926337</v>
      </c>
      <c r="H72" s="13">
        <f t="shared" si="45"/>
        <v>10823.328561768831</v>
      </c>
      <c r="I72" s="13">
        <f t="shared" si="46"/>
        <v>176377.87548588862</v>
      </c>
    </row>
    <row r="73" spans="1:9">
      <c r="A73" s="5">
        <v>67</v>
      </c>
      <c r="B73" s="10">
        <f t="shared" si="40"/>
        <v>47544.3125</v>
      </c>
      <c r="C73" s="13">
        <f t="shared" si="41"/>
        <v>176377.87548588862</v>
      </c>
      <c r="D73" s="11">
        <f t="shared" ref="D73:D90" si="47">$D$3</f>
        <v>10823.328561768831</v>
      </c>
      <c r="E73" s="12">
        <f t="shared" si="42"/>
        <v>6.6000000000000003E-2</v>
      </c>
      <c r="F73" s="13">
        <f t="shared" si="43"/>
        <v>970.07831517238753</v>
      </c>
      <c r="G73" s="13">
        <f t="shared" si="44"/>
        <v>9853.2502465964426</v>
      </c>
      <c r="H73" s="13">
        <f t="shared" si="45"/>
        <v>10823.328561768831</v>
      </c>
      <c r="I73" s="13">
        <f t="shared" si="46"/>
        <v>166524.62523929219</v>
      </c>
    </row>
    <row r="74" spans="1:9">
      <c r="A74" s="5">
        <v>68</v>
      </c>
      <c r="B74" s="10">
        <f t="shared" si="40"/>
        <v>47574.75</v>
      </c>
      <c r="C74" s="13">
        <f t="shared" si="41"/>
        <v>166524.62523929219</v>
      </c>
      <c r="D74" s="11">
        <f t="shared" si="47"/>
        <v>10823.328561768831</v>
      </c>
      <c r="E74" s="12">
        <f t="shared" si="42"/>
        <v>6.6000000000000003E-2</v>
      </c>
      <c r="F74" s="13">
        <f t="shared" si="43"/>
        <v>915.88543881610713</v>
      </c>
      <c r="G74" s="13">
        <f t="shared" si="44"/>
        <v>9907.4431229527236</v>
      </c>
      <c r="H74" s="13">
        <f t="shared" si="45"/>
        <v>10823.328561768831</v>
      </c>
      <c r="I74" s="13">
        <f t="shared" si="46"/>
        <v>156617.18211633948</v>
      </c>
    </row>
    <row r="75" spans="1:9">
      <c r="A75" s="5">
        <v>69</v>
      </c>
      <c r="B75" s="10">
        <f t="shared" si="40"/>
        <v>47605.1875</v>
      </c>
      <c r="C75" s="13">
        <f t="shared" si="41"/>
        <v>156617.18211633948</v>
      </c>
      <c r="D75" s="11">
        <f t="shared" si="47"/>
        <v>10823.328561768831</v>
      </c>
      <c r="E75" s="12">
        <f t="shared" si="42"/>
        <v>6.6000000000000003E-2</v>
      </c>
      <c r="F75" s="13">
        <f t="shared" si="43"/>
        <v>861.39450163986714</v>
      </c>
      <c r="G75" s="13">
        <f t="shared" si="44"/>
        <v>9961.9340601289641</v>
      </c>
      <c r="H75" s="13">
        <f t="shared" si="45"/>
        <v>10823.328561768831</v>
      </c>
      <c r="I75" s="13">
        <f t="shared" si="46"/>
        <v>146655.24805621052</v>
      </c>
    </row>
    <row r="76" spans="1:9">
      <c r="A76" s="5">
        <v>70</v>
      </c>
      <c r="B76" s="10">
        <f t="shared" si="40"/>
        <v>47635.625</v>
      </c>
      <c r="C76" s="13">
        <f t="shared" si="41"/>
        <v>146655.24805621052</v>
      </c>
      <c r="D76" s="11">
        <f t="shared" si="47"/>
        <v>10823.328561768831</v>
      </c>
      <c r="E76" s="12">
        <f t="shared" si="42"/>
        <v>6.6000000000000003E-2</v>
      </c>
      <c r="F76" s="13">
        <f t="shared" si="43"/>
        <v>806.60386430915787</v>
      </c>
      <c r="G76" s="13">
        <f t="shared" si="44"/>
        <v>10016.724697459673</v>
      </c>
      <c r="H76" s="13">
        <f t="shared" si="45"/>
        <v>10823.328561768831</v>
      </c>
      <c r="I76" s="13">
        <f t="shared" si="46"/>
        <v>136638.52335875086</v>
      </c>
    </row>
    <row r="77" spans="1:9">
      <c r="A77" s="5">
        <v>71</v>
      </c>
      <c r="B77" s="10">
        <f t="shared" si="40"/>
        <v>47666.0625</v>
      </c>
      <c r="C77" s="13">
        <f t="shared" si="41"/>
        <v>136638.52335875086</v>
      </c>
      <c r="D77" s="11">
        <f t="shared" si="47"/>
        <v>10823.328561768831</v>
      </c>
      <c r="E77" s="12">
        <f t="shared" si="42"/>
        <v>6.6000000000000003E-2</v>
      </c>
      <c r="F77" s="13">
        <f t="shared" si="43"/>
        <v>751.51187847312974</v>
      </c>
      <c r="G77" s="13">
        <f t="shared" si="44"/>
        <v>10071.816683295701</v>
      </c>
      <c r="H77" s="13">
        <f t="shared" si="45"/>
        <v>10823.328561768831</v>
      </c>
      <c r="I77" s="13">
        <f t="shared" si="46"/>
        <v>126566.70667545515</v>
      </c>
    </row>
    <row r="78" spans="1:9">
      <c r="A78" s="5">
        <v>72</v>
      </c>
      <c r="B78" s="10">
        <f t="shared" si="40"/>
        <v>47696.5</v>
      </c>
      <c r="C78" s="13">
        <f t="shared" si="41"/>
        <v>126566.70667545515</v>
      </c>
      <c r="D78" s="11">
        <f t="shared" si="47"/>
        <v>10823.328561768831</v>
      </c>
      <c r="E78" s="12">
        <f t="shared" si="42"/>
        <v>6.6000000000000003E-2</v>
      </c>
      <c r="F78" s="13">
        <f t="shared" si="43"/>
        <v>696.11688671500326</v>
      </c>
      <c r="G78" s="13">
        <f t="shared" si="44"/>
        <v>10127.211675053828</v>
      </c>
      <c r="H78" s="13">
        <f t="shared" si="45"/>
        <v>10823.328561768831</v>
      </c>
      <c r="I78" s="13">
        <f t="shared" si="46"/>
        <v>116439.49500040132</v>
      </c>
    </row>
    <row r="79" spans="1:9">
      <c r="A79">
        <v>73</v>
      </c>
      <c r="B79" s="6">
        <f t="shared" si="40"/>
        <v>47726.9375</v>
      </c>
      <c r="C79" s="8">
        <f t="shared" si="41"/>
        <v>116439.49500040132</v>
      </c>
      <c r="D79" s="7">
        <f t="shared" ref="D79:D89" si="48">IF(D78&gt;C79,C79,$D$3)</f>
        <v>10823.328561768831</v>
      </c>
      <c r="E79" s="9">
        <f t="shared" si="42"/>
        <v>6.6000000000000003E-2</v>
      </c>
      <c r="F79" s="8">
        <f t="shared" si="43"/>
        <v>640.41722250220732</v>
      </c>
      <c r="G79" s="8">
        <f t="shared" si="44"/>
        <v>10182.911339266624</v>
      </c>
      <c r="H79" s="8">
        <f t="shared" si="45"/>
        <v>10823.328561768831</v>
      </c>
      <c r="I79" s="8">
        <f t="shared" ref="I79:I88" si="49">IF(H79&lt;H78,SUM(F79,G79),C79-G79)</f>
        <v>106256.5836611347</v>
      </c>
    </row>
    <row r="80" spans="1:9">
      <c r="A80">
        <v>74</v>
      </c>
      <c r="B80" s="6">
        <f t="shared" si="40"/>
        <v>47757.375</v>
      </c>
      <c r="C80" s="8">
        <f t="shared" si="41"/>
        <v>106256.5836611347</v>
      </c>
      <c r="D80" s="7">
        <f t="shared" si="48"/>
        <v>10823.328561768831</v>
      </c>
      <c r="E80" s="9">
        <f t="shared" si="42"/>
        <v>6.6000000000000003E-2</v>
      </c>
      <c r="F80" s="8">
        <f t="shared" si="43"/>
        <v>584.41121013624092</v>
      </c>
      <c r="G80" s="8">
        <f t="shared" si="44"/>
        <v>10238.91735163259</v>
      </c>
      <c r="H80" s="8">
        <f t="shared" si="45"/>
        <v>10823.328561768831</v>
      </c>
      <c r="I80" s="8">
        <f t="shared" si="49"/>
        <v>96017.666309502121</v>
      </c>
    </row>
    <row r="81" spans="1:9">
      <c r="A81">
        <v>75</v>
      </c>
      <c r="B81" s="6">
        <f t="shared" si="40"/>
        <v>47787.8125</v>
      </c>
      <c r="C81" s="8">
        <f t="shared" si="41"/>
        <v>96017.666309502121</v>
      </c>
      <c r="D81" s="7">
        <f t="shared" si="48"/>
        <v>10823.328561768831</v>
      </c>
      <c r="E81" s="9">
        <f t="shared" si="42"/>
        <v>6.6000000000000003E-2</v>
      </c>
      <c r="F81" s="8">
        <f t="shared" si="43"/>
        <v>528.09716470226169</v>
      </c>
      <c r="G81" s="8">
        <f t="shared" si="44"/>
        <v>10295.231397066569</v>
      </c>
      <c r="H81" s="8">
        <f t="shared" si="45"/>
        <v>10823.328561768831</v>
      </c>
      <c r="I81" s="8">
        <f t="shared" si="49"/>
        <v>85722.43491243555</v>
      </c>
    </row>
    <row r="82" spans="1:9">
      <c r="A82">
        <v>76</v>
      </c>
      <c r="B82" s="6">
        <f t="shared" si="40"/>
        <v>47818.25</v>
      </c>
      <c r="C82" s="8">
        <f t="shared" si="41"/>
        <v>85722.43491243555</v>
      </c>
      <c r="D82" s="7">
        <f t="shared" si="48"/>
        <v>10823.328561768831</v>
      </c>
      <c r="E82" s="9">
        <f t="shared" si="42"/>
        <v>6.6000000000000003E-2</v>
      </c>
      <c r="F82" s="8">
        <f t="shared" si="43"/>
        <v>471.47339201839554</v>
      </c>
      <c r="G82" s="8">
        <f t="shared" si="44"/>
        <v>10351.855169750435</v>
      </c>
      <c r="H82" s="8">
        <f t="shared" si="45"/>
        <v>10823.328561768831</v>
      </c>
      <c r="I82" s="8">
        <f t="shared" si="49"/>
        <v>75370.57974268512</v>
      </c>
    </row>
    <row r="83" spans="1:9">
      <c r="A83">
        <v>77</v>
      </c>
      <c r="B83" s="6">
        <f t="shared" si="40"/>
        <v>47848.6875</v>
      </c>
      <c r="C83" s="8">
        <f t="shared" si="41"/>
        <v>75370.57974268512</v>
      </c>
      <c r="D83" s="7">
        <f t="shared" si="48"/>
        <v>10823.328561768831</v>
      </c>
      <c r="E83" s="9">
        <f t="shared" si="42"/>
        <v>6.6000000000000003E-2</v>
      </c>
      <c r="F83" s="8">
        <f t="shared" si="43"/>
        <v>414.53818858476819</v>
      </c>
      <c r="G83" s="8">
        <f t="shared" si="44"/>
        <v>10408.790373184063</v>
      </c>
      <c r="H83" s="8">
        <f t="shared" si="45"/>
        <v>10823.328561768831</v>
      </c>
      <c r="I83" s="8">
        <f t="shared" si="49"/>
        <v>64961.789369501057</v>
      </c>
    </row>
    <row r="84" spans="1:9">
      <c r="A84">
        <v>78</v>
      </c>
      <c r="B84" s="6">
        <f t="shared" si="40"/>
        <v>47879.125</v>
      </c>
      <c r="C84" s="8">
        <f t="shared" si="41"/>
        <v>64961.789369501057</v>
      </c>
      <c r="D84" s="7">
        <f t="shared" si="48"/>
        <v>10823.328561768831</v>
      </c>
      <c r="E84" s="9">
        <f t="shared" si="42"/>
        <v>6.6000000000000003E-2</v>
      </c>
      <c r="F84" s="8">
        <f t="shared" si="43"/>
        <v>357.28984153225582</v>
      </c>
      <c r="G84" s="8">
        <f t="shared" si="44"/>
        <v>10466.038720236575</v>
      </c>
      <c r="H84" s="8">
        <f t="shared" si="45"/>
        <v>10823.328561768831</v>
      </c>
      <c r="I84" s="8">
        <f t="shared" si="49"/>
        <v>54495.750649264482</v>
      </c>
    </row>
    <row r="85" spans="1:9">
      <c r="A85">
        <v>79</v>
      </c>
      <c r="B85" s="6">
        <f t="shared" si="40"/>
        <v>47909.5625</v>
      </c>
      <c r="C85" s="8">
        <f t="shared" si="41"/>
        <v>54495.750649264482</v>
      </c>
      <c r="D85" s="7">
        <f t="shared" si="48"/>
        <v>10823.328561768831</v>
      </c>
      <c r="E85" s="9">
        <f t="shared" si="42"/>
        <v>6.6000000000000003E-2</v>
      </c>
      <c r="F85" s="8">
        <f t="shared" si="43"/>
        <v>299.72662857095469</v>
      </c>
      <c r="G85" s="8">
        <f t="shared" si="44"/>
        <v>10523.601933197877</v>
      </c>
      <c r="H85" s="8">
        <f t="shared" si="45"/>
        <v>10823.328561768831</v>
      </c>
      <c r="I85" s="8">
        <f t="shared" si="49"/>
        <v>43972.148716066607</v>
      </c>
    </row>
    <row r="86" spans="1:9">
      <c r="A86">
        <v>80</v>
      </c>
      <c r="B86" s="6">
        <f t="shared" si="40"/>
        <v>47940</v>
      </c>
      <c r="C86" s="8">
        <f t="shared" si="41"/>
        <v>43972.148716066607</v>
      </c>
      <c r="D86" s="7">
        <f t="shared" si="48"/>
        <v>10823.328561768831</v>
      </c>
      <c r="E86" s="9">
        <f t="shared" si="42"/>
        <v>6.6000000000000003E-2</v>
      </c>
      <c r="F86" s="8">
        <f t="shared" si="43"/>
        <v>241.84681793836637</v>
      </c>
      <c r="G86" s="8">
        <f t="shared" si="44"/>
        <v>10581.481743830464</v>
      </c>
      <c r="H86" s="8">
        <f t="shared" si="45"/>
        <v>10823.328561768831</v>
      </c>
      <c r="I86" s="8">
        <f t="shared" si="49"/>
        <v>33390.66697223614</v>
      </c>
    </row>
    <row r="87" spans="1:9">
      <c r="A87">
        <v>81</v>
      </c>
      <c r="B87" s="6">
        <f t="shared" si="40"/>
        <v>47970.4375</v>
      </c>
      <c r="C87" s="8">
        <f t="shared" si="41"/>
        <v>33390.66697223614</v>
      </c>
      <c r="D87" s="7">
        <f t="shared" si="48"/>
        <v>10823.328561768831</v>
      </c>
      <c r="E87" s="9">
        <f t="shared" si="42"/>
        <v>6.6000000000000003E-2</v>
      </c>
      <c r="F87" s="8">
        <f t="shared" si="43"/>
        <v>183.64866834729878</v>
      </c>
      <c r="G87" s="8">
        <f t="shared" si="44"/>
        <v>10639.679893421531</v>
      </c>
      <c r="H87" s="8">
        <f t="shared" si="45"/>
        <v>10823.328561768831</v>
      </c>
      <c r="I87" s="8">
        <f t="shared" si="49"/>
        <v>22750.987078814607</v>
      </c>
    </row>
    <row r="88" spans="1:9">
      <c r="A88">
        <v>82</v>
      </c>
      <c r="B88" s="6">
        <f t="shared" si="40"/>
        <v>48000.875</v>
      </c>
      <c r="C88" s="8">
        <f t="shared" si="41"/>
        <v>22750.987078814607</v>
      </c>
      <c r="D88" s="7">
        <f t="shared" si="48"/>
        <v>10823.328561768831</v>
      </c>
      <c r="E88" s="9">
        <f t="shared" si="42"/>
        <v>6.6000000000000003E-2</v>
      </c>
      <c r="F88" s="8">
        <f t="shared" si="43"/>
        <v>125.13042893348035</v>
      </c>
      <c r="G88" s="8">
        <f t="shared" si="44"/>
        <v>10698.19813283535</v>
      </c>
      <c r="H88" s="8">
        <f t="shared" si="45"/>
        <v>10823.328561768831</v>
      </c>
      <c r="I88" s="8">
        <f t="shared" si="49"/>
        <v>12052.788945979257</v>
      </c>
    </row>
    <row r="89" spans="1:9">
      <c r="A89">
        <v>83</v>
      </c>
      <c r="B89" s="6">
        <f t="shared" si="40"/>
        <v>48031.3125</v>
      </c>
      <c r="C89" s="8">
        <f t="shared" si="41"/>
        <v>12052.788945979257</v>
      </c>
      <c r="D89" s="7">
        <f t="shared" si="48"/>
        <v>10823.328561768831</v>
      </c>
      <c r="E89" s="9">
        <f t="shared" si="42"/>
        <v>6.6000000000000003E-2</v>
      </c>
      <c r="F89" s="8">
        <f t="shared" si="43"/>
        <v>66.290339202885917</v>
      </c>
      <c r="G89" s="8">
        <f t="shared" si="44"/>
        <v>10757.038222565945</v>
      </c>
      <c r="H89" s="8">
        <f t="shared" si="45"/>
        <v>10823.328561768831</v>
      </c>
      <c r="I89" s="8">
        <f>IF(H89&lt;H88,SUM(F89,G89),C89-G89)</f>
        <v>1295.7507234133118</v>
      </c>
    </row>
    <row r="90" spans="1:9">
      <c r="A90">
        <v>84</v>
      </c>
      <c r="B90" s="6">
        <f t="shared" si="40"/>
        <v>48061.75</v>
      </c>
      <c r="C90" s="8">
        <f t="shared" si="41"/>
        <v>1295.7507234133118</v>
      </c>
      <c r="D90" s="7">
        <f>IF(D89&gt;C90,C90,$D$3)</f>
        <v>1295.7507234133118</v>
      </c>
      <c r="E90" s="9">
        <f t="shared" si="42"/>
        <v>6.6000000000000003E-2</v>
      </c>
      <c r="F90" s="8">
        <f t="shared" si="43"/>
        <v>7.1266289787732156</v>
      </c>
      <c r="G90" s="8">
        <f t="shared" si="44"/>
        <v>1288.6240944345386</v>
      </c>
      <c r="H90" s="8">
        <f t="shared" si="45"/>
        <v>1295.7507234133118</v>
      </c>
      <c r="I90" s="8">
        <f>IF(H90=H89,SUM(F90,G90),C90-H90)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01802-E9A0-45AD-9FCD-52546B5B86A0}">
  <dimension ref="A1:I90"/>
  <sheetViews>
    <sheetView workbookViewId="0">
      <selection activeCell="B1" sqref="B1"/>
    </sheetView>
  </sheetViews>
  <sheetFormatPr defaultRowHeight="15"/>
  <cols>
    <col min="1" max="1" width="13" customWidth="1"/>
    <col min="2" max="2" width="12.85546875" bestFit="1" customWidth="1"/>
    <col min="3" max="3" width="20" customWidth="1"/>
    <col min="4" max="5" width="11.5703125" customWidth="1"/>
    <col min="6" max="6" width="11.28515625" customWidth="1"/>
    <col min="7" max="9" width="16.7109375" customWidth="1"/>
  </cols>
  <sheetData>
    <row r="1" spans="1:9">
      <c r="A1" s="5" t="s">
        <v>23</v>
      </c>
      <c r="B1" s="4">
        <f>(950000*75%)</f>
        <v>712500</v>
      </c>
      <c r="C1" s="5" t="s">
        <v>24</v>
      </c>
      <c r="D1">
        <f>B2</f>
        <v>84</v>
      </c>
      <c r="F1" s="15" t="s">
        <v>36</v>
      </c>
      <c r="G1" s="8">
        <f>SUM(H7:H99)</f>
        <v>899632.02135022706</v>
      </c>
    </row>
    <row r="2" spans="1:9">
      <c r="A2" s="5" t="s">
        <v>25</v>
      </c>
      <c r="B2">
        <f>7*12</f>
        <v>84</v>
      </c>
      <c r="C2" s="5" t="s">
        <v>26</v>
      </c>
      <c r="D2" s="3">
        <f>B3/12</f>
        <v>5.9999999999999993E-3</v>
      </c>
      <c r="E2" s="3"/>
      <c r="F2" s="15" t="s">
        <v>37</v>
      </c>
      <c r="G2" s="8">
        <f>G1-B1</f>
        <v>187132.02135022706</v>
      </c>
    </row>
    <row r="3" spans="1:9">
      <c r="A3" s="5" t="s">
        <v>27</v>
      </c>
      <c r="B3" s="1">
        <v>7.1999999999999995E-2</v>
      </c>
      <c r="C3" s="5" t="s">
        <v>28</v>
      </c>
      <c r="D3" s="2">
        <f>PMT(B3/12,D1,-B1,0,0)</f>
        <v>10823.328561768831</v>
      </c>
      <c r="E3" s="2"/>
      <c r="F3" s="2"/>
    </row>
    <row r="4" spans="1:9">
      <c r="A4" s="5" t="s">
        <v>29</v>
      </c>
      <c r="B4" s="6">
        <f>DATE(2024,8,1)</f>
        <v>45505</v>
      </c>
    </row>
    <row r="6" spans="1:9">
      <c r="A6" s="14" t="s">
        <v>30</v>
      </c>
      <c r="B6" s="14" t="s">
        <v>31</v>
      </c>
      <c r="C6" s="14" t="s">
        <v>32</v>
      </c>
      <c r="D6" s="14" t="s">
        <v>28</v>
      </c>
      <c r="E6" s="14" t="s">
        <v>33</v>
      </c>
      <c r="F6" s="14" t="s">
        <v>33</v>
      </c>
      <c r="G6" s="14" t="s">
        <v>23</v>
      </c>
      <c r="H6" s="14" t="s">
        <v>34</v>
      </c>
      <c r="I6" s="14" t="s">
        <v>35</v>
      </c>
    </row>
    <row r="7" spans="1:9">
      <c r="A7">
        <v>1</v>
      </c>
      <c r="B7" s="6">
        <f>B4+(365.25/12)</f>
        <v>45535.4375</v>
      </c>
      <c r="C7" s="8">
        <f>B1</f>
        <v>712500</v>
      </c>
      <c r="D7" s="7">
        <f>$D$3</f>
        <v>10823.328561768831</v>
      </c>
      <c r="E7" s="9">
        <v>7.1999999999999995E-2</v>
      </c>
      <c r="F7" s="8">
        <f>C7*E7/12</f>
        <v>4274.9999999999991</v>
      </c>
      <c r="G7" s="8">
        <f>D7-F7</f>
        <v>6548.3285617688316</v>
      </c>
      <c r="H7" s="8">
        <f>F7+G7</f>
        <v>10823.328561768831</v>
      </c>
      <c r="I7" s="8">
        <f>C7-G7</f>
        <v>705951.67143823113</v>
      </c>
    </row>
    <row r="8" spans="1:9">
      <c r="A8">
        <v>2</v>
      </c>
      <c r="B8" s="6">
        <f>B7+(365.25/12)</f>
        <v>45565.875</v>
      </c>
      <c r="C8" s="8">
        <f>I7</f>
        <v>705951.67143823113</v>
      </c>
      <c r="D8" s="7">
        <f>$D$3</f>
        <v>10823.328561768831</v>
      </c>
      <c r="E8" s="9">
        <f>E7</f>
        <v>7.1999999999999995E-2</v>
      </c>
      <c r="F8" s="8">
        <f t="shared" ref="F8:F71" si="0">C8*E8/12</f>
        <v>4235.7100286293862</v>
      </c>
      <c r="G8" s="8">
        <f>D8-F8</f>
        <v>6587.6185331394445</v>
      </c>
      <c r="H8" s="8">
        <f>F8+G8</f>
        <v>10823.328561768831</v>
      </c>
      <c r="I8" s="8">
        <f>C8-G8</f>
        <v>699364.05290509167</v>
      </c>
    </row>
    <row r="9" spans="1:9">
      <c r="A9">
        <v>3</v>
      </c>
      <c r="B9" s="6">
        <f t="shared" ref="B9:B72" si="1">B8+(365.25/12)</f>
        <v>45596.3125</v>
      </c>
      <c r="C9" s="8">
        <f t="shared" ref="C9:C72" si="2">I8</f>
        <v>699364.05290509167</v>
      </c>
      <c r="D9" s="7">
        <f t="shared" ref="D9:D72" si="3">$D$3</f>
        <v>10823.328561768831</v>
      </c>
      <c r="E9" s="9">
        <f t="shared" ref="E9:E17" si="4">E8</f>
        <v>7.1999999999999995E-2</v>
      </c>
      <c r="F9" s="8">
        <f t="shared" si="0"/>
        <v>4196.1843174305495</v>
      </c>
      <c r="G9" s="8">
        <f>D9-F9</f>
        <v>6627.1442443382812</v>
      </c>
      <c r="H9" s="8">
        <f t="shared" ref="H9:H72" si="5">F9+G9</f>
        <v>10823.328561768831</v>
      </c>
      <c r="I9" s="8">
        <f>C9-G9</f>
        <v>692736.9086607534</v>
      </c>
    </row>
    <row r="10" spans="1:9">
      <c r="A10">
        <v>4</v>
      </c>
      <c r="B10" s="6">
        <f t="shared" si="1"/>
        <v>45626.75</v>
      </c>
      <c r="C10" s="8">
        <f t="shared" si="2"/>
        <v>692736.9086607534</v>
      </c>
      <c r="D10" s="7">
        <f t="shared" si="3"/>
        <v>10823.328561768831</v>
      </c>
      <c r="E10" s="9">
        <f t="shared" si="4"/>
        <v>7.1999999999999995E-2</v>
      </c>
      <c r="F10" s="8">
        <f t="shared" si="0"/>
        <v>4156.4214519645202</v>
      </c>
      <c r="G10" s="8">
        <f>D10-F10</f>
        <v>6666.9071098043105</v>
      </c>
      <c r="H10" s="8">
        <f t="shared" si="5"/>
        <v>10823.328561768831</v>
      </c>
      <c r="I10" s="8">
        <f>C10-G10</f>
        <v>686070.00155094906</v>
      </c>
    </row>
    <row r="11" spans="1:9">
      <c r="A11">
        <v>5</v>
      </c>
      <c r="B11" s="6">
        <f t="shared" si="1"/>
        <v>45657.1875</v>
      </c>
      <c r="C11" s="8">
        <f t="shared" si="2"/>
        <v>686070.00155094906</v>
      </c>
      <c r="D11" s="7">
        <f t="shared" si="3"/>
        <v>10823.328561768831</v>
      </c>
      <c r="E11" s="9">
        <f t="shared" si="4"/>
        <v>7.1999999999999995E-2</v>
      </c>
      <c r="F11" s="8">
        <f t="shared" si="0"/>
        <v>4116.4200093056943</v>
      </c>
      <c r="G11" s="8">
        <f>D11-F11</f>
        <v>6706.9085524631364</v>
      </c>
      <c r="H11" s="8">
        <f t="shared" si="5"/>
        <v>10823.328561768831</v>
      </c>
      <c r="I11" s="8">
        <f>C11-G11</f>
        <v>679363.0929984859</v>
      </c>
    </row>
    <row r="12" spans="1:9">
      <c r="A12">
        <v>6</v>
      </c>
      <c r="B12" s="6">
        <f t="shared" si="1"/>
        <v>45687.625</v>
      </c>
      <c r="C12" s="8">
        <f t="shared" si="2"/>
        <v>679363.0929984859</v>
      </c>
      <c r="D12" s="7">
        <f t="shared" si="3"/>
        <v>10823.328561768831</v>
      </c>
      <c r="E12" s="9">
        <f t="shared" si="4"/>
        <v>7.1999999999999995E-2</v>
      </c>
      <c r="F12" s="8">
        <f t="shared" si="0"/>
        <v>4076.1785579909151</v>
      </c>
      <c r="G12" s="8">
        <f>D12-F12</f>
        <v>6747.1500037779151</v>
      </c>
      <c r="H12" s="8">
        <f t="shared" si="5"/>
        <v>10823.328561768831</v>
      </c>
      <c r="I12" s="8">
        <f>C12-G12</f>
        <v>672615.94299470796</v>
      </c>
    </row>
    <row r="13" spans="1:9">
      <c r="A13">
        <v>7</v>
      </c>
      <c r="B13" s="6">
        <f t="shared" si="1"/>
        <v>45718.0625</v>
      </c>
      <c r="C13" s="8">
        <f t="shared" si="2"/>
        <v>672615.94299470796</v>
      </c>
      <c r="D13" s="7">
        <f t="shared" si="3"/>
        <v>10823.328561768831</v>
      </c>
      <c r="E13" s="9">
        <f t="shared" si="4"/>
        <v>7.1999999999999995E-2</v>
      </c>
      <c r="F13" s="8">
        <f t="shared" si="0"/>
        <v>4035.6956579682478</v>
      </c>
      <c r="G13" s="8">
        <f>D13-F13</f>
        <v>6787.6329038005824</v>
      </c>
      <c r="H13" s="8">
        <f t="shared" si="5"/>
        <v>10823.328561768831</v>
      </c>
      <c r="I13" s="8">
        <f>C13-G13</f>
        <v>665828.31009090738</v>
      </c>
    </row>
    <row r="14" spans="1:9">
      <c r="A14">
        <v>8</v>
      </c>
      <c r="B14" s="6">
        <f t="shared" si="1"/>
        <v>45748.5</v>
      </c>
      <c r="C14" s="8">
        <f t="shared" si="2"/>
        <v>665828.31009090738</v>
      </c>
      <c r="D14" s="7">
        <f t="shared" si="3"/>
        <v>10823.328561768831</v>
      </c>
      <c r="E14" s="9">
        <f t="shared" si="4"/>
        <v>7.1999999999999995E-2</v>
      </c>
      <c r="F14" s="8">
        <f t="shared" si="0"/>
        <v>3994.9698605454437</v>
      </c>
      <c r="G14" s="8">
        <f>D14-F14</f>
        <v>6828.3587012233875</v>
      </c>
      <c r="H14" s="8">
        <f t="shared" si="5"/>
        <v>10823.328561768831</v>
      </c>
      <c r="I14" s="8">
        <f>C14-G14</f>
        <v>658999.95138968399</v>
      </c>
    </row>
    <row r="15" spans="1:9">
      <c r="A15">
        <v>9</v>
      </c>
      <c r="B15" s="6">
        <f t="shared" si="1"/>
        <v>45778.9375</v>
      </c>
      <c r="C15" s="8">
        <f t="shared" si="2"/>
        <v>658999.95138968399</v>
      </c>
      <c r="D15" s="7">
        <f t="shared" si="3"/>
        <v>10823.328561768831</v>
      </c>
      <c r="E15" s="9">
        <f t="shared" si="4"/>
        <v>7.1999999999999995E-2</v>
      </c>
      <c r="F15" s="8">
        <f t="shared" si="0"/>
        <v>3953.9997083381036</v>
      </c>
      <c r="G15" s="8">
        <f>D15-F15</f>
        <v>6869.3288534307267</v>
      </c>
      <c r="H15" s="8">
        <f t="shared" si="5"/>
        <v>10823.328561768831</v>
      </c>
      <c r="I15" s="8">
        <f>C15-G15</f>
        <v>652130.6225362533</v>
      </c>
    </row>
    <row r="16" spans="1:9">
      <c r="A16">
        <v>10</v>
      </c>
      <c r="B16" s="6">
        <f t="shared" si="1"/>
        <v>45809.375</v>
      </c>
      <c r="C16" s="8">
        <f t="shared" si="2"/>
        <v>652130.6225362533</v>
      </c>
      <c r="D16" s="7">
        <f t="shared" si="3"/>
        <v>10823.328561768831</v>
      </c>
      <c r="E16" s="9">
        <f t="shared" si="4"/>
        <v>7.1999999999999995E-2</v>
      </c>
      <c r="F16" s="8">
        <f t="shared" si="0"/>
        <v>3912.7837352175193</v>
      </c>
      <c r="G16" s="8">
        <f>D16-F16</f>
        <v>6910.5448265513114</v>
      </c>
      <c r="H16" s="8">
        <f t="shared" si="5"/>
        <v>10823.328561768831</v>
      </c>
      <c r="I16" s="8">
        <f>C16-G16</f>
        <v>645220.07770970196</v>
      </c>
    </row>
    <row r="17" spans="1:9">
      <c r="A17">
        <v>11</v>
      </c>
      <c r="B17" s="6">
        <f t="shared" si="1"/>
        <v>45839.8125</v>
      </c>
      <c r="C17" s="8">
        <f t="shared" si="2"/>
        <v>645220.07770970196</v>
      </c>
      <c r="D17" s="7">
        <f t="shared" si="3"/>
        <v>10823.328561768831</v>
      </c>
      <c r="E17" s="9">
        <f t="shared" si="4"/>
        <v>7.1999999999999995E-2</v>
      </c>
      <c r="F17" s="8">
        <f t="shared" si="0"/>
        <v>3871.3204662582116</v>
      </c>
      <c r="G17" s="8">
        <f>D17-F17</f>
        <v>6952.0080955106187</v>
      </c>
      <c r="H17" s="8">
        <f t="shared" si="5"/>
        <v>10823.328561768831</v>
      </c>
      <c r="I17" s="8">
        <f>C17-G17</f>
        <v>638268.06961419131</v>
      </c>
    </row>
    <row r="18" spans="1:9">
      <c r="A18" s="5">
        <v>12</v>
      </c>
      <c r="B18" s="10">
        <f t="shared" si="1"/>
        <v>45870.25</v>
      </c>
      <c r="C18" s="13">
        <f t="shared" si="2"/>
        <v>638268.06961419131</v>
      </c>
      <c r="D18" s="11">
        <f t="shared" si="3"/>
        <v>10823.328561768831</v>
      </c>
      <c r="E18" s="12">
        <f>E17-0.15%</f>
        <v>7.0499999999999993E-2</v>
      </c>
      <c r="F18" s="13">
        <f t="shared" si="0"/>
        <v>3749.8249089833735</v>
      </c>
      <c r="G18" s="13">
        <f>D18-F18</f>
        <v>7073.5036527854572</v>
      </c>
      <c r="H18" s="13">
        <f t="shared" si="5"/>
        <v>10823.328561768831</v>
      </c>
      <c r="I18" s="13">
        <f>C18-G18</f>
        <v>631194.56596140587</v>
      </c>
    </row>
    <row r="19" spans="1:9">
      <c r="A19" s="5">
        <v>13</v>
      </c>
      <c r="B19" s="10">
        <f t="shared" si="1"/>
        <v>45900.6875</v>
      </c>
      <c r="C19" s="13">
        <f t="shared" si="2"/>
        <v>631194.56596140587</v>
      </c>
      <c r="D19" s="11">
        <f t="shared" si="3"/>
        <v>10823.328561768831</v>
      </c>
      <c r="E19" s="12">
        <f t="shared" ref="E19:E30" si="6">E18</f>
        <v>7.0499999999999993E-2</v>
      </c>
      <c r="F19" s="13">
        <f t="shared" si="0"/>
        <v>3708.2680750232594</v>
      </c>
      <c r="G19" s="13">
        <f t="shared" ref="G19:G82" si="7">D19-F19</f>
        <v>7115.0604867455713</v>
      </c>
      <c r="H19" s="13">
        <f t="shared" si="5"/>
        <v>10823.328561768831</v>
      </c>
      <c r="I19" s="13">
        <f t="shared" ref="I19:I78" si="8">C19-G19</f>
        <v>624079.50547466031</v>
      </c>
    </row>
    <row r="20" spans="1:9">
      <c r="A20" s="5">
        <v>14</v>
      </c>
      <c r="B20" s="10">
        <f t="shared" si="1"/>
        <v>45931.125</v>
      </c>
      <c r="C20" s="13">
        <f t="shared" si="2"/>
        <v>624079.50547466031</v>
      </c>
      <c r="D20" s="11">
        <f t="shared" si="3"/>
        <v>10823.328561768831</v>
      </c>
      <c r="E20" s="12">
        <f t="shared" si="6"/>
        <v>7.0499999999999993E-2</v>
      </c>
      <c r="F20" s="13">
        <f t="shared" si="0"/>
        <v>3666.4670946636288</v>
      </c>
      <c r="G20" s="13">
        <f t="shared" si="7"/>
        <v>7156.8614671052019</v>
      </c>
      <c r="H20" s="13">
        <f t="shared" si="5"/>
        <v>10823.328561768831</v>
      </c>
      <c r="I20" s="13">
        <f t="shared" si="8"/>
        <v>616922.64400755509</v>
      </c>
    </row>
    <row r="21" spans="1:9">
      <c r="A21" s="5">
        <v>15</v>
      </c>
      <c r="B21" s="10">
        <f t="shared" si="1"/>
        <v>45961.5625</v>
      </c>
      <c r="C21" s="13">
        <f t="shared" si="2"/>
        <v>616922.64400755509</v>
      </c>
      <c r="D21" s="11">
        <f t="shared" si="3"/>
        <v>10823.328561768831</v>
      </c>
      <c r="E21" s="12">
        <f t="shared" si="6"/>
        <v>7.0499999999999993E-2</v>
      </c>
      <c r="F21" s="13">
        <f t="shared" si="0"/>
        <v>3624.4205335443858</v>
      </c>
      <c r="G21" s="13">
        <f t="shared" si="7"/>
        <v>7198.9080282244449</v>
      </c>
      <c r="H21" s="13">
        <f t="shared" si="5"/>
        <v>10823.328561768831</v>
      </c>
      <c r="I21" s="13">
        <f t="shared" si="8"/>
        <v>609723.73597933061</v>
      </c>
    </row>
    <row r="22" spans="1:9">
      <c r="A22" s="5">
        <v>16</v>
      </c>
      <c r="B22" s="10">
        <f t="shared" si="1"/>
        <v>45992</v>
      </c>
      <c r="C22" s="13">
        <f t="shared" si="2"/>
        <v>609723.73597933061</v>
      </c>
      <c r="D22" s="11">
        <f t="shared" si="3"/>
        <v>10823.328561768831</v>
      </c>
      <c r="E22" s="12">
        <f t="shared" si="6"/>
        <v>7.0499999999999993E-2</v>
      </c>
      <c r="F22" s="13">
        <f t="shared" si="0"/>
        <v>3582.126948878567</v>
      </c>
      <c r="G22" s="13">
        <f t="shared" si="7"/>
        <v>7241.2016128902633</v>
      </c>
      <c r="H22" s="13">
        <f t="shared" si="5"/>
        <v>10823.328561768831</v>
      </c>
      <c r="I22" s="13">
        <f t="shared" si="8"/>
        <v>602482.53436644038</v>
      </c>
    </row>
    <row r="23" spans="1:9">
      <c r="A23" s="5">
        <v>17</v>
      </c>
      <c r="B23" s="10">
        <f t="shared" si="1"/>
        <v>46022.4375</v>
      </c>
      <c r="C23" s="13">
        <f t="shared" si="2"/>
        <v>602482.53436644038</v>
      </c>
      <c r="D23" s="11">
        <f t="shared" si="3"/>
        <v>10823.328561768831</v>
      </c>
      <c r="E23" s="12">
        <f t="shared" si="6"/>
        <v>7.0499999999999993E-2</v>
      </c>
      <c r="F23" s="13">
        <f t="shared" si="0"/>
        <v>3539.5848894028368</v>
      </c>
      <c r="G23" s="13">
        <f t="shared" si="7"/>
        <v>7283.7436723659939</v>
      </c>
      <c r="H23" s="13">
        <f t="shared" si="5"/>
        <v>10823.328561768831</v>
      </c>
      <c r="I23" s="13">
        <f t="shared" si="8"/>
        <v>595198.79069407436</v>
      </c>
    </row>
    <row r="24" spans="1:9">
      <c r="A24" s="5">
        <v>18</v>
      </c>
      <c r="B24" s="10">
        <f t="shared" si="1"/>
        <v>46052.875</v>
      </c>
      <c r="C24" s="13">
        <f t="shared" si="2"/>
        <v>595198.79069407436</v>
      </c>
      <c r="D24" s="11">
        <f t="shared" si="3"/>
        <v>10823.328561768831</v>
      </c>
      <c r="E24" s="12">
        <f t="shared" si="6"/>
        <v>7.0499999999999993E-2</v>
      </c>
      <c r="F24" s="13">
        <f t="shared" si="0"/>
        <v>3496.7928953276864</v>
      </c>
      <c r="G24" s="13">
        <f t="shared" si="7"/>
        <v>7326.5356664411447</v>
      </c>
      <c r="H24" s="13">
        <f t="shared" si="5"/>
        <v>10823.328561768831</v>
      </c>
      <c r="I24" s="13">
        <f t="shared" si="8"/>
        <v>587872.25502763316</v>
      </c>
    </row>
    <row r="25" spans="1:9">
      <c r="A25" s="5">
        <v>19</v>
      </c>
      <c r="B25" s="10">
        <f t="shared" si="1"/>
        <v>46083.3125</v>
      </c>
      <c r="C25" s="13">
        <f t="shared" si="2"/>
        <v>587872.25502763316</v>
      </c>
      <c r="D25" s="11">
        <f t="shared" si="3"/>
        <v>10823.328561768831</v>
      </c>
      <c r="E25" s="12">
        <f t="shared" si="6"/>
        <v>7.0499999999999993E-2</v>
      </c>
      <c r="F25" s="13">
        <f t="shared" si="0"/>
        <v>3453.7494982873445</v>
      </c>
      <c r="G25" s="13">
        <f t="shared" si="7"/>
        <v>7369.5790634814857</v>
      </c>
      <c r="H25" s="13">
        <f t="shared" si="5"/>
        <v>10823.328561768831</v>
      </c>
      <c r="I25" s="13">
        <f t="shared" si="8"/>
        <v>580502.67596415163</v>
      </c>
    </row>
    <row r="26" spans="1:9">
      <c r="A26" s="5">
        <v>20</v>
      </c>
      <c r="B26" s="10">
        <f t="shared" si="1"/>
        <v>46113.75</v>
      </c>
      <c r="C26" s="13">
        <f t="shared" si="2"/>
        <v>580502.67596415163</v>
      </c>
      <c r="D26" s="11">
        <f t="shared" si="3"/>
        <v>10823.328561768831</v>
      </c>
      <c r="E26" s="12">
        <f t="shared" si="6"/>
        <v>7.0499999999999993E-2</v>
      </c>
      <c r="F26" s="13">
        <f t="shared" si="0"/>
        <v>3410.4532212893905</v>
      </c>
      <c r="G26" s="13">
        <f t="shared" si="7"/>
        <v>7412.8753404794406</v>
      </c>
      <c r="H26" s="13">
        <f t="shared" si="5"/>
        <v>10823.328561768831</v>
      </c>
      <c r="I26" s="13">
        <f t="shared" si="8"/>
        <v>573089.8006236722</v>
      </c>
    </row>
    <row r="27" spans="1:9">
      <c r="A27" s="5">
        <v>21</v>
      </c>
      <c r="B27" s="10">
        <f t="shared" si="1"/>
        <v>46144.1875</v>
      </c>
      <c r="C27" s="13">
        <f t="shared" si="2"/>
        <v>573089.8006236722</v>
      </c>
      <c r="D27" s="11">
        <f t="shared" si="3"/>
        <v>10823.328561768831</v>
      </c>
      <c r="E27" s="12">
        <f t="shared" si="6"/>
        <v>7.0499999999999993E-2</v>
      </c>
      <c r="F27" s="13">
        <f t="shared" si="0"/>
        <v>3366.9025786640741</v>
      </c>
      <c r="G27" s="13">
        <f t="shared" si="7"/>
        <v>7456.4259831047566</v>
      </c>
      <c r="H27" s="13">
        <f t="shared" si="5"/>
        <v>10823.328561768831</v>
      </c>
      <c r="I27" s="13">
        <f t="shared" si="8"/>
        <v>565633.37464056746</v>
      </c>
    </row>
    <row r="28" spans="1:9">
      <c r="A28" s="5">
        <v>22</v>
      </c>
      <c r="B28" s="10">
        <f t="shared" si="1"/>
        <v>46174.625</v>
      </c>
      <c r="C28" s="13">
        <f t="shared" si="2"/>
        <v>565633.37464056746</v>
      </c>
      <c r="D28" s="11">
        <f t="shared" si="3"/>
        <v>10823.328561768831</v>
      </c>
      <c r="E28" s="12">
        <f t="shared" si="6"/>
        <v>7.0499999999999993E-2</v>
      </c>
      <c r="F28" s="13">
        <f t="shared" si="0"/>
        <v>3323.0960760133335</v>
      </c>
      <c r="G28" s="13">
        <f t="shared" si="7"/>
        <v>7500.2324857554977</v>
      </c>
      <c r="H28" s="13">
        <f t="shared" si="5"/>
        <v>10823.328561768831</v>
      </c>
      <c r="I28" s="13">
        <f t="shared" si="8"/>
        <v>558133.142154812</v>
      </c>
    </row>
    <row r="29" spans="1:9">
      <c r="A29" s="5">
        <v>23</v>
      </c>
      <c r="B29" s="10">
        <f t="shared" si="1"/>
        <v>46205.0625</v>
      </c>
      <c r="C29" s="13">
        <f t="shared" si="2"/>
        <v>558133.142154812</v>
      </c>
      <c r="D29" s="11">
        <f t="shared" si="3"/>
        <v>10823.328561768831</v>
      </c>
      <c r="E29" s="12">
        <f t="shared" si="6"/>
        <v>7.0499999999999993E-2</v>
      </c>
      <c r="F29" s="13">
        <f t="shared" si="0"/>
        <v>3279.0322101595198</v>
      </c>
      <c r="G29" s="13">
        <f t="shared" si="7"/>
        <v>7544.2963516093114</v>
      </c>
      <c r="H29" s="13">
        <f t="shared" si="5"/>
        <v>10823.328561768831</v>
      </c>
      <c r="I29" s="13">
        <f t="shared" si="8"/>
        <v>550588.84580320271</v>
      </c>
    </row>
    <row r="30" spans="1:9">
      <c r="A30" s="5">
        <v>24</v>
      </c>
      <c r="B30" s="10">
        <f t="shared" si="1"/>
        <v>46235.5</v>
      </c>
      <c r="C30" s="13">
        <f t="shared" si="2"/>
        <v>550588.84580320271</v>
      </c>
      <c r="D30" s="11">
        <f t="shared" si="3"/>
        <v>10823.328561768831</v>
      </c>
      <c r="E30" s="12">
        <f t="shared" si="6"/>
        <v>7.0499999999999993E-2</v>
      </c>
      <c r="F30" s="13">
        <f t="shared" si="0"/>
        <v>3234.7094690938156</v>
      </c>
      <c r="G30" s="13">
        <f t="shared" si="7"/>
        <v>7588.6190926750151</v>
      </c>
      <c r="H30" s="13">
        <f t="shared" si="5"/>
        <v>10823.328561768831</v>
      </c>
      <c r="I30" s="13">
        <f t="shared" si="8"/>
        <v>543000.22671052767</v>
      </c>
    </row>
    <row r="31" spans="1:9">
      <c r="A31">
        <v>25</v>
      </c>
      <c r="B31" s="6">
        <f t="shared" si="1"/>
        <v>46265.9375</v>
      </c>
      <c r="C31" s="8">
        <f t="shared" si="2"/>
        <v>543000.22671052767</v>
      </c>
      <c r="D31" s="7">
        <f t="shared" si="3"/>
        <v>10823.328561768831</v>
      </c>
      <c r="E31" s="9">
        <f>E30-0.15%</f>
        <v>6.8999999999999992E-2</v>
      </c>
      <c r="F31" s="8">
        <f t="shared" si="0"/>
        <v>3122.2513035855336</v>
      </c>
      <c r="G31" s="8">
        <f t="shared" si="7"/>
        <v>7701.0772581832971</v>
      </c>
      <c r="H31" s="8">
        <f t="shared" si="5"/>
        <v>10823.328561768831</v>
      </c>
      <c r="I31" s="8">
        <f t="shared" si="8"/>
        <v>535299.1494523444</v>
      </c>
    </row>
    <row r="32" spans="1:9">
      <c r="A32">
        <v>26</v>
      </c>
      <c r="B32" s="6">
        <f t="shared" si="1"/>
        <v>46296.375</v>
      </c>
      <c r="C32" s="8">
        <f t="shared" si="2"/>
        <v>535299.1494523444</v>
      </c>
      <c r="D32" s="7">
        <f t="shared" si="3"/>
        <v>10823.328561768831</v>
      </c>
      <c r="E32" s="9">
        <f t="shared" ref="E32:E42" si="9">E31</f>
        <v>6.8999999999999992E-2</v>
      </c>
      <c r="F32" s="8">
        <f t="shared" si="0"/>
        <v>3077.9701093509798</v>
      </c>
      <c r="G32" s="8">
        <f t="shared" si="7"/>
        <v>7745.3584524178514</v>
      </c>
      <c r="H32" s="8">
        <f t="shared" si="5"/>
        <v>10823.328561768831</v>
      </c>
      <c r="I32" s="8">
        <f t="shared" si="8"/>
        <v>527553.79099992651</v>
      </c>
    </row>
    <row r="33" spans="1:9">
      <c r="A33">
        <v>27</v>
      </c>
      <c r="B33" s="6">
        <f t="shared" si="1"/>
        <v>46326.8125</v>
      </c>
      <c r="C33" s="8">
        <f t="shared" si="2"/>
        <v>527553.79099992651</v>
      </c>
      <c r="D33" s="7">
        <f t="shared" si="3"/>
        <v>10823.328561768831</v>
      </c>
      <c r="E33" s="9">
        <f t="shared" si="9"/>
        <v>6.8999999999999992E-2</v>
      </c>
      <c r="F33" s="8">
        <f t="shared" si="0"/>
        <v>3033.4342982495768</v>
      </c>
      <c r="G33" s="8">
        <f t="shared" si="7"/>
        <v>7789.8942635192543</v>
      </c>
      <c r="H33" s="8">
        <f t="shared" si="5"/>
        <v>10823.328561768831</v>
      </c>
      <c r="I33" s="8">
        <f t="shared" si="8"/>
        <v>519763.89673640725</v>
      </c>
    </row>
    <row r="34" spans="1:9">
      <c r="A34">
        <v>28</v>
      </c>
      <c r="B34" s="6">
        <f t="shared" si="1"/>
        <v>46357.25</v>
      </c>
      <c r="C34" s="8">
        <f t="shared" si="2"/>
        <v>519763.89673640725</v>
      </c>
      <c r="D34" s="7">
        <f t="shared" si="3"/>
        <v>10823.328561768831</v>
      </c>
      <c r="E34" s="9">
        <f t="shared" si="9"/>
        <v>6.8999999999999992E-2</v>
      </c>
      <c r="F34" s="8">
        <f t="shared" si="0"/>
        <v>2988.6424062343413</v>
      </c>
      <c r="G34" s="8">
        <f t="shared" si="7"/>
        <v>7834.6861555344894</v>
      </c>
      <c r="H34" s="8">
        <f t="shared" si="5"/>
        <v>10823.328561768831</v>
      </c>
      <c r="I34" s="8">
        <f t="shared" si="8"/>
        <v>511929.21058087278</v>
      </c>
    </row>
    <row r="35" spans="1:9">
      <c r="A35">
        <v>29</v>
      </c>
      <c r="B35" s="6">
        <f t="shared" si="1"/>
        <v>46387.6875</v>
      </c>
      <c r="C35" s="8">
        <f t="shared" si="2"/>
        <v>511929.21058087278</v>
      </c>
      <c r="D35" s="7">
        <f t="shared" si="3"/>
        <v>10823.328561768831</v>
      </c>
      <c r="E35" s="9">
        <f t="shared" si="9"/>
        <v>6.8999999999999992E-2</v>
      </c>
      <c r="F35" s="8">
        <f t="shared" si="0"/>
        <v>2943.5929608400183</v>
      </c>
      <c r="G35" s="8">
        <f t="shared" si="7"/>
        <v>7879.7356009288123</v>
      </c>
      <c r="H35" s="8">
        <f t="shared" si="5"/>
        <v>10823.328561768831</v>
      </c>
      <c r="I35" s="8">
        <f t="shared" si="8"/>
        <v>504049.47497994395</v>
      </c>
    </row>
    <row r="36" spans="1:9">
      <c r="A36">
        <v>30</v>
      </c>
      <c r="B36" s="6">
        <f t="shared" si="1"/>
        <v>46418.125</v>
      </c>
      <c r="C36" s="8">
        <f t="shared" si="2"/>
        <v>504049.47497994395</v>
      </c>
      <c r="D36" s="7">
        <f t="shared" si="3"/>
        <v>10823.328561768831</v>
      </c>
      <c r="E36" s="9">
        <f t="shared" si="9"/>
        <v>6.8999999999999992E-2</v>
      </c>
      <c r="F36" s="8">
        <f t="shared" si="0"/>
        <v>2898.2844811346772</v>
      </c>
      <c r="G36" s="8">
        <f t="shared" si="7"/>
        <v>7925.0440806341539</v>
      </c>
      <c r="H36" s="8">
        <f t="shared" si="5"/>
        <v>10823.328561768831</v>
      </c>
      <c r="I36" s="8">
        <f t="shared" si="8"/>
        <v>496124.43089930981</v>
      </c>
    </row>
    <row r="37" spans="1:9">
      <c r="A37">
        <v>31</v>
      </c>
      <c r="B37" s="6">
        <f t="shared" si="1"/>
        <v>46448.5625</v>
      </c>
      <c r="C37" s="8">
        <f t="shared" si="2"/>
        <v>496124.43089930981</v>
      </c>
      <c r="D37" s="7">
        <f t="shared" si="3"/>
        <v>10823.328561768831</v>
      </c>
      <c r="E37" s="9">
        <f t="shared" si="9"/>
        <v>6.8999999999999992E-2</v>
      </c>
      <c r="F37" s="8">
        <f t="shared" si="0"/>
        <v>2852.7154776710308</v>
      </c>
      <c r="G37" s="8">
        <f t="shared" si="7"/>
        <v>7970.6130840978003</v>
      </c>
      <c r="H37" s="8">
        <f t="shared" si="5"/>
        <v>10823.328561768831</v>
      </c>
      <c r="I37" s="8">
        <f t="shared" si="8"/>
        <v>488153.81781521201</v>
      </c>
    </row>
    <row r="38" spans="1:9">
      <c r="A38">
        <v>32</v>
      </c>
      <c r="B38" s="6">
        <f t="shared" si="1"/>
        <v>46479</v>
      </c>
      <c r="C38" s="8">
        <f t="shared" si="2"/>
        <v>488153.81781521201</v>
      </c>
      <c r="D38" s="7">
        <f t="shared" si="3"/>
        <v>10823.328561768831</v>
      </c>
      <c r="E38" s="9">
        <f t="shared" si="9"/>
        <v>6.8999999999999992E-2</v>
      </c>
      <c r="F38" s="8">
        <f t="shared" si="0"/>
        <v>2806.884452437469</v>
      </c>
      <c r="G38" s="8">
        <f t="shared" si="7"/>
        <v>8016.4441093313617</v>
      </c>
      <c r="H38" s="8">
        <f t="shared" si="5"/>
        <v>10823.328561768831</v>
      </c>
      <c r="I38" s="8">
        <f t="shared" si="8"/>
        <v>480137.37370588066</v>
      </c>
    </row>
    <row r="39" spans="1:9">
      <c r="A39">
        <v>33</v>
      </c>
      <c r="B39" s="6">
        <f t="shared" si="1"/>
        <v>46509.4375</v>
      </c>
      <c r="C39" s="8">
        <f t="shared" si="2"/>
        <v>480137.37370588066</v>
      </c>
      <c r="D39" s="7">
        <f t="shared" si="3"/>
        <v>10823.328561768831</v>
      </c>
      <c r="E39" s="9">
        <f t="shared" si="9"/>
        <v>6.8999999999999992E-2</v>
      </c>
      <c r="F39" s="8">
        <f t="shared" si="0"/>
        <v>2760.7898988088132</v>
      </c>
      <c r="G39" s="8">
        <f t="shared" si="7"/>
        <v>8062.538662960018</v>
      </c>
      <c r="H39" s="8">
        <f t="shared" si="5"/>
        <v>10823.328561768831</v>
      </c>
      <c r="I39" s="8">
        <f t="shared" si="8"/>
        <v>472074.83504292066</v>
      </c>
    </row>
    <row r="40" spans="1:9">
      <c r="A40">
        <v>34</v>
      </c>
      <c r="B40" s="6">
        <f t="shared" si="1"/>
        <v>46539.875</v>
      </c>
      <c r="C40" s="8">
        <f t="shared" si="2"/>
        <v>472074.83504292066</v>
      </c>
      <c r="D40" s="7">
        <f t="shared" si="3"/>
        <v>10823.328561768831</v>
      </c>
      <c r="E40" s="9">
        <f t="shared" si="9"/>
        <v>6.8999999999999992E-2</v>
      </c>
      <c r="F40" s="8">
        <f t="shared" si="0"/>
        <v>2714.4303014967936</v>
      </c>
      <c r="G40" s="8">
        <f t="shared" si="7"/>
        <v>8108.8982602720371</v>
      </c>
      <c r="H40" s="8">
        <f t="shared" si="5"/>
        <v>10823.328561768831</v>
      </c>
      <c r="I40" s="8">
        <f t="shared" si="8"/>
        <v>463965.93678264861</v>
      </c>
    </row>
    <row r="41" spans="1:9">
      <c r="A41">
        <v>35</v>
      </c>
      <c r="B41" s="6">
        <f t="shared" si="1"/>
        <v>46570.3125</v>
      </c>
      <c r="C41" s="8">
        <f t="shared" si="2"/>
        <v>463965.93678264861</v>
      </c>
      <c r="D41" s="7">
        <f t="shared" si="3"/>
        <v>10823.328561768831</v>
      </c>
      <c r="E41" s="9">
        <f t="shared" si="9"/>
        <v>6.8999999999999992E-2</v>
      </c>
      <c r="F41" s="8">
        <f t="shared" si="0"/>
        <v>2667.8041365002291</v>
      </c>
      <c r="G41" s="8">
        <f t="shared" si="7"/>
        <v>8155.5244252686016</v>
      </c>
      <c r="H41" s="8">
        <f t="shared" si="5"/>
        <v>10823.328561768831</v>
      </c>
      <c r="I41" s="8">
        <f t="shared" si="8"/>
        <v>455810.41235738003</v>
      </c>
    </row>
    <row r="42" spans="1:9">
      <c r="A42">
        <v>36</v>
      </c>
      <c r="B42" s="6">
        <f t="shared" si="1"/>
        <v>46600.75</v>
      </c>
      <c r="C42" s="8">
        <f t="shared" si="2"/>
        <v>455810.41235738003</v>
      </c>
      <c r="D42" s="7">
        <f t="shared" si="3"/>
        <v>10823.328561768831</v>
      </c>
      <c r="E42" s="9">
        <f t="shared" si="9"/>
        <v>6.8999999999999992E-2</v>
      </c>
      <c r="F42" s="8">
        <f t="shared" si="0"/>
        <v>2620.9098710549347</v>
      </c>
      <c r="G42" s="8">
        <f t="shared" si="7"/>
        <v>8202.4186907138956</v>
      </c>
      <c r="H42" s="8">
        <f t="shared" si="5"/>
        <v>10823.328561768831</v>
      </c>
      <c r="I42" s="8">
        <f t="shared" si="8"/>
        <v>447607.99366666615</v>
      </c>
    </row>
    <row r="43" spans="1:9">
      <c r="A43" s="5">
        <v>37</v>
      </c>
      <c r="B43" s="10">
        <f t="shared" si="1"/>
        <v>46631.1875</v>
      </c>
      <c r="C43" s="13">
        <f t="shared" si="2"/>
        <v>447607.99366666615</v>
      </c>
      <c r="D43" s="11">
        <f t="shared" si="3"/>
        <v>10823.328561768831</v>
      </c>
      <c r="E43" s="12">
        <f>6.9%-0.15%</f>
        <v>6.7500000000000004E-2</v>
      </c>
      <c r="F43" s="13">
        <f t="shared" si="0"/>
        <v>2517.7949643749976</v>
      </c>
      <c r="G43" s="13">
        <f t="shared" si="7"/>
        <v>8305.5335973938327</v>
      </c>
      <c r="H43" s="13">
        <f t="shared" si="5"/>
        <v>10823.328561768831</v>
      </c>
      <c r="I43" s="13">
        <f t="shared" si="8"/>
        <v>439302.46006927232</v>
      </c>
    </row>
    <row r="44" spans="1:9">
      <c r="A44" s="5">
        <v>38</v>
      </c>
      <c r="B44" s="10">
        <f t="shared" si="1"/>
        <v>46661.625</v>
      </c>
      <c r="C44" s="13">
        <f t="shared" si="2"/>
        <v>439302.46006927232</v>
      </c>
      <c r="D44" s="11">
        <f t="shared" si="3"/>
        <v>10823.328561768831</v>
      </c>
      <c r="E44" s="12">
        <f t="shared" ref="E44:E90" si="10">E43</f>
        <v>6.7500000000000004E-2</v>
      </c>
      <c r="F44" s="13">
        <f t="shared" si="0"/>
        <v>2471.0763378896568</v>
      </c>
      <c r="G44" s="13">
        <f t="shared" si="7"/>
        <v>8352.2522238791735</v>
      </c>
      <c r="H44" s="13">
        <f t="shared" si="5"/>
        <v>10823.328561768831</v>
      </c>
      <c r="I44" s="13">
        <f t="shared" si="8"/>
        <v>430950.20784539316</v>
      </c>
    </row>
    <row r="45" spans="1:9">
      <c r="A45" s="5">
        <v>39</v>
      </c>
      <c r="B45" s="10">
        <f t="shared" si="1"/>
        <v>46692.0625</v>
      </c>
      <c r="C45" s="13">
        <f t="shared" si="2"/>
        <v>430950.20784539316</v>
      </c>
      <c r="D45" s="11">
        <f t="shared" si="3"/>
        <v>10823.328561768831</v>
      </c>
      <c r="E45" s="12">
        <f t="shared" si="10"/>
        <v>6.7500000000000004E-2</v>
      </c>
      <c r="F45" s="13">
        <f t="shared" si="0"/>
        <v>2424.0949191303366</v>
      </c>
      <c r="G45" s="13">
        <f t="shared" si="7"/>
        <v>8399.2336426384936</v>
      </c>
      <c r="H45" s="13">
        <f t="shared" si="5"/>
        <v>10823.328561768831</v>
      </c>
      <c r="I45" s="13">
        <f t="shared" si="8"/>
        <v>422550.97420275467</v>
      </c>
    </row>
    <row r="46" spans="1:9">
      <c r="A46" s="5">
        <v>40</v>
      </c>
      <c r="B46" s="10">
        <f t="shared" si="1"/>
        <v>46722.5</v>
      </c>
      <c r="C46" s="13">
        <f t="shared" si="2"/>
        <v>422550.97420275467</v>
      </c>
      <c r="D46" s="11">
        <f t="shared" si="3"/>
        <v>10823.328561768831</v>
      </c>
      <c r="E46" s="12">
        <f t="shared" si="10"/>
        <v>6.7500000000000004E-2</v>
      </c>
      <c r="F46" s="13">
        <f t="shared" si="0"/>
        <v>2376.8492298904953</v>
      </c>
      <c r="G46" s="13">
        <f t="shared" si="7"/>
        <v>8446.4793318783359</v>
      </c>
      <c r="H46" s="13">
        <f t="shared" si="5"/>
        <v>10823.328561768831</v>
      </c>
      <c r="I46" s="13">
        <f t="shared" si="8"/>
        <v>414104.49487087631</v>
      </c>
    </row>
    <row r="47" spans="1:9">
      <c r="A47" s="5">
        <v>41</v>
      </c>
      <c r="B47" s="10">
        <f t="shared" si="1"/>
        <v>46752.9375</v>
      </c>
      <c r="C47" s="13">
        <f t="shared" si="2"/>
        <v>414104.49487087631</v>
      </c>
      <c r="D47" s="11">
        <f t="shared" si="3"/>
        <v>10823.328561768831</v>
      </c>
      <c r="E47" s="12">
        <f t="shared" si="10"/>
        <v>6.7500000000000004E-2</v>
      </c>
      <c r="F47" s="13">
        <f t="shared" si="0"/>
        <v>2329.3377836486793</v>
      </c>
      <c r="G47" s="13">
        <f t="shared" si="7"/>
        <v>8493.9907781201509</v>
      </c>
      <c r="H47" s="13">
        <f t="shared" si="5"/>
        <v>10823.328561768831</v>
      </c>
      <c r="I47" s="13">
        <f t="shared" si="8"/>
        <v>405610.50409275613</v>
      </c>
    </row>
    <row r="48" spans="1:9">
      <c r="A48" s="5">
        <v>42</v>
      </c>
      <c r="B48" s="10">
        <f t="shared" si="1"/>
        <v>46783.375</v>
      </c>
      <c r="C48" s="13">
        <f t="shared" si="2"/>
        <v>405610.50409275613</v>
      </c>
      <c r="D48" s="11">
        <f t="shared" si="3"/>
        <v>10823.328561768831</v>
      </c>
      <c r="E48" s="12">
        <f t="shared" si="10"/>
        <v>6.7500000000000004E-2</v>
      </c>
      <c r="F48" s="13">
        <f t="shared" si="0"/>
        <v>2281.5590855217533</v>
      </c>
      <c r="G48" s="13">
        <f t="shared" si="7"/>
        <v>8541.7694762470783</v>
      </c>
      <c r="H48" s="13">
        <f t="shared" si="5"/>
        <v>10823.328561768831</v>
      </c>
      <c r="I48" s="13">
        <f t="shared" si="8"/>
        <v>397068.73461650906</v>
      </c>
    </row>
    <row r="49" spans="1:9">
      <c r="A49" s="5">
        <v>43</v>
      </c>
      <c r="B49" s="10">
        <f t="shared" si="1"/>
        <v>46813.8125</v>
      </c>
      <c r="C49" s="13">
        <f t="shared" si="2"/>
        <v>397068.73461650906</v>
      </c>
      <c r="D49" s="11">
        <f t="shared" si="3"/>
        <v>10823.328561768831</v>
      </c>
      <c r="E49" s="12">
        <f t="shared" si="10"/>
        <v>6.7500000000000004E-2</v>
      </c>
      <c r="F49" s="13">
        <f t="shared" si="0"/>
        <v>2233.5116322178637</v>
      </c>
      <c r="G49" s="13">
        <f t="shared" si="7"/>
        <v>8589.816929550967</v>
      </c>
      <c r="H49" s="13">
        <f t="shared" si="5"/>
        <v>10823.328561768831</v>
      </c>
      <c r="I49" s="13">
        <f t="shared" si="8"/>
        <v>388478.9176869581</v>
      </c>
    </row>
    <row r="50" spans="1:9">
      <c r="A50" s="5">
        <v>44</v>
      </c>
      <c r="B50" s="10">
        <f t="shared" si="1"/>
        <v>46844.25</v>
      </c>
      <c r="C50" s="13">
        <f t="shared" si="2"/>
        <v>388478.9176869581</v>
      </c>
      <c r="D50" s="11">
        <f t="shared" si="3"/>
        <v>10823.328561768831</v>
      </c>
      <c r="E50" s="12">
        <f t="shared" si="10"/>
        <v>6.7500000000000004E-2</v>
      </c>
      <c r="F50" s="13">
        <f t="shared" si="0"/>
        <v>2185.1939119891395</v>
      </c>
      <c r="G50" s="13">
        <f t="shared" si="7"/>
        <v>8638.1346497796912</v>
      </c>
      <c r="H50" s="13">
        <f t="shared" si="5"/>
        <v>10823.328561768831</v>
      </c>
      <c r="I50" s="13">
        <f t="shared" si="8"/>
        <v>379840.78303717839</v>
      </c>
    </row>
    <row r="51" spans="1:9">
      <c r="A51" s="5">
        <v>45</v>
      </c>
      <c r="B51" s="10">
        <f t="shared" si="1"/>
        <v>46874.6875</v>
      </c>
      <c r="C51" s="13">
        <f t="shared" si="2"/>
        <v>379840.78303717839</v>
      </c>
      <c r="D51" s="11">
        <f t="shared" si="3"/>
        <v>10823.328561768831</v>
      </c>
      <c r="E51" s="12">
        <f t="shared" si="10"/>
        <v>6.7500000000000004E-2</v>
      </c>
      <c r="F51" s="13">
        <f t="shared" si="0"/>
        <v>2136.6044045841286</v>
      </c>
      <c r="G51" s="13">
        <f t="shared" si="7"/>
        <v>8686.7241571847026</v>
      </c>
      <c r="H51" s="13">
        <f t="shared" si="5"/>
        <v>10823.328561768831</v>
      </c>
      <c r="I51" s="13">
        <f t="shared" si="8"/>
        <v>371154.05887999368</v>
      </c>
    </row>
    <row r="52" spans="1:9">
      <c r="A52" s="5">
        <v>46</v>
      </c>
      <c r="B52" s="10">
        <f t="shared" si="1"/>
        <v>46905.125</v>
      </c>
      <c r="C52" s="13">
        <f t="shared" si="2"/>
        <v>371154.05887999368</v>
      </c>
      <c r="D52" s="11">
        <f t="shared" si="3"/>
        <v>10823.328561768831</v>
      </c>
      <c r="E52" s="12">
        <f t="shared" si="10"/>
        <v>6.7500000000000004E-2</v>
      </c>
      <c r="F52" s="13">
        <f t="shared" si="0"/>
        <v>2087.7415811999645</v>
      </c>
      <c r="G52" s="13">
        <f t="shared" si="7"/>
        <v>8735.5869805688671</v>
      </c>
      <c r="H52" s="13">
        <f t="shared" si="5"/>
        <v>10823.328561768831</v>
      </c>
      <c r="I52" s="13">
        <f t="shared" si="8"/>
        <v>362418.4718994248</v>
      </c>
    </row>
    <row r="53" spans="1:9">
      <c r="A53" s="5">
        <v>47</v>
      </c>
      <c r="B53" s="10">
        <f t="shared" si="1"/>
        <v>46935.5625</v>
      </c>
      <c r="C53" s="13">
        <f t="shared" si="2"/>
        <v>362418.4718994248</v>
      </c>
      <c r="D53" s="11">
        <f t="shared" si="3"/>
        <v>10823.328561768831</v>
      </c>
      <c r="E53" s="12">
        <f t="shared" si="10"/>
        <v>6.7500000000000004E-2</v>
      </c>
      <c r="F53" s="13">
        <f t="shared" si="0"/>
        <v>2038.6039044342645</v>
      </c>
      <c r="G53" s="13">
        <f t="shared" si="7"/>
        <v>8784.7246573345656</v>
      </c>
      <c r="H53" s="13">
        <f t="shared" si="5"/>
        <v>10823.328561768831</v>
      </c>
      <c r="I53" s="13">
        <f t="shared" si="8"/>
        <v>353633.74724209023</v>
      </c>
    </row>
    <row r="54" spans="1:9">
      <c r="A54" s="5">
        <v>48</v>
      </c>
      <c r="B54" s="10">
        <f t="shared" si="1"/>
        <v>46966</v>
      </c>
      <c r="C54" s="13">
        <f t="shared" si="2"/>
        <v>353633.74724209023</v>
      </c>
      <c r="D54" s="11">
        <f t="shared" si="3"/>
        <v>10823.328561768831</v>
      </c>
      <c r="E54" s="12">
        <f t="shared" si="10"/>
        <v>6.7500000000000004E-2</v>
      </c>
      <c r="F54" s="13">
        <f t="shared" si="0"/>
        <v>1989.1898282367576</v>
      </c>
      <c r="G54" s="13">
        <f t="shared" si="7"/>
        <v>8834.1387335320724</v>
      </c>
      <c r="H54" s="13">
        <f t="shared" si="5"/>
        <v>10823.328561768831</v>
      </c>
      <c r="I54" s="13">
        <f t="shared" si="8"/>
        <v>344799.60850855819</v>
      </c>
    </row>
    <row r="55" spans="1:9">
      <c r="A55">
        <v>49</v>
      </c>
      <c r="B55" s="6">
        <f t="shared" si="1"/>
        <v>46996.4375</v>
      </c>
      <c r="C55" s="8">
        <f t="shared" si="2"/>
        <v>344799.60850855819</v>
      </c>
      <c r="D55" s="7">
        <f t="shared" si="3"/>
        <v>10823.328561768831</v>
      </c>
      <c r="E55" s="9">
        <f>6.75%-0.15%</f>
        <v>6.6000000000000003E-2</v>
      </c>
      <c r="F55" s="8">
        <f t="shared" si="0"/>
        <v>1896.3978467970701</v>
      </c>
      <c r="G55" s="8">
        <f t="shared" si="7"/>
        <v>8926.9307149717606</v>
      </c>
      <c r="H55" s="8">
        <f t="shared" si="5"/>
        <v>10823.328561768831</v>
      </c>
      <c r="I55" s="8">
        <f t="shared" si="8"/>
        <v>335872.67779358645</v>
      </c>
    </row>
    <row r="56" spans="1:9">
      <c r="A56">
        <v>50</v>
      </c>
      <c r="B56" s="6">
        <f t="shared" si="1"/>
        <v>47026.875</v>
      </c>
      <c r="C56" s="8">
        <f t="shared" si="2"/>
        <v>335872.67779358645</v>
      </c>
      <c r="D56" s="7">
        <f t="shared" si="3"/>
        <v>10823.328561768831</v>
      </c>
      <c r="E56" s="9">
        <f t="shared" si="10"/>
        <v>6.6000000000000003E-2</v>
      </c>
      <c r="F56" s="8">
        <f t="shared" si="0"/>
        <v>1847.2997278647256</v>
      </c>
      <c r="G56" s="8">
        <f t="shared" si="7"/>
        <v>8976.0288339041053</v>
      </c>
      <c r="H56" s="8">
        <f t="shared" si="5"/>
        <v>10823.328561768831</v>
      </c>
      <c r="I56" s="8">
        <f t="shared" si="8"/>
        <v>326896.64895968232</v>
      </c>
    </row>
    <row r="57" spans="1:9">
      <c r="A57">
        <v>51</v>
      </c>
      <c r="B57" s="6">
        <f t="shared" si="1"/>
        <v>47057.3125</v>
      </c>
      <c r="C57" s="8">
        <f t="shared" si="2"/>
        <v>326896.64895968232</v>
      </c>
      <c r="D57" s="7">
        <f t="shared" si="3"/>
        <v>10823.328561768831</v>
      </c>
      <c r="E57" s="9">
        <f t="shared" si="10"/>
        <v>6.6000000000000003E-2</v>
      </c>
      <c r="F57" s="8">
        <f t="shared" si="0"/>
        <v>1797.9315692782529</v>
      </c>
      <c r="G57" s="8">
        <f t="shared" si="7"/>
        <v>9025.3969924905778</v>
      </c>
      <c r="H57" s="8">
        <f t="shared" si="5"/>
        <v>10823.328561768831</v>
      </c>
      <c r="I57" s="8">
        <f t="shared" si="8"/>
        <v>317871.25196719175</v>
      </c>
    </row>
    <row r="58" spans="1:9">
      <c r="A58">
        <v>52</v>
      </c>
      <c r="B58" s="6">
        <f t="shared" si="1"/>
        <v>47087.75</v>
      </c>
      <c r="C58" s="8">
        <f t="shared" si="2"/>
        <v>317871.25196719175</v>
      </c>
      <c r="D58" s="7">
        <f t="shared" si="3"/>
        <v>10823.328561768831</v>
      </c>
      <c r="E58" s="9">
        <f t="shared" si="10"/>
        <v>6.6000000000000003E-2</v>
      </c>
      <c r="F58" s="8">
        <f t="shared" si="0"/>
        <v>1748.2918858195546</v>
      </c>
      <c r="G58" s="8">
        <f t="shared" si="7"/>
        <v>9075.0366759492754</v>
      </c>
      <c r="H58" s="8">
        <f t="shared" si="5"/>
        <v>10823.328561768831</v>
      </c>
      <c r="I58" s="8">
        <f t="shared" si="8"/>
        <v>308796.21529124246</v>
      </c>
    </row>
    <row r="59" spans="1:9">
      <c r="A59">
        <v>53</v>
      </c>
      <c r="B59" s="6">
        <f t="shared" si="1"/>
        <v>47118.1875</v>
      </c>
      <c r="C59" s="8">
        <f t="shared" si="2"/>
        <v>308796.21529124246</v>
      </c>
      <c r="D59" s="7">
        <f t="shared" si="3"/>
        <v>10823.328561768831</v>
      </c>
      <c r="E59" s="9">
        <f t="shared" si="10"/>
        <v>6.6000000000000003E-2</v>
      </c>
      <c r="F59" s="8">
        <f t="shared" si="0"/>
        <v>1698.3791841018337</v>
      </c>
      <c r="G59" s="8">
        <f t="shared" si="7"/>
        <v>9124.949377666997</v>
      </c>
      <c r="H59" s="8">
        <f t="shared" si="5"/>
        <v>10823.328561768831</v>
      </c>
      <c r="I59" s="8">
        <f t="shared" si="8"/>
        <v>299671.26591357548</v>
      </c>
    </row>
    <row r="60" spans="1:9">
      <c r="A60">
        <v>54</v>
      </c>
      <c r="B60" s="6">
        <f t="shared" si="1"/>
        <v>47148.625</v>
      </c>
      <c r="C60" s="8">
        <f t="shared" si="2"/>
        <v>299671.26591357548</v>
      </c>
      <c r="D60" s="7">
        <f t="shared" si="3"/>
        <v>10823.328561768831</v>
      </c>
      <c r="E60" s="9">
        <f t="shared" si="10"/>
        <v>6.6000000000000003E-2</v>
      </c>
      <c r="F60" s="8">
        <f t="shared" si="0"/>
        <v>1648.1919625246653</v>
      </c>
      <c r="G60" s="8">
        <f t="shared" si="7"/>
        <v>9175.1365992441661</v>
      </c>
      <c r="H60" s="8">
        <f t="shared" si="5"/>
        <v>10823.328561768831</v>
      </c>
      <c r="I60" s="8">
        <f t="shared" si="8"/>
        <v>290496.12931433134</v>
      </c>
    </row>
    <row r="61" spans="1:9">
      <c r="A61">
        <v>55</v>
      </c>
      <c r="B61" s="6">
        <f t="shared" si="1"/>
        <v>47179.0625</v>
      </c>
      <c r="C61" s="8">
        <f t="shared" si="2"/>
        <v>290496.12931433134</v>
      </c>
      <c r="D61" s="7">
        <f t="shared" si="3"/>
        <v>10823.328561768831</v>
      </c>
      <c r="E61" s="9">
        <f t="shared" si="10"/>
        <v>6.6000000000000003E-2</v>
      </c>
      <c r="F61" s="8">
        <f t="shared" si="0"/>
        <v>1597.7287112288225</v>
      </c>
      <c r="G61" s="8">
        <f t="shared" si="7"/>
        <v>9225.5998505400075</v>
      </c>
      <c r="H61" s="8">
        <f t="shared" si="5"/>
        <v>10823.328561768831</v>
      </c>
      <c r="I61" s="8">
        <f t="shared" si="8"/>
        <v>281270.52946379135</v>
      </c>
    </row>
    <row r="62" spans="1:9">
      <c r="A62">
        <v>56</v>
      </c>
      <c r="B62" s="6">
        <f t="shared" si="1"/>
        <v>47209.5</v>
      </c>
      <c r="C62" s="8">
        <f t="shared" si="2"/>
        <v>281270.52946379135</v>
      </c>
      <c r="D62" s="7">
        <f t="shared" si="3"/>
        <v>10823.328561768831</v>
      </c>
      <c r="E62" s="9">
        <f t="shared" si="10"/>
        <v>6.6000000000000003E-2</v>
      </c>
      <c r="F62" s="8">
        <f t="shared" si="0"/>
        <v>1546.9879120508524</v>
      </c>
      <c r="G62" s="8">
        <f t="shared" si="7"/>
        <v>9276.3406497179785</v>
      </c>
      <c r="H62" s="8">
        <f t="shared" si="5"/>
        <v>10823.328561768831</v>
      </c>
      <c r="I62" s="8">
        <f t="shared" si="8"/>
        <v>271994.18881407339</v>
      </c>
    </row>
    <row r="63" spans="1:9">
      <c r="A63">
        <v>57</v>
      </c>
      <c r="B63" s="6">
        <f t="shared" si="1"/>
        <v>47239.9375</v>
      </c>
      <c r="C63" s="8">
        <f t="shared" si="2"/>
        <v>271994.18881407339</v>
      </c>
      <c r="D63" s="7">
        <f t="shared" si="3"/>
        <v>10823.328561768831</v>
      </c>
      <c r="E63" s="9">
        <f t="shared" si="10"/>
        <v>6.6000000000000003E-2</v>
      </c>
      <c r="F63" s="8">
        <f t="shared" si="0"/>
        <v>1495.9680384774038</v>
      </c>
      <c r="G63" s="8">
        <f t="shared" si="7"/>
        <v>9327.3605232914269</v>
      </c>
      <c r="H63" s="8">
        <f t="shared" si="5"/>
        <v>10823.328561768831</v>
      </c>
      <c r="I63" s="8">
        <f t="shared" si="8"/>
        <v>262666.82829078194</v>
      </c>
    </row>
    <row r="64" spans="1:9">
      <c r="A64">
        <v>58</v>
      </c>
      <c r="B64" s="6">
        <f t="shared" si="1"/>
        <v>47270.375</v>
      </c>
      <c r="C64" s="8">
        <f t="shared" si="2"/>
        <v>262666.82829078194</v>
      </c>
      <c r="D64" s="7">
        <f t="shared" si="3"/>
        <v>10823.328561768831</v>
      </c>
      <c r="E64" s="9">
        <f t="shared" si="10"/>
        <v>6.6000000000000003E-2</v>
      </c>
      <c r="F64" s="8">
        <f t="shared" si="0"/>
        <v>1444.6675555993006</v>
      </c>
      <c r="G64" s="8">
        <f t="shared" si="7"/>
        <v>9378.6610061695301</v>
      </c>
      <c r="H64" s="8">
        <f t="shared" si="5"/>
        <v>10823.328561768831</v>
      </c>
      <c r="I64" s="8">
        <f t="shared" si="8"/>
        <v>253288.1672846124</v>
      </c>
    </row>
    <row r="65" spans="1:9">
      <c r="A65">
        <v>59</v>
      </c>
      <c r="B65" s="6">
        <f t="shared" si="1"/>
        <v>47300.8125</v>
      </c>
      <c r="C65" s="8">
        <f t="shared" si="2"/>
        <v>253288.1672846124</v>
      </c>
      <c r="D65" s="7">
        <f t="shared" si="3"/>
        <v>10823.328561768831</v>
      </c>
      <c r="E65" s="9">
        <f t="shared" si="10"/>
        <v>6.6000000000000003E-2</v>
      </c>
      <c r="F65" s="8">
        <f t="shared" si="0"/>
        <v>1393.0849200653684</v>
      </c>
      <c r="G65" s="8">
        <f t="shared" si="7"/>
        <v>9430.2436417034623</v>
      </c>
      <c r="H65" s="8">
        <f t="shared" si="5"/>
        <v>10823.328561768831</v>
      </c>
      <c r="I65" s="8">
        <f t="shared" si="8"/>
        <v>243857.92364290892</v>
      </c>
    </row>
    <row r="66" spans="1:9">
      <c r="A66">
        <v>60</v>
      </c>
      <c r="B66" s="6">
        <f t="shared" si="1"/>
        <v>47331.25</v>
      </c>
      <c r="C66" s="8">
        <f t="shared" si="2"/>
        <v>243857.92364290892</v>
      </c>
      <c r="D66" s="7">
        <f t="shared" si="3"/>
        <v>10823.328561768831</v>
      </c>
      <c r="E66" s="9">
        <f t="shared" si="10"/>
        <v>6.6000000000000003E-2</v>
      </c>
      <c r="F66" s="8">
        <f t="shared" si="0"/>
        <v>1341.2185800359991</v>
      </c>
      <c r="G66" s="8">
        <f t="shared" si="7"/>
        <v>9482.1099817328322</v>
      </c>
      <c r="H66" s="8">
        <f t="shared" si="5"/>
        <v>10823.328561768831</v>
      </c>
      <c r="I66" s="8">
        <f t="shared" si="8"/>
        <v>234375.8136611761</v>
      </c>
    </row>
    <row r="67" spans="1:9">
      <c r="A67" s="5">
        <v>61</v>
      </c>
      <c r="B67" s="10">
        <f t="shared" si="1"/>
        <v>47361.6875</v>
      </c>
      <c r="C67" s="13">
        <f t="shared" si="2"/>
        <v>234375.8136611761</v>
      </c>
      <c r="D67" s="11">
        <f t="shared" si="3"/>
        <v>10823.328561768831</v>
      </c>
      <c r="E67" s="12">
        <f t="shared" si="10"/>
        <v>6.6000000000000003E-2</v>
      </c>
      <c r="F67" s="13">
        <f t="shared" si="0"/>
        <v>1289.0669751364687</v>
      </c>
      <c r="G67" s="13">
        <f t="shared" si="7"/>
        <v>9534.2615866323613</v>
      </c>
      <c r="H67" s="13">
        <f t="shared" si="5"/>
        <v>10823.328561768831</v>
      </c>
      <c r="I67" s="13">
        <f t="shared" si="8"/>
        <v>224841.55207454372</v>
      </c>
    </row>
    <row r="68" spans="1:9">
      <c r="A68" s="5">
        <v>62</v>
      </c>
      <c r="B68" s="10">
        <f t="shared" si="1"/>
        <v>47392.125</v>
      </c>
      <c r="C68" s="13">
        <f t="shared" si="2"/>
        <v>224841.55207454372</v>
      </c>
      <c r="D68" s="11">
        <f t="shared" si="3"/>
        <v>10823.328561768831</v>
      </c>
      <c r="E68" s="12">
        <f t="shared" si="10"/>
        <v>6.6000000000000003E-2</v>
      </c>
      <c r="F68" s="13">
        <f t="shared" si="0"/>
        <v>1236.6285364099906</v>
      </c>
      <c r="G68" s="13">
        <f t="shared" si="7"/>
        <v>9586.7000253588394</v>
      </c>
      <c r="H68" s="13">
        <f t="shared" si="5"/>
        <v>10823.328561768831</v>
      </c>
      <c r="I68" s="13">
        <f t="shared" si="8"/>
        <v>215254.85204918488</v>
      </c>
    </row>
    <row r="69" spans="1:9">
      <c r="A69" s="5">
        <v>63</v>
      </c>
      <c r="B69" s="10">
        <f t="shared" si="1"/>
        <v>47422.5625</v>
      </c>
      <c r="C69" s="13">
        <f t="shared" si="2"/>
        <v>215254.85204918488</v>
      </c>
      <c r="D69" s="11">
        <f t="shared" si="3"/>
        <v>10823.328561768831</v>
      </c>
      <c r="E69" s="12">
        <f t="shared" si="10"/>
        <v>6.6000000000000003E-2</v>
      </c>
      <c r="F69" s="13">
        <f t="shared" si="0"/>
        <v>1183.9016862705168</v>
      </c>
      <c r="G69" s="13">
        <f t="shared" si="7"/>
        <v>9639.4268754983132</v>
      </c>
      <c r="H69" s="13">
        <f t="shared" si="5"/>
        <v>10823.328561768831</v>
      </c>
      <c r="I69" s="13">
        <f t="shared" si="8"/>
        <v>205615.42517368656</v>
      </c>
    </row>
    <row r="70" spans="1:9">
      <c r="A70" s="5">
        <v>64</v>
      </c>
      <c r="B70" s="10">
        <f t="shared" si="1"/>
        <v>47453</v>
      </c>
      <c r="C70" s="13">
        <f t="shared" si="2"/>
        <v>205615.42517368656</v>
      </c>
      <c r="D70" s="11">
        <f t="shared" si="3"/>
        <v>10823.328561768831</v>
      </c>
      <c r="E70" s="12">
        <f t="shared" si="10"/>
        <v>6.6000000000000003E-2</v>
      </c>
      <c r="F70" s="13">
        <f t="shared" si="0"/>
        <v>1130.8848384552762</v>
      </c>
      <c r="G70" s="13">
        <f t="shared" si="7"/>
        <v>9692.4437233135541</v>
      </c>
      <c r="H70" s="13">
        <f t="shared" si="5"/>
        <v>10823.328561768831</v>
      </c>
      <c r="I70" s="13">
        <f t="shared" si="8"/>
        <v>195922.98145037302</v>
      </c>
    </row>
    <row r="71" spans="1:9">
      <c r="A71" s="5">
        <v>65</v>
      </c>
      <c r="B71" s="10">
        <f t="shared" si="1"/>
        <v>47483.4375</v>
      </c>
      <c r="C71" s="13">
        <f t="shared" si="2"/>
        <v>195922.98145037302</v>
      </c>
      <c r="D71" s="11">
        <f t="shared" si="3"/>
        <v>10823.328561768831</v>
      </c>
      <c r="E71" s="12">
        <f t="shared" si="10"/>
        <v>6.6000000000000003E-2</v>
      </c>
      <c r="F71" s="13">
        <f t="shared" si="0"/>
        <v>1077.5763979770516</v>
      </c>
      <c r="G71" s="13">
        <f t="shared" si="7"/>
        <v>9745.7521637917798</v>
      </c>
      <c r="H71" s="13">
        <f t="shared" si="5"/>
        <v>10823.328561768831</v>
      </c>
      <c r="I71" s="13">
        <f t="shared" si="8"/>
        <v>186177.22928658125</v>
      </c>
    </row>
    <row r="72" spans="1:9">
      <c r="A72" s="5">
        <v>66</v>
      </c>
      <c r="B72" s="10">
        <f t="shared" si="1"/>
        <v>47513.875</v>
      </c>
      <c r="C72" s="13">
        <f t="shared" si="2"/>
        <v>186177.22928658125</v>
      </c>
      <c r="D72" s="11">
        <f t="shared" si="3"/>
        <v>10823.328561768831</v>
      </c>
      <c r="E72" s="12">
        <f t="shared" si="10"/>
        <v>6.6000000000000003E-2</v>
      </c>
      <c r="F72" s="13">
        <f t="shared" ref="F72:F95" si="11">C72*E72/12</f>
        <v>1023.974761076197</v>
      </c>
      <c r="G72" s="13">
        <f t="shared" si="7"/>
        <v>9799.3538006926337</v>
      </c>
      <c r="H72" s="13">
        <f t="shared" si="5"/>
        <v>10823.328561768831</v>
      </c>
      <c r="I72" s="13">
        <f t="shared" si="8"/>
        <v>176377.87548588862</v>
      </c>
    </row>
    <row r="73" spans="1:9">
      <c r="A73" s="5">
        <v>67</v>
      </c>
      <c r="B73" s="10">
        <f t="shared" ref="B73:B90" si="12">B72+(365.25/12)</f>
        <v>47544.3125</v>
      </c>
      <c r="C73" s="13">
        <f t="shared" ref="C73:C96" si="13">I72</f>
        <v>176377.87548588862</v>
      </c>
      <c r="D73" s="11">
        <f t="shared" ref="D73:D90" si="14">$D$3</f>
        <v>10823.328561768831</v>
      </c>
      <c r="E73" s="12">
        <f t="shared" si="10"/>
        <v>6.6000000000000003E-2</v>
      </c>
      <c r="F73" s="13">
        <f t="shared" si="11"/>
        <v>970.07831517238753</v>
      </c>
      <c r="G73" s="13">
        <f t="shared" si="7"/>
        <v>9853.2502465964426</v>
      </c>
      <c r="H73" s="13">
        <f t="shared" ref="H73:H96" si="15">F73+G73</f>
        <v>10823.328561768831</v>
      </c>
      <c r="I73" s="13">
        <f t="shared" si="8"/>
        <v>166524.62523929219</v>
      </c>
    </row>
    <row r="74" spans="1:9">
      <c r="A74" s="5">
        <v>68</v>
      </c>
      <c r="B74" s="10">
        <f t="shared" si="12"/>
        <v>47574.75</v>
      </c>
      <c r="C74" s="13">
        <f t="shared" si="13"/>
        <v>166524.62523929219</v>
      </c>
      <c r="D74" s="11">
        <f t="shared" si="14"/>
        <v>10823.328561768831</v>
      </c>
      <c r="E74" s="12">
        <f t="shared" si="10"/>
        <v>6.6000000000000003E-2</v>
      </c>
      <c r="F74" s="13">
        <f t="shared" si="11"/>
        <v>915.88543881610713</v>
      </c>
      <c r="G74" s="13">
        <f t="shared" si="7"/>
        <v>9907.4431229527236</v>
      </c>
      <c r="H74" s="13">
        <f t="shared" si="15"/>
        <v>10823.328561768831</v>
      </c>
      <c r="I74" s="13">
        <f t="shared" si="8"/>
        <v>156617.18211633948</v>
      </c>
    </row>
    <row r="75" spans="1:9">
      <c r="A75" s="5">
        <v>69</v>
      </c>
      <c r="B75" s="10">
        <f t="shared" si="12"/>
        <v>47605.1875</v>
      </c>
      <c r="C75" s="13">
        <f t="shared" si="13"/>
        <v>156617.18211633948</v>
      </c>
      <c r="D75" s="11">
        <f t="shared" si="14"/>
        <v>10823.328561768831</v>
      </c>
      <c r="E75" s="12">
        <f t="shared" si="10"/>
        <v>6.6000000000000003E-2</v>
      </c>
      <c r="F75" s="13">
        <f t="shared" si="11"/>
        <v>861.39450163986714</v>
      </c>
      <c r="G75" s="13">
        <f t="shared" si="7"/>
        <v>9961.9340601289641</v>
      </c>
      <c r="H75" s="13">
        <f t="shared" si="15"/>
        <v>10823.328561768831</v>
      </c>
      <c r="I75" s="13">
        <f t="shared" si="8"/>
        <v>146655.24805621052</v>
      </c>
    </row>
    <row r="76" spans="1:9">
      <c r="A76" s="5">
        <v>70</v>
      </c>
      <c r="B76" s="10">
        <f t="shared" si="12"/>
        <v>47635.625</v>
      </c>
      <c r="C76" s="13">
        <f t="shared" si="13"/>
        <v>146655.24805621052</v>
      </c>
      <c r="D76" s="11">
        <f t="shared" si="14"/>
        <v>10823.328561768831</v>
      </c>
      <c r="E76" s="12">
        <f t="shared" si="10"/>
        <v>6.6000000000000003E-2</v>
      </c>
      <c r="F76" s="13">
        <f t="shared" si="11"/>
        <v>806.60386430915787</v>
      </c>
      <c r="G76" s="13">
        <f t="shared" si="7"/>
        <v>10016.724697459673</v>
      </c>
      <c r="H76" s="13">
        <f t="shared" si="15"/>
        <v>10823.328561768831</v>
      </c>
      <c r="I76" s="13">
        <f t="shared" si="8"/>
        <v>136638.52335875086</v>
      </c>
    </row>
    <row r="77" spans="1:9">
      <c r="A77" s="5">
        <v>71</v>
      </c>
      <c r="B77" s="10">
        <f t="shared" si="12"/>
        <v>47666.0625</v>
      </c>
      <c r="C77" s="13">
        <f t="shared" si="13"/>
        <v>136638.52335875086</v>
      </c>
      <c r="D77" s="11">
        <f t="shared" si="14"/>
        <v>10823.328561768831</v>
      </c>
      <c r="E77" s="12">
        <f t="shared" si="10"/>
        <v>6.6000000000000003E-2</v>
      </c>
      <c r="F77" s="13">
        <f t="shared" si="11"/>
        <v>751.51187847312974</v>
      </c>
      <c r="G77" s="13">
        <f t="shared" si="7"/>
        <v>10071.816683295701</v>
      </c>
      <c r="H77" s="13">
        <f t="shared" si="15"/>
        <v>10823.328561768831</v>
      </c>
      <c r="I77" s="13">
        <f t="shared" si="8"/>
        <v>126566.70667545515</v>
      </c>
    </row>
    <row r="78" spans="1:9">
      <c r="A78" s="5">
        <v>72</v>
      </c>
      <c r="B78" s="10">
        <f t="shared" si="12"/>
        <v>47696.5</v>
      </c>
      <c r="C78" s="13">
        <f t="shared" si="13"/>
        <v>126566.70667545515</v>
      </c>
      <c r="D78" s="11">
        <f t="shared" si="14"/>
        <v>10823.328561768831</v>
      </c>
      <c r="E78" s="12">
        <f t="shared" si="10"/>
        <v>6.6000000000000003E-2</v>
      </c>
      <c r="F78" s="13">
        <f t="shared" si="11"/>
        <v>696.11688671500326</v>
      </c>
      <c r="G78" s="13">
        <f t="shared" si="7"/>
        <v>10127.211675053828</v>
      </c>
      <c r="H78" s="13">
        <f t="shared" si="15"/>
        <v>10823.328561768831</v>
      </c>
      <c r="I78" s="13">
        <f t="shared" si="8"/>
        <v>116439.49500040132</v>
      </c>
    </row>
    <row r="79" spans="1:9">
      <c r="A79">
        <v>73</v>
      </c>
      <c r="B79" s="6">
        <f t="shared" si="12"/>
        <v>47726.9375</v>
      </c>
      <c r="C79" s="8">
        <f t="shared" si="13"/>
        <v>116439.49500040132</v>
      </c>
      <c r="D79" s="7">
        <f t="shared" ref="D79:D89" si="16">IF(D78&gt;C79,C79,$D$3)</f>
        <v>10823.328561768831</v>
      </c>
      <c r="E79" s="9">
        <f t="shared" si="10"/>
        <v>6.6000000000000003E-2</v>
      </c>
      <c r="F79" s="8">
        <f t="shared" si="11"/>
        <v>640.41722250220732</v>
      </c>
      <c r="G79" s="8">
        <f t="shared" si="7"/>
        <v>10182.911339266624</v>
      </c>
      <c r="H79" s="8">
        <f t="shared" si="15"/>
        <v>10823.328561768831</v>
      </c>
      <c r="I79" s="8">
        <f t="shared" ref="I79:I88" si="17">IF(H79&lt;H78,SUM(F79,G79),C79-G79)</f>
        <v>106256.5836611347</v>
      </c>
    </row>
    <row r="80" spans="1:9">
      <c r="A80">
        <v>74</v>
      </c>
      <c r="B80" s="6">
        <f t="shared" si="12"/>
        <v>47757.375</v>
      </c>
      <c r="C80" s="8">
        <f t="shared" si="13"/>
        <v>106256.5836611347</v>
      </c>
      <c r="D80" s="7">
        <f t="shared" si="16"/>
        <v>10823.328561768831</v>
      </c>
      <c r="E80" s="9">
        <f t="shared" si="10"/>
        <v>6.6000000000000003E-2</v>
      </c>
      <c r="F80" s="8">
        <f t="shared" si="11"/>
        <v>584.41121013624092</v>
      </c>
      <c r="G80" s="8">
        <f t="shared" si="7"/>
        <v>10238.91735163259</v>
      </c>
      <c r="H80" s="8">
        <f t="shared" si="15"/>
        <v>10823.328561768831</v>
      </c>
      <c r="I80" s="8">
        <f t="shared" si="17"/>
        <v>96017.666309502121</v>
      </c>
    </row>
    <row r="81" spans="1:9">
      <c r="A81">
        <v>75</v>
      </c>
      <c r="B81" s="6">
        <f t="shared" si="12"/>
        <v>47787.8125</v>
      </c>
      <c r="C81" s="8">
        <f t="shared" si="13"/>
        <v>96017.666309502121</v>
      </c>
      <c r="D81" s="7">
        <f t="shared" si="16"/>
        <v>10823.328561768831</v>
      </c>
      <c r="E81" s="9">
        <f t="shared" si="10"/>
        <v>6.6000000000000003E-2</v>
      </c>
      <c r="F81" s="8">
        <f t="shared" si="11"/>
        <v>528.09716470226169</v>
      </c>
      <c r="G81" s="8">
        <f t="shared" si="7"/>
        <v>10295.231397066569</v>
      </c>
      <c r="H81" s="8">
        <f t="shared" si="15"/>
        <v>10823.328561768831</v>
      </c>
      <c r="I81" s="8">
        <f t="shared" si="17"/>
        <v>85722.43491243555</v>
      </c>
    </row>
    <row r="82" spans="1:9">
      <c r="A82">
        <v>76</v>
      </c>
      <c r="B82" s="6">
        <f t="shared" si="12"/>
        <v>47818.25</v>
      </c>
      <c r="C82" s="8">
        <f t="shared" si="13"/>
        <v>85722.43491243555</v>
      </c>
      <c r="D82" s="7">
        <f t="shared" si="16"/>
        <v>10823.328561768831</v>
      </c>
      <c r="E82" s="9">
        <f t="shared" si="10"/>
        <v>6.6000000000000003E-2</v>
      </c>
      <c r="F82" s="8">
        <f t="shared" si="11"/>
        <v>471.47339201839554</v>
      </c>
      <c r="G82" s="8">
        <f t="shared" si="7"/>
        <v>10351.855169750435</v>
      </c>
      <c r="H82" s="8">
        <f t="shared" si="15"/>
        <v>10823.328561768831</v>
      </c>
      <c r="I82" s="8">
        <f t="shared" si="17"/>
        <v>75370.57974268512</v>
      </c>
    </row>
    <row r="83" spans="1:9">
      <c r="A83">
        <v>77</v>
      </c>
      <c r="B83" s="6">
        <f t="shared" si="12"/>
        <v>47848.6875</v>
      </c>
      <c r="C83" s="8">
        <f t="shared" si="13"/>
        <v>75370.57974268512</v>
      </c>
      <c r="D83" s="7">
        <f t="shared" si="16"/>
        <v>10823.328561768831</v>
      </c>
      <c r="E83" s="9">
        <f t="shared" si="10"/>
        <v>6.6000000000000003E-2</v>
      </c>
      <c r="F83" s="8">
        <f t="shared" si="11"/>
        <v>414.53818858476819</v>
      </c>
      <c r="G83" s="8">
        <f t="shared" ref="G83:G106" si="18">D83-F83</f>
        <v>10408.790373184063</v>
      </c>
      <c r="H83" s="8">
        <f t="shared" si="15"/>
        <v>10823.328561768831</v>
      </c>
      <c r="I83" s="8">
        <f t="shared" si="17"/>
        <v>64961.789369501057</v>
      </c>
    </row>
    <row r="84" spans="1:9">
      <c r="A84">
        <v>78</v>
      </c>
      <c r="B84" s="6">
        <f t="shared" si="12"/>
        <v>47879.125</v>
      </c>
      <c r="C84" s="8">
        <f t="shared" si="13"/>
        <v>64961.789369501057</v>
      </c>
      <c r="D84" s="7">
        <f t="shared" si="16"/>
        <v>10823.328561768831</v>
      </c>
      <c r="E84" s="9">
        <f t="shared" si="10"/>
        <v>6.6000000000000003E-2</v>
      </c>
      <c r="F84" s="8">
        <f t="shared" si="11"/>
        <v>357.28984153225582</v>
      </c>
      <c r="G84" s="8">
        <f t="shared" si="18"/>
        <v>10466.038720236575</v>
      </c>
      <c r="H84" s="8">
        <f t="shared" si="15"/>
        <v>10823.328561768831</v>
      </c>
      <c r="I84" s="8">
        <f t="shared" si="17"/>
        <v>54495.750649264482</v>
      </c>
    </row>
    <row r="85" spans="1:9">
      <c r="A85">
        <v>79</v>
      </c>
      <c r="B85" s="6">
        <f t="shared" si="12"/>
        <v>47909.5625</v>
      </c>
      <c r="C85" s="8">
        <f t="shared" si="13"/>
        <v>54495.750649264482</v>
      </c>
      <c r="D85" s="7">
        <f t="shared" si="16"/>
        <v>10823.328561768831</v>
      </c>
      <c r="E85" s="9">
        <f t="shared" si="10"/>
        <v>6.6000000000000003E-2</v>
      </c>
      <c r="F85" s="8">
        <f t="shared" si="11"/>
        <v>299.72662857095469</v>
      </c>
      <c r="G85" s="8">
        <f t="shared" si="18"/>
        <v>10523.601933197877</v>
      </c>
      <c r="H85" s="8">
        <f t="shared" si="15"/>
        <v>10823.328561768831</v>
      </c>
      <c r="I85" s="8">
        <f t="shared" si="17"/>
        <v>43972.148716066607</v>
      </c>
    </row>
    <row r="86" spans="1:9">
      <c r="A86">
        <v>80</v>
      </c>
      <c r="B86" s="6">
        <f t="shared" si="12"/>
        <v>47940</v>
      </c>
      <c r="C86" s="8">
        <f t="shared" si="13"/>
        <v>43972.148716066607</v>
      </c>
      <c r="D86" s="7">
        <f t="shared" si="16"/>
        <v>10823.328561768831</v>
      </c>
      <c r="E86" s="9">
        <f t="shared" si="10"/>
        <v>6.6000000000000003E-2</v>
      </c>
      <c r="F86" s="8">
        <f t="shared" si="11"/>
        <v>241.84681793836637</v>
      </c>
      <c r="G86" s="8">
        <f t="shared" si="18"/>
        <v>10581.481743830464</v>
      </c>
      <c r="H86" s="8">
        <f t="shared" si="15"/>
        <v>10823.328561768831</v>
      </c>
      <c r="I86" s="8">
        <f t="shared" si="17"/>
        <v>33390.66697223614</v>
      </c>
    </row>
    <row r="87" spans="1:9">
      <c r="A87">
        <v>81</v>
      </c>
      <c r="B87" s="6">
        <f t="shared" si="12"/>
        <v>47970.4375</v>
      </c>
      <c r="C87" s="8">
        <f t="shared" si="13"/>
        <v>33390.66697223614</v>
      </c>
      <c r="D87" s="7">
        <f t="shared" si="16"/>
        <v>10823.328561768831</v>
      </c>
      <c r="E87" s="9">
        <f t="shared" si="10"/>
        <v>6.6000000000000003E-2</v>
      </c>
      <c r="F87" s="8">
        <f t="shared" si="11"/>
        <v>183.64866834729878</v>
      </c>
      <c r="G87" s="8">
        <f t="shared" si="18"/>
        <v>10639.679893421531</v>
      </c>
      <c r="H87" s="8">
        <f t="shared" si="15"/>
        <v>10823.328561768831</v>
      </c>
      <c r="I87" s="8">
        <f t="shared" si="17"/>
        <v>22750.987078814607</v>
      </c>
    </row>
    <row r="88" spans="1:9">
      <c r="A88">
        <v>82</v>
      </c>
      <c r="B88" s="6">
        <f t="shared" si="12"/>
        <v>48000.875</v>
      </c>
      <c r="C88" s="8">
        <f t="shared" si="13"/>
        <v>22750.987078814607</v>
      </c>
      <c r="D88" s="7">
        <f t="shared" si="16"/>
        <v>10823.328561768831</v>
      </c>
      <c r="E88" s="9">
        <f t="shared" si="10"/>
        <v>6.6000000000000003E-2</v>
      </c>
      <c r="F88" s="8">
        <f t="shared" si="11"/>
        <v>125.13042893348035</v>
      </c>
      <c r="G88" s="8">
        <f t="shared" si="18"/>
        <v>10698.19813283535</v>
      </c>
      <c r="H88" s="8">
        <f t="shared" si="15"/>
        <v>10823.328561768831</v>
      </c>
      <c r="I88" s="8">
        <f t="shared" si="17"/>
        <v>12052.788945979257</v>
      </c>
    </row>
    <row r="89" spans="1:9">
      <c r="A89">
        <v>83</v>
      </c>
      <c r="B89" s="6">
        <f t="shared" si="12"/>
        <v>48031.3125</v>
      </c>
      <c r="C89" s="8">
        <f t="shared" si="13"/>
        <v>12052.788945979257</v>
      </c>
      <c r="D89" s="7">
        <f t="shared" si="16"/>
        <v>10823.328561768831</v>
      </c>
      <c r="E89" s="9">
        <f t="shared" si="10"/>
        <v>6.6000000000000003E-2</v>
      </c>
      <c r="F89" s="8">
        <f t="shared" si="11"/>
        <v>66.290339202885917</v>
      </c>
      <c r="G89" s="8">
        <f t="shared" si="18"/>
        <v>10757.038222565945</v>
      </c>
      <c r="H89" s="8">
        <f t="shared" si="15"/>
        <v>10823.328561768831</v>
      </c>
      <c r="I89" s="8">
        <f>IF(H89&lt;H88,SUM(F89,G89),C89-G89)</f>
        <v>1295.7507234133118</v>
      </c>
    </row>
    <row r="90" spans="1:9">
      <c r="A90">
        <v>84</v>
      </c>
      <c r="B90" s="6">
        <f t="shared" si="12"/>
        <v>48061.75</v>
      </c>
      <c r="C90" s="8">
        <f t="shared" si="13"/>
        <v>1295.7507234133118</v>
      </c>
      <c r="D90" s="7">
        <f>IF(D89&gt;C90,C90,$D$3)</f>
        <v>1295.7507234133118</v>
      </c>
      <c r="E90" s="9">
        <f t="shared" si="10"/>
        <v>6.6000000000000003E-2</v>
      </c>
      <c r="F90" s="8">
        <f t="shared" si="11"/>
        <v>7.1266289787732156</v>
      </c>
      <c r="G90" s="8">
        <f t="shared" si="18"/>
        <v>1288.6240944345386</v>
      </c>
      <c r="H90" s="8">
        <f t="shared" si="15"/>
        <v>1295.7507234133118</v>
      </c>
      <c r="I90" s="8">
        <f>IF(H90=H89,SUM(F90,G90),C90-H90)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AAFB0-6493-4692-827F-2832B245732B}">
  <dimension ref="A1:K28"/>
  <sheetViews>
    <sheetView workbookViewId="0">
      <selection activeCell="H31" sqref="H31"/>
    </sheetView>
  </sheetViews>
  <sheetFormatPr defaultRowHeight="15"/>
  <cols>
    <col min="1" max="1" width="14" customWidth="1"/>
    <col min="2" max="2" width="16.5703125" customWidth="1"/>
    <col min="3" max="3" width="5.5703125" customWidth="1"/>
    <col min="4" max="4" width="14.42578125" customWidth="1"/>
    <col min="5" max="5" width="16.5703125" customWidth="1"/>
    <col min="7" max="7" width="14.28515625" customWidth="1"/>
    <col min="8" max="8" width="15.28515625" customWidth="1"/>
    <col min="9" max="9" width="5.85546875" customWidth="1"/>
    <col min="10" max="10" width="17.5703125" customWidth="1"/>
    <col min="11" max="11" width="22.5703125" customWidth="1"/>
  </cols>
  <sheetData>
    <row r="1" spans="1:11">
      <c r="D1" t="s">
        <v>38</v>
      </c>
      <c r="G1" t="s">
        <v>39</v>
      </c>
      <c r="J1" t="s">
        <v>40</v>
      </c>
    </row>
    <row r="3" spans="1:11">
      <c r="A3" t="s">
        <v>3</v>
      </c>
      <c r="B3" s="4">
        <f>(950000+140000)</f>
        <v>1090000</v>
      </c>
      <c r="D3" t="s">
        <v>3</v>
      </c>
      <c r="E3" s="4">
        <f>(950000)</f>
        <v>950000</v>
      </c>
      <c r="G3" t="s">
        <v>3</v>
      </c>
      <c r="H3" s="4">
        <f>(950000)</f>
        <v>950000</v>
      </c>
      <c r="J3" t="s">
        <v>3</v>
      </c>
      <c r="K3" s="4">
        <f>(950000)</f>
        <v>950000</v>
      </c>
    </row>
    <row r="4" spans="1:11">
      <c r="A4" s="19">
        <v>0.2</v>
      </c>
      <c r="B4" s="4">
        <f>B3*20%</f>
        <v>218000</v>
      </c>
      <c r="D4" s="19">
        <v>0.2</v>
      </c>
      <c r="E4" s="4">
        <f>E3*20%</f>
        <v>190000</v>
      </c>
      <c r="G4" s="19">
        <v>0.2</v>
      </c>
      <c r="H4" s="4">
        <f>H3*20%</f>
        <v>190000</v>
      </c>
      <c r="J4" s="19">
        <v>0.2</v>
      </c>
      <c r="K4" s="4">
        <f>K3*20%</f>
        <v>190000</v>
      </c>
    </row>
    <row r="5" spans="1:11">
      <c r="A5" s="16"/>
      <c r="B5" s="4"/>
      <c r="D5" s="16"/>
      <c r="E5" s="4"/>
      <c r="G5" s="16"/>
      <c r="H5" s="4"/>
      <c r="J5" s="16"/>
      <c r="K5" s="4"/>
    </row>
    <row r="6" spans="1:11">
      <c r="A6" s="17" t="s">
        <v>41</v>
      </c>
      <c r="B6" s="18">
        <f>B3-B4</f>
        <v>872000</v>
      </c>
      <c r="D6" s="17" t="s">
        <v>41</v>
      </c>
      <c r="E6" s="18">
        <f>E3-E4</f>
        <v>760000</v>
      </c>
      <c r="G6" s="17" t="s">
        <v>41</v>
      </c>
      <c r="H6" s="18">
        <f>H3-H4</f>
        <v>760000</v>
      </c>
      <c r="J6" s="17" t="s">
        <v>41</v>
      </c>
      <c r="K6" s="18">
        <f>K3-K4</f>
        <v>760000</v>
      </c>
    </row>
    <row r="7" spans="1:11">
      <c r="A7" t="s">
        <v>42</v>
      </c>
      <c r="B7" s="4">
        <f>B3*65%</f>
        <v>708500</v>
      </c>
      <c r="D7" t="s">
        <v>42</v>
      </c>
      <c r="E7" s="4">
        <f>E3*65%</f>
        <v>617500</v>
      </c>
      <c r="G7" t="s">
        <v>42</v>
      </c>
      <c r="H7" s="4">
        <f>H3*65%</f>
        <v>617500</v>
      </c>
      <c r="J7" t="s">
        <v>42</v>
      </c>
      <c r="K7" s="4">
        <f>K3*65%</f>
        <v>617500</v>
      </c>
    </row>
    <row r="8" spans="1:11">
      <c r="A8" t="s">
        <v>43</v>
      </c>
      <c r="B8" s="4">
        <f>B6-B7</f>
        <v>163500</v>
      </c>
      <c r="D8" t="s">
        <v>43</v>
      </c>
      <c r="E8" s="4">
        <f>E6-E7</f>
        <v>142500</v>
      </c>
      <c r="G8" t="s">
        <v>43</v>
      </c>
      <c r="H8" s="4">
        <f>H6-H7</f>
        <v>142500</v>
      </c>
      <c r="J8" t="s">
        <v>43</v>
      </c>
      <c r="K8" s="4">
        <f>K6-K7</f>
        <v>142500</v>
      </c>
    </row>
    <row r="10" spans="1:11">
      <c r="A10" t="s">
        <v>44</v>
      </c>
      <c r="B10" s="4">
        <v>0</v>
      </c>
      <c r="D10" t="s">
        <v>44</v>
      </c>
      <c r="E10" s="4">
        <v>140000</v>
      </c>
      <c r="G10" t="s">
        <v>44</v>
      </c>
      <c r="H10" s="4">
        <v>140000</v>
      </c>
      <c r="J10" t="s">
        <v>44</v>
      </c>
      <c r="K10" s="4"/>
    </row>
    <row r="12" spans="1:11">
      <c r="A12" t="s">
        <v>45</v>
      </c>
      <c r="B12" s="4">
        <f>B4+B10</f>
        <v>218000</v>
      </c>
      <c r="D12" t="s">
        <v>45</v>
      </c>
      <c r="E12" s="4">
        <f>E4+E10</f>
        <v>330000</v>
      </c>
      <c r="G12" t="s">
        <v>45</v>
      </c>
      <c r="H12" s="4">
        <f>H4</f>
        <v>190000</v>
      </c>
      <c r="J12" t="s">
        <v>45</v>
      </c>
      <c r="K12" s="4">
        <f>K4+K10</f>
        <v>190000</v>
      </c>
    </row>
    <row r="13" spans="1:11">
      <c r="A13" t="s">
        <v>5</v>
      </c>
      <c r="B13" s="1">
        <v>7.1999999999999995E-2</v>
      </c>
      <c r="D13" t="s">
        <v>5</v>
      </c>
      <c r="E13" s="1">
        <f>4.75%+1%</f>
        <v>5.7500000000000002E-2</v>
      </c>
      <c r="G13" t="s">
        <v>5</v>
      </c>
      <c r="H13" s="1">
        <f>4.75%+1%</f>
        <v>5.7500000000000002E-2</v>
      </c>
      <c r="J13" t="s">
        <v>5</v>
      </c>
      <c r="K13" s="1">
        <f>4.75%+1%</f>
        <v>5.7500000000000002E-2</v>
      </c>
    </row>
    <row r="14" spans="1:11">
      <c r="A14" t="s">
        <v>46</v>
      </c>
      <c r="B14">
        <v>7</v>
      </c>
      <c r="D14" t="s">
        <v>46</v>
      </c>
      <c r="E14">
        <v>3</v>
      </c>
      <c r="G14" t="s">
        <v>46</v>
      </c>
      <c r="H14">
        <v>3</v>
      </c>
      <c r="J14" t="s">
        <v>46</v>
      </c>
      <c r="K14">
        <v>3</v>
      </c>
    </row>
    <row r="16" spans="1:11">
      <c r="B16" s="2">
        <f>PMT(B13,B14,B12,0,0)</f>
        <v>-40733.091317475177</v>
      </c>
      <c r="E16" s="2">
        <f>PMT(E13,E14,E12,0,0)</f>
        <v>-122885.62112180176</v>
      </c>
      <c r="H16" s="2">
        <f>PMT(H13,H14,H12,0,0)</f>
        <v>-70752.32731255253</v>
      </c>
      <c r="K16" s="2">
        <f>PMT(K13,K14,K12,0,0)</f>
        <v>-70752.32731255253</v>
      </c>
    </row>
    <row r="18" spans="1:11">
      <c r="A18" t="s">
        <v>44</v>
      </c>
      <c r="B18" s="4"/>
      <c r="D18" t="s">
        <v>44</v>
      </c>
      <c r="E18" s="4">
        <v>140000</v>
      </c>
      <c r="G18" t="s">
        <v>44</v>
      </c>
      <c r="H18" s="4">
        <v>0</v>
      </c>
      <c r="J18" t="s">
        <v>44</v>
      </c>
      <c r="K18" s="4">
        <v>140000</v>
      </c>
    </row>
    <row r="19" spans="1:11">
      <c r="A19" t="s">
        <v>47</v>
      </c>
      <c r="B19" s="4">
        <f>B18+B6</f>
        <v>872000</v>
      </c>
      <c r="D19" t="s">
        <v>47</v>
      </c>
      <c r="E19" s="4">
        <f>E18+E6</f>
        <v>900000</v>
      </c>
      <c r="G19" t="s">
        <v>47</v>
      </c>
      <c r="H19" s="4">
        <f>H18+H6</f>
        <v>760000</v>
      </c>
      <c r="J19" t="s">
        <v>47</v>
      </c>
      <c r="K19" s="4">
        <f>K18+K6</f>
        <v>900000</v>
      </c>
    </row>
    <row r="21" spans="1:11">
      <c r="G21" t="s">
        <v>45</v>
      </c>
      <c r="H21" s="4">
        <v>140000</v>
      </c>
      <c r="J21" t="s">
        <v>45</v>
      </c>
      <c r="K21" s="4">
        <v>140000</v>
      </c>
    </row>
    <row r="22" spans="1:11">
      <c r="G22" t="s">
        <v>5</v>
      </c>
      <c r="H22" s="1">
        <v>7.1999999999999995E-2</v>
      </c>
      <c r="J22" t="s">
        <v>5</v>
      </c>
      <c r="K22" s="1">
        <f>4.75%+1%</f>
        <v>5.7500000000000002E-2</v>
      </c>
    </row>
    <row r="23" spans="1:11">
      <c r="G23" t="s">
        <v>46</v>
      </c>
      <c r="H23">
        <v>3</v>
      </c>
      <c r="J23" t="s">
        <v>46</v>
      </c>
      <c r="K23">
        <v>2</v>
      </c>
    </row>
    <row r="25" spans="1:11">
      <c r="H25" s="2">
        <f>PMT(H22,H23,H21,0,0)</f>
        <v>-53542.279708330847</v>
      </c>
      <c r="K25" s="2">
        <f>PMT(K22,K23,K21,0,0)</f>
        <v>-76093.742405832323</v>
      </c>
    </row>
    <row r="27" spans="1:11">
      <c r="G27" t="s">
        <v>48</v>
      </c>
      <c r="H27" s="2">
        <f>H25+H16</f>
        <v>-124294.60702088338</v>
      </c>
      <c r="J27" t="s">
        <v>48</v>
      </c>
      <c r="K27" s="2">
        <f>K25+K16</f>
        <v>-146846.06971838485</v>
      </c>
    </row>
    <row r="28" spans="1:11">
      <c r="G28" t="s">
        <v>48</v>
      </c>
      <c r="H28" s="2">
        <f>H27/12</f>
        <v>-10357.883918406949</v>
      </c>
      <c r="J28" t="s">
        <v>48</v>
      </c>
      <c r="K28" s="2">
        <f>K27/12</f>
        <v>-12237.172476532071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FEAA3-2670-499B-868E-C069A25B12EA}">
  <dimension ref="A1:I90"/>
  <sheetViews>
    <sheetView workbookViewId="0">
      <selection activeCell="J4" sqref="J4"/>
    </sheetView>
  </sheetViews>
  <sheetFormatPr defaultRowHeight="15"/>
  <cols>
    <col min="1" max="1" width="13" customWidth="1"/>
    <col min="2" max="2" width="12.85546875" bestFit="1" customWidth="1"/>
    <col min="3" max="3" width="20" customWidth="1"/>
    <col min="4" max="5" width="11.5703125" customWidth="1"/>
    <col min="6" max="6" width="11.28515625" customWidth="1"/>
    <col min="7" max="9" width="16.7109375" customWidth="1"/>
  </cols>
  <sheetData>
    <row r="1" spans="1:9">
      <c r="A1" s="5" t="s">
        <v>23</v>
      </c>
      <c r="B1" s="4">
        <f>((950000+140000)*65%)</f>
        <v>708500</v>
      </c>
      <c r="C1" s="5" t="s">
        <v>24</v>
      </c>
      <c r="D1">
        <f>B2</f>
        <v>84</v>
      </c>
      <c r="F1" s="15" t="s">
        <v>36</v>
      </c>
      <c r="G1" s="8">
        <f>SUM(H7:H99)</f>
        <v>903991.35504383559</v>
      </c>
    </row>
    <row r="2" spans="1:9">
      <c r="A2" s="5" t="s">
        <v>25</v>
      </c>
      <c r="B2">
        <f>7*12</f>
        <v>84</v>
      </c>
      <c r="C2" s="5" t="s">
        <v>26</v>
      </c>
      <c r="D2" s="3">
        <f>B3/12</f>
        <v>5.9999999999999993E-3</v>
      </c>
      <c r="E2" s="3"/>
      <c r="F2" s="15" t="s">
        <v>37</v>
      </c>
      <c r="G2" s="8">
        <f>G1-B1</f>
        <v>195491.35504383559</v>
      </c>
    </row>
    <row r="3" spans="1:9">
      <c r="A3" s="5" t="s">
        <v>27</v>
      </c>
      <c r="B3" s="1">
        <v>7.1999999999999995E-2</v>
      </c>
      <c r="C3" s="5" t="s">
        <v>28</v>
      </c>
      <c r="D3" s="2">
        <f>PMT(B3/12,D1,-B1,0,0)</f>
        <v>10762.566015457145</v>
      </c>
      <c r="E3" s="2"/>
      <c r="F3" s="2"/>
    </row>
    <row r="4" spans="1:9">
      <c r="A4" s="5" t="s">
        <v>29</v>
      </c>
      <c r="B4" s="6">
        <f>DATE(2024,8,1)</f>
        <v>45505</v>
      </c>
    </row>
    <row r="6" spans="1:9">
      <c r="A6" s="14" t="s">
        <v>30</v>
      </c>
      <c r="B6" s="14" t="s">
        <v>31</v>
      </c>
      <c r="C6" s="14" t="s">
        <v>32</v>
      </c>
      <c r="D6" s="14" t="s">
        <v>28</v>
      </c>
      <c r="E6" s="14" t="s">
        <v>33</v>
      </c>
      <c r="F6" s="14" t="s">
        <v>33</v>
      </c>
      <c r="G6" s="14" t="s">
        <v>23</v>
      </c>
      <c r="H6" s="14" t="s">
        <v>34</v>
      </c>
      <c r="I6" s="14" t="s">
        <v>35</v>
      </c>
    </row>
    <row r="7" spans="1:9">
      <c r="A7">
        <v>1</v>
      </c>
      <c r="B7" s="6">
        <f>B4+(365.25/12)</f>
        <v>45535.4375</v>
      </c>
      <c r="C7" s="8">
        <f>B1</f>
        <v>708500</v>
      </c>
      <c r="D7" s="7">
        <f>$D$3</f>
        <v>10762.566015457145</v>
      </c>
      <c r="E7" s="9">
        <v>7.1999999999999995E-2</v>
      </c>
      <c r="F7" s="8">
        <f>C7*E7/12</f>
        <v>4250.9999999999991</v>
      </c>
      <c r="G7" s="8">
        <f>D7-F7</f>
        <v>6511.566015457146</v>
      </c>
      <c r="H7" s="8">
        <f>F7+G7</f>
        <v>10762.566015457145</v>
      </c>
      <c r="I7" s="8">
        <f>C7-G7</f>
        <v>701988.43398454285</v>
      </c>
    </row>
    <row r="8" spans="1:9">
      <c r="A8">
        <v>2</v>
      </c>
      <c r="B8" s="6">
        <f>B7+(365.25/12)</f>
        <v>45565.875</v>
      </c>
      <c r="C8" s="8">
        <f>I7</f>
        <v>701988.43398454285</v>
      </c>
      <c r="D8" s="7">
        <f>$D$3</f>
        <v>10762.566015457145</v>
      </c>
      <c r="E8" s="9">
        <f>E7</f>
        <v>7.1999999999999995E-2</v>
      </c>
      <c r="F8" s="8">
        <f t="shared" ref="F8:F71" si="0">C8*E8/12</f>
        <v>4211.9306039072571</v>
      </c>
      <c r="G8" s="8">
        <f>D8-F8</f>
        <v>6550.635411549888</v>
      </c>
      <c r="H8" s="8">
        <f>F8+G8</f>
        <v>10762.566015457145</v>
      </c>
      <c r="I8" s="8">
        <f>C8-G8</f>
        <v>695437.79857299291</v>
      </c>
    </row>
    <row r="9" spans="1:9">
      <c r="A9">
        <v>3</v>
      </c>
      <c r="B9" s="6">
        <f t="shared" ref="B9:B72" si="1">B8+(365.25/12)</f>
        <v>45596.3125</v>
      </c>
      <c r="C9" s="8">
        <f t="shared" ref="C9:C72" si="2">I8</f>
        <v>695437.79857299291</v>
      </c>
      <c r="D9" s="7">
        <f t="shared" ref="D9:D72" si="3">$D$3</f>
        <v>10762.566015457145</v>
      </c>
      <c r="E9" s="9">
        <f t="shared" ref="E9:E72" si="4">E8</f>
        <v>7.1999999999999995E-2</v>
      </c>
      <c r="F9" s="8">
        <f t="shared" si="0"/>
        <v>4172.6267914379569</v>
      </c>
      <c r="G9" s="8">
        <f>D9-F9</f>
        <v>6589.9392240191883</v>
      </c>
      <c r="H9" s="8">
        <f t="shared" ref="H9:H72" si="5">F9+G9</f>
        <v>10762.566015457145</v>
      </c>
      <c r="I9" s="8">
        <f>C9-G9</f>
        <v>688847.85934897372</v>
      </c>
    </row>
    <row r="10" spans="1:9">
      <c r="A10">
        <v>4</v>
      </c>
      <c r="B10" s="6">
        <f t="shared" si="1"/>
        <v>45626.75</v>
      </c>
      <c r="C10" s="8">
        <f t="shared" si="2"/>
        <v>688847.85934897372</v>
      </c>
      <c r="D10" s="7">
        <f t="shared" si="3"/>
        <v>10762.566015457145</v>
      </c>
      <c r="E10" s="9">
        <f t="shared" si="4"/>
        <v>7.1999999999999995E-2</v>
      </c>
      <c r="F10" s="8">
        <f t="shared" si="0"/>
        <v>4133.0871560938422</v>
      </c>
      <c r="G10" s="8">
        <f>D10-F10</f>
        <v>6629.4788593633029</v>
      </c>
      <c r="H10" s="8">
        <f t="shared" si="5"/>
        <v>10762.566015457145</v>
      </c>
      <c r="I10" s="8">
        <f>C10-G10</f>
        <v>682218.38048961037</v>
      </c>
    </row>
    <row r="11" spans="1:9">
      <c r="A11">
        <v>5</v>
      </c>
      <c r="B11" s="6">
        <f t="shared" si="1"/>
        <v>45657.1875</v>
      </c>
      <c r="C11" s="8">
        <f t="shared" si="2"/>
        <v>682218.38048961037</v>
      </c>
      <c r="D11" s="7">
        <f t="shared" si="3"/>
        <v>10762.566015457145</v>
      </c>
      <c r="E11" s="9">
        <f t="shared" si="4"/>
        <v>7.1999999999999995E-2</v>
      </c>
      <c r="F11" s="8">
        <f t="shared" si="0"/>
        <v>4093.3102829376621</v>
      </c>
      <c r="G11" s="8">
        <f>D11-F11</f>
        <v>6669.255732519483</v>
      </c>
      <c r="H11" s="8">
        <f t="shared" si="5"/>
        <v>10762.566015457145</v>
      </c>
      <c r="I11" s="8">
        <f>C11-G11</f>
        <v>675549.12475709093</v>
      </c>
    </row>
    <row r="12" spans="1:9">
      <c r="A12">
        <v>6</v>
      </c>
      <c r="B12" s="6">
        <f t="shared" si="1"/>
        <v>45687.625</v>
      </c>
      <c r="C12" s="8">
        <f t="shared" si="2"/>
        <v>675549.12475709093</v>
      </c>
      <c r="D12" s="7">
        <f t="shared" si="3"/>
        <v>10762.566015457145</v>
      </c>
      <c r="E12" s="9">
        <f t="shared" si="4"/>
        <v>7.1999999999999995E-2</v>
      </c>
      <c r="F12" s="8">
        <f t="shared" si="0"/>
        <v>4053.2947485425452</v>
      </c>
      <c r="G12" s="8">
        <f>D12-F12</f>
        <v>6709.2712669146003</v>
      </c>
      <c r="H12" s="8">
        <f t="shared" si="5"/>
        <v>10762.566015457145</v>
      </c>
      <c r="I12" s="8">
        <f>C12-G12</f>
        <v>668839.85349017638</v>
      </c>
    </row>
    <row r="13" spans="1:9">
      <c r="A13">
        <v>7</v>
      </c>
      <c r="B13" s="6">
        <f t="shared" si="1"/>
        <v>45718.0625</v>
      </c>
      <c r="C13" s="8">
        <f t="shared" si="2"/>
        <v>668839.85349017638</v>
      </c>
      <c r="D13" s="7">
        <f t="shared" si="3"/>
        <v>10762.566015457145</v>
      </c>
      <c r="E13" s="9">
        <f t="shared" si="4"/>
        <v>7.1999999999999995E-2</v>
      </c>
      <c r="F13" s="8">
        <f t="shared" si="0"/>
        <v>4013.0391209410577</v>
      </c>
      <c r="G13" s="8">
        <f>D13-F13</f>
        <v>6749.5268945160879</v>
      </c>
      <c r="H13" s="8">
        <f t="shared" si="5"/>
        <v>10762.566015457145</v>
      </c>
      <c r="I13" s="8">
        <f>C13-G13</f>
        <v>662090.3265956603</v>
      </c>
    </row>
    <row r="14" spans="1:9">
      <c r="A14">
        <v>8</v>
      </c>
      <c r="B14" s="6">
        <f t="shared" si="1"/>
        <v>45748.5</v>
      </c>
      <c r="C14" s="8">
        <f t="shared" si="2"/>
        <v>662090.3265956603</v>
      </c>
      <c r="D14" s="7">
        <f t="shared" si="3"/>
        <v>10762.566015457145</v>
      </c>
      <c r="E14" s="9">
        <f t="shared" si="4"/>
        <v>7.1999999999999995E-2</v>
      </c>
      <c r="F14" s="8">
        <f t="shared" si="0"/>
        <v>3972.5419595739618</v>
      </c>
      <c r="G14" s="8">
        <f>D14-F14</f>
        <v>6790.0240558831829</v>
      </c>
      <c r="H14" s="8">
        <f t="shared" si="5"/>
        <v>10762.566015457145</v>
      </c>
      <c r="I14" s="8">
        <f>C14-G14</f>
        <v>655300.30253977713</v>
      </c>
    </row>
    <row r="15" spans="1:9">
      <c r="A15">
        <v>9</v>
      </c>
      <c r="B15" s="6">
        <f t="shared" si="1"/>
        <v>45778.9375</v>
      </c>
      <c r="C15" s="8">
        <f t="shared" si="2"/>
        <v>655300.30253977713</v>
      </c>
      <c r="D15" s="7">
        <f t="shared" si="3"/>
        <v>10762.566015457145</v>
      </c>
      <c r="E15" s="9">
        <f t="shared" si="4"/>
        <v>7.1999999999999995E-2</v>
      </c>
      <c r="F15" s="8">
        <f t="shared" si="0"/>
        <v>3931.8018152386626</v>
      </c>
      <c r="G15" s="8">
        <f>D15-F15</f>
        <v>6830.7642002184821</v>
      </c>
      <c r="H15" s="8">
        <f t="shared" si="5"/>
        <v>10762.566015457145</v>
      </c>
      <c r="I15" s="8">
        <f>C15-G15</f>
        <v>648469.53833955864</v>
      </c>
    </row>
    <row r="16" spans="1:9">
      <c r="A16">
        <v>10</v>
      </c>
      <c r="B16" s="6">
        <f t="shared" si="1"/>
        <v>45809.375</v>
      </c>
      <c r="C16" s="8">
        <f t="shared" si="2"/>
        <v>648469.53833955864</v>
      </c>
      <c r="D16" s="7">
        <f t="shared" si="3"/>
        <v>10762.566015457145</v>
      </c>
      <c r="E16" s="9">
        <f t="shared" si="4"/>
        <v>7.1999999999999995E-2</v>
      </c>
      <c r="F16" s="8">
        <f t="shared" si="0"/>
        <v>3890.8172300373517</v>
      </c>
      <c r="G16" s="8">
        <f>D16-F16</f>
        <v>6871.7487854197934</v>
      </c>
      <c r="H16" s="8">
        <f t="shared" si="5"/>
        <v>10762.566015457145</v>
      </c>
      <c r="I16" s="8">
        <f>C16-G16</f>
        <v>641597.7895541389</v>
      </c>
    </row>
    <row r="17" spans="1:9">
      <c r="A17">
        <v>11</v>
      </c>
      <c r="B17" s="6">
        <f t="shared" si="1"/>
        <v>45839.8125</v>
      </c>
      <c r="C17" s="8">
        <f t="shared" si="2"/>
        <v>641597.7895541389</v>
      </c>
      <c r="D17" s="7">
        <f t="shared" si="3"/>
        <v>10762.566015457145</v>
      </c>
      <c r="E17" s="9">
        <f t="shared" si="4"/>
        <v>7.1999999999999995E-2</v>
      </c>
      <c r="F17" s="8">
        <f t="shared" si="0"/>
        <v>3849.5867373248329</v>
      </c>
      <c r="G17" s="8">
        <f>D17-F17</f>
        <v>6912.9792781323122</v>
      </c>
      <c r="H17" s="8">
        <f t="shared" si="5"/>
        <v>10762.566015457145</v>
      </c>
      <c r="I17" s="8">
        <f>C17-G17</f>
        <v>634684.81027600658</v>
      </c>
    </row>
    <row r="18" spans="1:9">
      <c r="A18" s="5">
        <v>12</v>
      </c>
      <c r="B18" s="10">
        <f t="shared" si="1"/>
        <v>45870.25</v>
      </c>
      <c r="C18" s="13">
        <f t="shared" si="2"/>
        <v>634684.81027600658</v>
      </c>
      <c r="D18" s="11">
        <f t="shared" si="3"/>
        <v>10762.566015457145</v>
      </c>
      <c r="E18" s="12">
        <f t="shared" si="4"/>
        <v>7.1999999999999995E-2</v>
      </c>
      <c r="F18" s="13">
        <f t="shared" si="0"/>
        <v>3808.1088616560392</v>
      </c>
      <c r="G18" s="13">
        <f>D18-F18</f>
        <v>6954.457153801106</v>
      </c>
      <c r="H18" s="13">
        <f t="shared" si="5"/>
        <v>10762.566015457145</v>
      </c>
      <c r="I18" s="13">
        <f>C18-G18</f>
        <v>627730.35312220547</v>
      </c>
    </row>
    <row r="19" spans="1:9">
      <c r="A19" s="5">
        <v>13</v>
      </c>
      <c r="B19" s="10">
        <f t="shared" si="1"/>
        <v>45900.6875</v>
      </c>
      <c r="C19" s="13">
        <f t="shared" si="2"/>
        <v>627730.35312220547</v>
      </c>
      <c r="D19" s="11">
        <f t="shared" si="3"/>
        <v>10762.566015457145</v>
      </c>
      <c r="E19" s="12">
        <f t="shared" si="4"/>
        <v>7.1999999999999995E-2</v>
      </c>
      <c r="F19" s="13">
        <f t="shared" si="0"/>
        <v>3766.3821187332323</v>
      </c>
      <c r="G19" s="13">
        <f t="shared" ref="G19:G82" si="6">D19-F19</f>
        <v>6996.1838967239128</v>
      </c>
      <c r="H19" s="13">
        <f t="shared" si="5"/>
        <v>10762.566015457145</v>
      </c>
      <c r="I19" s="13">
        <f t="shared" ref="I19:I78" si="7">C19-G19</f>
        <v>620734.16922548157</v>
      </c>
    </row>
    <row r="20" spans="1:9">
      <c r="A20" s="5">
        <v>14</v>
      </c>
      <c r="B20" s="10">
        <f t="shared" si="1"/>
        <v>45931.125</v>
      </c>
      <c r="C20" s="13">
        <f t="shared" si="2"/>
        <v>620734.16922548157</v>
      </c>
      <c r="D20" s="11">
        <f t="shared" si="3"/>
        <v>10762.566015457145</v>
      </c>
      <c r="E20" s="12">
        <f t="shared" si="4"/>
        <v>7.1999999999999995E-2</v>
      </c>
      <c r="F20" s="13">
        <f t="shared" si="0"/>
        <v>3724.4050153528892</v>
      </c>
      <c r="G20" s="13">
        <f t="shared" si="6"/>
        <v>7038.1610001042554</v>
      </c>
      <c r="H20" s="13">
        <f t="shared" si="5"/>
        <v>10762.566015457145</v>
      </c>
      <c r="I20" s="13">
        <f t="shared" si="7"/>
        <v>613696.0082253773</v>
      </c>
    </row>
    <row r="21" spans="1:9">
      <c r="A21" s="5">
        <v>15</v>
      </c>
      <c r="B21" s="10">
        <f t="shared" si="1"/>
        <v>45961.5625</v>
      </c>
      <c r="C21" s="13">
        <f t="shared" si="2"/>
        <v>613696.0082253773</v>
      </c>
      <c r="D21" s="11">
        <f t="shared" si="3"/>
        <v>10762.566015457145</v>
      </c>
      <c r="E21" s="12">
        <f t="shared" si="4"/>
        <v>7.1999999999999995E-2</v>
      </c>
      <c r="F21" s="13">
        <f t="shared" si="0"/>
        <v>3682.1760493522634</v>
      </c>
      <c r="G21" s="13">
        <f t="shared" si="6"/>
        <v>7080.3899661048818</v>
      </c>
      <c r="H21" s="13">
        <f t="shared" si="5"/>
        <v>10762.566015457145</v>
      </c>
      <c r="I21" s="13">
        <f t="shared" si="7"/>
        <v>606615.61825927242</v>
      </c>
    </row>
    <row r="22" spans="1:9">
      <c r="A22" s="5">
        <v>16</v>
      </c>
      <c r="B22" s="10">
        <f t="shared" si="1"/>
        <v>45992</v>
      </c>
      <c r="C22" s="13">
        <f t="shared" si="2"/>
        <v>606615.61825927242</v>
      </c>
      <c r="D22" s="11">
        <f t="shared" si="3"/>
        <v>10762.566015457145</v>
      </c>
      <c r="E22" s="12">
        <f t="shared" si="4"/>
        <v>7.1999999999999995E-2</v>
      </c>
      <c r="F22" s="13">
        <f t="shared" si="0"/>
        <v>3639.6937095556345</v>
      </c>
      <c r="G22" s="13">
        <f t="shared" si="6"/>
        <v>7122.8723059015101</v>
      </c>
      <c r="H22" s="13">
        <f t="shared" si="5"/>
        <v>10762.566015457145</v>
      </c>
      <c r="I22" s="13">
        <f t="shared" si="7"/>
        <v>599492.74595337093</v>
      </c>
    </row>
    <row r="23" spans="1:9">
      <c r="A23" s="5">
        <v>17</v>
      </c>
      <c r="B23" s="10">
        <f t="shared" si="1"/>
        <v>46022.4375</v>
      </c>
      <c r="C23" s="13">
        <f t="shared" si="2"/>
        <v>599492.74595337093</v>
      </c>
      <c r="D23" s="11">
        <f t="shared" si="3"/>
        <v>10762.566015457145</v>
      </c>
      <c r="E23" s="12">
        <f t="shared" si="4"/>
        <v>7.1999999999999995E-2</v>
      </c>
      <c r="F23" s="13">
        <f t="shared" si="0"/>
        <v>3596.9564757202256</v>
      </c>
      <c r="G23" s="13">
        <f t="shared" si="6"/>
        <v>7165.609539736919</v>
      </c>
      <c r="H23" s="13">
        <f t="shared" si="5"/>
        <v>10762.566015457145</v>
      </c>
      <c r="I23" s="13">
        <f t="shared" si="7"/>
        <v>592327.13641363406</v>
      </c>
    </row>
    <row r="24" spans="1:9">
      <c r="A24" s="5">
        <v>18</v>
      </c>
      <c r="B24" s="10">
        <f t="shared" si="1"/>
        <v>46052.875</v>
      </c>
      <c r="C24" s="13">
        <f t="shared" si="2"/>
        <v>592327.13641363406</v>
      </c>
      <c r="D24" s="11">
        <f t="shared" si="3"/>
        <v>10762.566015457145</v>
      </c>
      <c r="E24" s="12">
        <f t="shared" si="4"/>
        <v>7.1999999999999995E-2</v>
      </c>
      <c r="F24" s="13">
        <f t="shared" si="0"/>
        <v>3553.9628184818043</v>
      </c>
      <c r="G24" s="13">
        <f t="shared" si="6"/>
        <v>7208.6031969753403</v>
      </c>
      <c r="H24" s="13">
        <f t="shared" si="5"/>
        <v>10762.566015457145</v>
      </c>
      <c r="I24" s="13">
        <f t="shared" si="7"/>
        <v>585118.53321665875</v>
      </c>
    </row>
    <row r="25" spans="1:9">
      <c r="A25" s="5">
        <v>19</v>
      </c>
      <c r="B25" s="10">
        <f t="shared" si="1"/>
        <v>46083.3125</v>
      </c>
      <c r="C25" s="13">
        <f t="shared" si="2"/>
        <v>585118.53321665875</v>
      </c>
      <c r="D25" s="11">
        <f t="shared" si="3"/>
        <v>10762.566015457145</v>
      </c>
      <c r="E25" s="12">
        <f t="shared" si="4"/>
        <v>7.1999999999999995E-2</v>
      </c>
      <c r="F25" s="13">
        <f t="shared" si="0"/>
        <v>3510.7111992999521</v>
      </c>
      <c r="G25" s="13">
        <f t="shared" si="6"/>
        <v>7251.8548161571925</v>
      </c>
      <c r="H25" s="13">
        <f t="shared" si="5"/>
        <v>10762.566015457145</v>
      </c>
      <c r="I25" s="13">
        <f t="shared" si="7"/>
        <v>577866.67840050161</v>
      </c>
    </row>
    <row r="26" spans="1:9">
      <c r="A26" s="5">
        <v>20</v>
      </c>
      <c r="B26" s="10">
        <f t="shared" si="1"/>
        <v>46113.75</v>
      </c>
      <c r="C26" s="13">
        <f t="shared" si="2"/>
        <v>577866.67840050161</v>
      </c>
      <c r="D26" s="11">
        <f t="shared" si="3"/>
        <v>10762.566015457145</v>
      </c>
      <c r="E26" s="12">
        <f t="shared" si="4"/>
        <v>7.1999999999999995E-2</v>
      </c>
      <c r="F26" s="13">
        <f t="shared" si="0"/>
        <v>3467.2000704030092</v>
      </c>
      <c r="G26" s="13">
        <f t="shared" si="6"/>
        <v>7295.3659450541363</v>
      </c>
      <c r="H26" s="13">
        <f t="shared" si="5"/>
        <v>10762.566015457145</v>
      </c>
      <c r="I26" s="13">
        <f t="shared" si="7"/>
        <v>570571.31245544751</v>
      </c>
    </row>
    <row r="27" spans="1:9">
      <c r="A27" s="5">
        <v>21</v>
      </c>
      <c r="B27" s="10">
        <f t="shared" si="1"/>
        <v>46144.1875</v>
      </c>
      <c r="C27" s="13">
        <f t="shared" si="2"/>
        <v>570571.31245544751</v>
      </c>
      <c r="D27" s="11">
        <f t="shared" si="3"/>
        <v>10762.566015457145</v>
      </c>
      <c r="E27" s="12">
        <f t="shared" si="4"/>
        <v>7.1999999999999995E-2</v>
      </c>
      <c r="F27" s="13">
        <f t="shared" si="0"/>
        <v>3423.4278747326848</v>
      </c>
      <c r="G27" s="13">
        <f t="shared" si="6"/>
        <v>7339.1381407244608</v>
      </c>
      <c r="H27" s="13">
        <f t="shared" si="5"/>
        <v>10762.566015457145</v>
      </c>
      <c r="I27" s="13">
        <f t="shared" si="7"/>
        <v>563232.174314723</v>
      </c>
    </row>
    <row r="28" spans="1:9">
      <c r="A28" s="5">
        <v>22</v>
      </c>
      <c r="B28" s="10">
        <f t="shared" si="1"/>
        <v>46174.625</v>
      </c>
      <c r="C28" s="13">
        <f t="shared" si="2"/>
        <v>563232.174314723</v>
      </c>
      <c r="D28" s="11">
        <f t="shared" si="3"/>
        <v>10762.566015457145</v>
      </c>
      <c r="E28" s="12">
        <f t="shared" si="4"/>
        <v>7.1999999999999995E-2</v>
      </c>
      <c r="F28" s="13">
        <f t="shared" si="0"/>
        <v>3379.3930458883374</v>
      </c>
      <c r="G28" s="13">
        <f t="shared" si="6"/>
        <v>7383.1729695688082</v>
      </c>
      <c r="H28" s="13">
        <f t="shared" si="5"/>
        <v>10762.566015457145</v>
      </c>
      <c r="I28" s="13">
        <f t="shared" si="7"/>
        <v>555849.00134515425</v>
      </c>
    </row>
    <row r="29" spans="1:9">
      <c r="A29" s="5">
        <v>23</v>
      </c>
      <c r="B29" s="10">
        <f t="shared" si="1"/>
        <v>46205.0625</v>
      </c>
      <c r="C29" s="13">
        <f t="shared" si="2"/>
        <v>555849.00134515425</v>
      </c>
      <c r="D29" s="11">
        <f t="shared" si="3"/>
        <v>10762.566015457145</v>
      </c>
      <c r="E29" s="12">
        <f t="shared" si="4"/>
        <v>7.1999999999999995E-2</v>
      </c>
      <c r="F29" s="13">
        <f t="shared" si="0"/>
        <v>3335.0940080709256</v>
      </c>
      <c r="G29" s="13">
        <f t="shared" si="6"/>
        <v>7427.472007386219</v>
      </c>
      <c r="H29" s="13">
        <f t="shared" si="5"/>
        <v>10762.566015457145</v>
      </c>
      <c r="I29" s="13">
        <f t="shared" si="7"/>
        <v>548421.52933776798</v>
      </c>
    </row>
    <row r="30" spans="1:9">
      <c r="A30" s="5">
        <v>24</v>
      </c>
      <c r="B30" s="10">
        <f t="shared" si="1"/>
        <v>46235.5</v>
      </c>
      <c r="C30" s="13">
        <f t="shared" si="2"/>
        <v>548421.52933776798</v>
      </c>
      <c r="D30" s="11">
        <f t="shared" si="3"/>
        <v>10762.566015457145</v>
      </c>
      <c r="E30" s="12">
        <f t="shared" si="4"/>
        <v>7.1999999999999995E-2</v>
      </c>
      <c r="F30" s="13">
        <f t="shared" si="0"/>
        <v>3290.5291760266077</v>
      </c>
      <c r="G30" s="13">
        <f t="shared" si="6"/>
        <v>7472.0368394305369</v>
      </c>
      <c r="H30" s="13">
        <f t="shared" si="5"/>
        <v>10762.566015457145</v>
      </c>
      <c r="I30" s="13">
        <f t="shared" si="7"/>
        <v>540949.49249833741</v>
      </c>
    </row>
    <row r="31" spans="1:9">
      <c r="A31">
        <v>25</v>
      </c>
      <c r="B31" s="6">
        <f t="shared" si="1"/>
        <v>46265.9375</v>
      </c>
      <c r="C31" s="8">
        <f t="shared" si="2"/>
        <v>540949.49249833741</v>
      </c>
      <c r="D31" s="7">
        <f t="shared" si="3"/>
        <v>10762.566015457145</v>
      </c>
      <c r="E31" s="9">
        <f t="shared" si="4"/>
        <v>7.1999999999999995E-2</v>
      </c>
      <c r="F31" s="8">
        <f t="shared" si="0"/>
        <v>3245.6969549900241</v>
      </c>
      <c r="G31" s="8">
        <f t="shared" si="6"/>
        <v>7516.869060467121</v>
      </c>
      <c r="H31" s="8">
        <f t="shared" si="5"/>
        <v>10762.566015457145</v>
      </c>
      <c r="I31" s="8">
        <f t="shared" si="7"/>
        <v>533432.62343787029</v>
      </c>
    </row>
    <row r="32" spans="1:9">
      <c r="A32">
        <v>26</v>
      </c>
      <c r="B32" s="6">
        <f t="shared" si="1"/>
        <v>46296.375</v>
      </c>
      <c r="C32" s="8">
        <f t="shared" si="2"/>
        <v>533432.62343787029</v>
      </c>
      <c r="D32" s="7">
        <f t="shared" si="3"/>
        <v>10762.566015457145</v>
      </c>
      <c r="E32" s="9">
        <f t="shared" si="4"/>
        <v>7.1999999999999995E-2</v>
      </c>
      <c r="F32" s="8">
        <f t="shared" si="0"/>
        <v>3200.5957406272214</v>
      </c>
      <c r="G32" s="8">
        <f t="shared" si="6"/>
        <v>7561.9702748299242</v>
      </c>
      <c r="H32" s="8">
        <f t="shared" si="5"/>
        <v>10762.566015457145</v>
      </c>
      <c r="I32" s="8">
        <f t="shared" si="7"/>
        <v>525870.65316304041</v>
      </c>
    </row>
    <row r="33" spans="1:9">
      <c r="A33">
        <v>27</v>
      </c>
      <c r="B33" s="6">
        <f t="shared" si="1"/>
        <v>46326.8125</v>
      </c>
      <c r="C33" s="8">
        <f t="shared" si="2"/>
        <v>525870.65316304041</v>
      </c>
      <c r="D33" s="7">
        <f t="shared" si="3"/>
        <v>10762.566015457145</v>
      </c>
      <c r="E33" s="9">
        <f t="shared" si="4"/>
        <v>7.1999999999999995E-2</v>
      </c>
      <c r="F33" s="8">
        <f t="shared" si="0"/>
        <v>3155.2239189782426</v>
      </c>
      <c r="G33" s="8">
        <f t="shared" si="6"/>
        <v>7607.342096478902</v>
      </c>
      <c r="H33" s="8">
        <f t="shared" si="5"/>
        <v>10762.566015457145</v>
      </c>
      <c r="I33" s="8">
        <f t="shared" si="7"/>
        <v>518263.31106656149</v>
      </c>
    </row>
    <row r="34" spans="1:9">
      <c r="A34">
        <v>28</v>
      </c>
      <c r="B34" s="6">
        <f t="shared" si="1"/>
        <v>46357.25</v>
      </c>
      <c r="C34" s="8">
        <f t="shared" si="2"/>
        <v>518263.31106656149</v>
      </c>
      <c r="D34" s="7">
        <f t="shared" si="3"/>
        <v>10762.566015457145</v>
      </c>
      <c r="E34" s="9">
        <f t="shared" si="4"/>
        <v>7.1999999999999995E-2</v>
      </c>
      <c r="F34" s="8">
        <f t="shared" si="0"/>
        <v>3109.5798663993687</v>
      </c>
      <c r="G34" s="8">
        <f t="shared" si="6"/>
        <v>7652.9861490577769</v>
      </c>
      <c r="H34" s="8">
        <f t="shared" si="5"/>
        <v>10762.566015457145</v>
      </c>
      <c r="I34" s="8">
        <f t="shared" si="7"/>
        <v>510610.32491750369</v>
      </c>
    </row>
    <row r="35" spans="1:9">
      <c r="A35">
        <v>29</v>
      </c>
      <c r="B35" s="6">
        <f t="shared" si="1"/>
        <v>46387.6875</v>
      </c>
      <c r="C35" s="8">
        <f t="shared" si="2"/>
        <v>510610.32491750369</v>
      </c>
      <c r="D35" s="7">
        <f t="shared" si="3"/>
        <v>10762.566015457145</v>
      </c>
      <c r="E35" s="9">
        <f t="shared" si="4"/>
        <v>7.1999999999999995E-2</v>
      </c>
      <c r="F35" s="8">
        <f t="shared" si="0"/>
        <v>3063.6619495050218</v>
      </c>
      <c r="G35" s="8">
        <f t="shared" si="6"/>
        <v>7698.9040659521233</v>
      </c>
      <c r="H35" s="8">
        <f t="shared" si="5"/>
        <v>10762.566015457145</v>
      </c>
      <c r="I35" s="8">
        <f t="shared" si="7"/>
        <v>502911.42085155158</v>
      </c>
    </row>
    <row r="36" spans="1:9">
      <c r="A36">
        <v>30</v>
      </c>
      <c r="B36" s="6">
        <f t="shared" si="1"/>
        <v>46418.125</v>
      </c>
      <c r="C36" s="8">
        <f t="shared" si="2"/>
        <v>502911.42085155158</v>
      </c>
      <c r="D36" s="7">
        <f t="shared" si="3"/>
        <v>10762.566015457145</v>
      </c>
      <c r="E36" s="9">
        <f t="shared" si="4"/>
        <v>7.1999999999999995E-2</v>
      </c>
      <c r="F36" s="8">
        <f t="shared" si="0"/>
        <v>3017.4685251093092</v>
      </c>
      <c r="G36" s="8">
        <f t="shared" si="6"/>
        <v>7745.0974903478364</v>
      </c>
      <c r="H36" s="8">
        <f t="shared" si="5"/>
        <v>10762.566015457145</v>
      </c>
      <c r="I36" s="8">
        <f t="shared" si="7"/>
        <v>495166.32336120371</v>
      </c>
    </row>
    <row r="37" spans="1:9">
      <c r="A37">
        <v>31</v>
      </c>
      <c r="B37" s="6">
        <f t="shared" si="1"/>
        <v>46448.5625</v>
      </c>
      <c r="C37" s="8">
        <f t="shared" si="2"/>
        <v>495166.32336120371</v>
      </c>
      <c r="D37" s="7">
        <f t="shared" si="3"/>
        <v>10762.566015457145</v>
      </c>
      <c r="E37" s="9">
        <f t="shared" si="4"/>
        <v>7.1999999999999995E-2</v>
      </c>
      <c r="F37" s="8">
        <f t="shared" si="0"/>
        <v>2970.9979401672222</v>
      </c>
      <c r="G37" s="8">
        <f t="shared" si="6"/>
        <v>7791.5680752899225</v>
      </c>
      <c r="H37" s="8">
        <f t="shared" si="5"/>
        <v>10762.566015457145</v>
      </c>
      <c r="I37" s="8">
        <f t="shared" si="7"/>
        <v>487374.75528591376</v>
      </c>
    </row>
    <row r="38" spans="1:9">
      <c r="A38">
        <v>32</v>
      </c>
      <c r="B38" s="6">
        <f t="shared" si="1"/>
        <v>46479</v>
      </c>
      <c r="C38" s="8">
        <f t="shared" si="2"/>
        <v>487374.75528591376</v>
      </c>
      <c r="D38" s="7">
        <f t="shared" si="3"/>
        <v>10762.566015457145</v>
      </c>
      <c r="E38" s="9">
        <f t="shared" si="4"/>
        <v>7.1999999999999995E-2</v>
      </c>
      <c r="F38" s="8">
        <f t="shared" si="0"/>
        <v>2924.2485317154824</v>
      </c>
      <c r="G38" s="8">
        <f t="shared" si="6"/>
        <v>7838.3174837416627</v>
      </c>
      <c r="H38" s="8">
        <f t="shared" si="5"/>
        <v>10762.566015457145</v>
      </c>
      <c r="I38" s="8">
        <f t="shared" si="7"/>
        <v>479536.43780217209</v>
      </c>
    </row>
    <row r="39" spans="1:9">
      <c r="A39">
        <v>33</v>
      </c>
      <c r="B39" s="6">
        <f t="shared" si="1"/>
        <v>46509.4375</v>
      </c>
      <c r="C39" s="8">
        <f t="shared" si="2"/>
        <v>479536.43780217209</v>
      </c>
      <c r="D39" s="7">
        <f t="shared" si="3"/>
        <v>10762.566015457145</v>
      </c>
      <c r="E39" s="9">
        <f t="shared" si="4"/>
        <v>7.1999999999999995E-2</v>
      </c>
      <c r="F39" s="8">
        <f t="shared" si="0"/>
        <v>2877.2186268130322</v>
      </c>
      <c r="G39" s="8">
        <f t="shared" si="6"/>
        <v>7885.3473886441134</v>
      </c>
      <c r="H39" s="8">
        <f t="shared" si="5"/>
        <v>10762.566015457145</v>
      </c>
      <c r="I39" s="8">
        <f t="shared" si="7"/>
        <v>471651.09041352797</v>
      </c>
    </row>
    <row r="40" spans="1:9">
      <c r="A40">
        <v>34</v>
      </c>
      <c r="B40" s="6">
        <f t="shared" si="1"/>
        <v>46539.875</v>
      </c>
      <c r="C40" s="8">
        <f t="shared" si="2"/>
        <v>471651.09041352797</v>
      </c>
      <c r="D40" s="7">
        <f t="shared" si="3"/>
        <v>10762.566015457145</v>
      </c>
      <c r="E40" s="9">
        <f t="shared" si="4"/>
        <v>7.1999999999999995E-2</v>
      </c>
      <c r="F40" s="8">
        <f t="shared" si="0"/>
        <v>2829.9065424811674</v>
      </c>
      <c r="G40" s="8">
        <f t="shared" si="6"/>
        <v>7932.6594729759781</v>
      </c>
      <c r="H40" s="8">
        <f t="shared" si="5"/>
        <v>10762.566015457145</v>
      </c>
      <c r="I40" s="8">
        <f t="shared" si="7"/>
        <v>463718.43094055197</v>
      </c>
    </row>
    <row r="41" spans="1:9">
      <c r="A41">
        <v>35</v>
      </c>
      <c r="B41" s="6">
        <f t="shared" si="1"/>
        <v>46570.3125</v>
      </c>
      <c r="C41" s="8">
        <f t="shared" si="2"/>
        <v>463718.43094055197</v>
      </c>
      <c r="D41" s="7">
        <f t="shared" si="3"/>
        <v>10762.566015457145</v>
      </c>
      <c r="E41" s="9">
        <f t="shared" si="4"/>
        <v>7.1999999999999995E-2</v>
      </c>
      <c r="F41" s="8">
        <f t="shared" si="0"/>
        <v>2782.3105856433117</v>
      </c>
      <c r="G41" s="8">
        <f t="shared" si="6"/>
        <v>7980.255429813833</v>
      </c>
      <c r="H41" s="8">
        <f t="shared" si="5"/>
        <v>10762.566015457145</v>
      </c>
      <c r="I41" s="8">
        <f t="shared" si="7"/>
        <v>455738.17551073816</v>
      </c>
    </row>
    <row r="42" spans="1:9">
      <c r="A42">
        <v>36</v>
      </c>
      <c r="B42" s="6">
        <f t="shared" si="1"/>
        <v>46600.75</v>
      </c>
      <c r="C42" s="8">
        <f t="shared" si="2"/>
        <v>455738.17551073816</v>
      </c>
      <c r="D42" s="7">
        <f t="shared" si="3"/>
        <v>10762.566015457145</v>
      </c>
      <c r="E42" s="9">
        <f t="shared" si="4"/>
        <v>7.1999999999999995E-2</v>
      </c>
      <c r="F42" s="8">
        <f t="shared" si="0"/>
        <v>2734.4290530644289</v>
      </c>
      <c r="G42" s="8">
        <f t="shared" si="6"/>
        <v>8028.1369623927167</v>
      </c>
      <c r="H42" s="8">
        <f t="shared" si="5"/>
        <v>10762.566015457145</v>
      </c>
      <c r="I42" s="8">
        <f t="shared" si="7"/>
        <v>447710.03854834544</v>
      </c>
    </row>
    <row r="43" spans="1:9">
      <c r="A43" s="5">
        <v>37</v>
      </c>
      <c r="B43" s="10">
        <f t="shared" si="1"/>
        <v>46631.1875</v>
      </c>
      <c r="C43" s="13">
        <f t="shared" si="2"/>
        <v>447710.03854834544</v>
      </c>
      <c r="D43" s="11">
        <f t="shared" si="3"/>
        <v>10762.566015457145</v>
      </c>
      <c r="E43" s="12">
        <f t="shared" si="4"/>
        <v>7.1999999999999995E-2</v>
      </c>
      <c r="F43" s="13">
        <f t="shared" si="0"/>
        <v>2686.2602312900722</v>
      </c>
      <c r="G43" s="13">
        <f t="shared" si="6"/>
        <v>8076.3057841670725</v>
      </c>
      <c r="H43" s="13">
        <f t="shared" si="5"/>
        <v>10762.566015457145</v>
      </c>
      <c r="I43" s="13">
        <f t="shared" si="7"/>
        <v>439633.73276417836</v>
      </c>
    </row>
    <row r="44" spans="1:9">
      <c r="A44" s="5">
        <v>38</v>
      </c>
      <c r="B44" s="10">
        <f t="shared" si="1"/>
        <v>46661.625</v>
      </c>
      <c r="C44" s="13">
        <f t="shared" si="2"/>
        <v>439633.73276417836</v>
      </c>
      <c r="D44" s="11">
        <f t="shared" si="3"/>
        <v>10762.566015457145</v>
      </c>
      <c r="E44" s="12">
        <f t="shared" si="4"/>
        <v>7.1999999999999995E-2</v>
      </c>
      <c r="F44" s="13">
        <f t="shared" si="0"/>
        <v>2637.8023965850703</v>
      </c>
      <c r="G44" s="13">
        <f t="shared" si="6"/>
        <v>8124.7636188720753</v>
      </c>
      <c r="H44" s="13">
        <f t="shared" si="5"/>
        <v>10762.566015457145</v>
      </c>
      <c r="I44" s="13">
        <f t="shared" si="7"/>
        <v>431508.96914530627</v>
      </c>
    </row>
    <row r="45" spans="1:9">
      <c r="A45" s="5">
        <v>39</v>
      </c>
      <c r="B45" s="10">
        <f t="shared" si="1"/>
        <v>46692.0625</v>
      </c>
      <c r="C45" s="13">
        <f t="shared" si="2"/>
        <v>431508.96914530627</v>
      </c>
      <c r="D45" s="11">
        <f t="shared" si="3"/>
        <v>10762.566015457145</v>
      </c>
      <c r="E45" s="12">
        <f t="shared" si="4"/>
        <v>7.1999999999999995E-2</v>
      </c>
      <c r="F45" s="13">
        <f t="shared" si="0"/>
        <v>2589.0538148718374</v>
      </c>
      <c r="G45" s="13">
        <f t="shared" si="6"/>
        <v>8173.5122005853082</v>
      </c>
      <c r="H45" s="13">
        <f t="shared" si="5"/>
        <v>10762.566015457145</v>
      </c>
      <c r="I45" s="13">
        <f t="shared" si="7"/>
        <v>423335.45694472094</v>
      </c>
    </row>
    <row r="46" spans="1:9">
      <c r="A46" s="5">
        <v>40</v>
      </c>
      <c r="B46" s="10">
        <f t="shared" si="1"/>
        <v>46722.5</v>
      </c>
      <c r="C46" s="13">
        <f t="shared" si="2"/>
        <v>423335.45694472094</v>
      </c>
      <c r="D46" s="11">
        <f t="shared" si="3"/>
        <v>10762.566015457145</v>
      </c>
      <c r="E46" s="12">
        <f t="shared" si="4"/>
        <v>7.1999999999999995E-2</v>
      </c>
      <c r="F46" s="13">
        <f t="shared" si="0"/>
        <v>2540.0127416683254</v>
      </c>
      <c r="G46" s="13">
        <f t="shared" si="6"/>
        <v>8222.5532737888207</v>
      </c>
      <c r="H46" s="13">
        <f t="shared" si="5"/>
        <v>10762.566015457145</v>
      </c>
      <c r="I46" s="13">
        <f t="shared" si="7"/>
        <v>415112.90367093211</v>
      </c>
    </row>
    <row r="47" spans="1:9">
      <c r="A47" s="5">
        <v>41</v>
      </c>
      <c r="B47" s="10">
        <f t="shared" si="1"/>
        <v>46752.9375</v>
      </c>
      <c r="C47" s="13">
        <f t="shared" si="2"/>
        <v>415112.90367093211</v>
      </c>
      <c r="D47" s="11">
        <f t="shared" si="3"/>
        <v>10762.566015457145</v>
      </c>
      <c r="E47" s="12">
        <f t="shared" si="4"/>
        <v>7.1999999999999995E-2</v>
      </c>
      <c r="F47" s="13">
        <f t="shared" si="0"/>
        <v>2490.6774220255925</v>
      </c>
      <c r="G47" s="13">
        <f t="shared" si="6"/>
        <v>8271.8885934315531</v>
      </c>
      <c r="H47" s="13">
        <f t="shared" si="5"/>
        <v>10762.566015457145</v>
      </c>
      <c r="I47" s="13">
        <f t="shared" si="7"/>
        <v>406841.01507750055</v>
      </c>
    </row>
    <row r="48" spans="1:9">
      <c r="A48" s="5">
        <v>42</v>
      </c>
      <c r="B48" s="10">
        <f t="shared" si="1"/>
        <v>46783.375</v>
      </c>
      <c r="C48" s="13">
        <f t="shared" si="2"/>
        <v>406841.01507750055</v>
      </c>
      <c r="D48" s="11">
        <f t="shared" si="3"/>
        <v>10762.566015457145</v>
      </c>
      <c r="E48" s="12">
        <f t="shared" si="4"/>
        <v>7.1999999999999995E-2</v>
      </c>
      <c r="F48" s="13">
        <f t="shared" si="0"/>
        <v>2441.0460904650031</v>
      </c>
      <c r="G48" s="13">
        <f t="shared" si="6"/>
        <v>8321.5199249921425</v>
      </c>
      <c r="H48" s="13">
        <f t="shared" si="5"/>
        <v>10762.566015457145</v>
      </c>
      <c r="I48" s="13">
        <f t="shared" si="7"/>
        <v>398519.49515250837</v>
      </c>
    </row>
    <row r="49" spans="1:9">
      <c r="A49" s="5">
        <v>43</v>
      </c>
      <c r="B49" s="10">
        <f t="shared" si="1"/>
        <v>46813.8125</v>
      </c>
      <c r="C49" s="13">
        <f t="shared" si="2"/>
        <v>398519.49515250837</v>
      </c>
      <c r="D49" s="11">
        <f t="shared" si="3"/>
        <v>10762.566015457145</v>
      </c>
      <c r="E49" s="12">
        <f t="shared" si="4"/>
        <v>7.1999999999999995E-2</v>
      </c>
      <c r="F49" s="13">
        <f t="shared" si="0"/>
        <v>2391.1169709150499</v>
      </c>
      <c r="G49" s="13">
        <f t="shared" si="6"/>
        <v>8371.4490445420961</v>
      </c>
      <c r="H49" s="13">
        <f t="shared" si="5"/>
        <v>10762.566015457145</v>
      </c>
      <c r="I49" s="13">
        <f t="shared" si="7"/>
        <v>390148.04610796628</v>
      </c>
    </row>
    <row r="50" spans="1:9">
      <c r="A50" s="5">
        <v>44</v>
      </c>
      <c r="B50" s="10">
        <f t="shared" si="1"/>
        <v>46844.25</v>
      </c>
      <c r="C50" s="13">
        <f t="shared" si="2"/>
        <v>390148.04610796628</v>
      </c>
      <c r="D50" s="11">
        <f t="shared" si="3"/>
        <v>10762.566015457145</v>
      </c>
      <c r="E50" s="12">
        <f t="shared" si="4"/>
        <v>7.1999999999999995E-2</v>
      </c>
      <c r="F50" s="13">
        <f t="shared" si="0"/>
        <v>2340.8882766477977</v>
      </c>
      <c r="G50" s="13">
        <f t="shared" si="6"/>
        <v>8421.6777388093469</v>
      </c>
      <c r="H50" s="13">
        <f t="shared" si="5"/>
        <v>10762.566015457145</v>
      </c>
      <c r="I50" s="13">
        <f t="shared" si="7"/>
        <v>381726.36836915696</v>
      </c>
    </row>
    <row r="51" spans="1:9">
      <c r="A51" s="5">
        <v>45</v>
      </c>
      <c r="B51" s="10">
        <f t="shared" si="1"/>
        <v>46874.6875</v>
      </c>
      <c r="C51" s="13">
        <f t="shared" si="2"/>
        <v>381726.36836915696</v>
      </c>
      <c r="D51" s="11">
        <f t="shared" si="3"/>
        <v>10762.566015457145</v>
      </c>
      <c r="E51" s="12">
        <f t="shared" si="4"/>
        <v>7.1999999999999995E-2</v>
      </c>
      <c r="F51" s="13">
        <f t="shared" si="0"/>
        <v>2290.3582102149417</v>
      </c>
      <c r="G51" s="13">
        <f t="shared" si="6"/>
        <v>8472.2078052422039</v>
      </c>
      <c r="H51" s="13">
        <f t="shared" si="5"/>
        <v>10762.566015457145</v>
      </c>
      <c r="I51" s="13">
        <f t="shared" si="7"/>
        <v>373254.16056391475</v>
      </c>
    </row>
    <row r="52" spans="1:9">
      <c r="A52" s="5">
        <v>46</v>
      </c>
      <c r="B52" s="10">
        <f t="shared" si="1"/>
        <v>46905.125</v>
      </c>
      <c r="C52" s="13">
        <f t="shared" si="2"/>
        <v>373254.16056391475</v>
      </c>
      <c r="D52" s="11">
        <f t="shared" si="3"/>
        <v>10762.566015457145</v>
      </c>
      <c r="E52" s="12">
        <f t="shared" si="4"/>
        <v>7.1999999999999995E-2</v>
      </c>
      <c r="F52" s="13">
        <f t="shared" si="0"/>
        <v>2239.5249633834883</v>
      </c>
      <c r="G52" s="13">
        <f t="shared" si="6"/>
        <v>8523.0410520736568</v>
      </c>
      <c r="H52" s="13">
        <f t="shared" si="5"/>
        <v>10762.566015457145</v>
      </c>
      <c r="I52" s="13">
        <f t="shared" si="7"/>
        <v>364731.1195118411</v>
      </c>
    </row>
    <row r="53" spans="1:9">
      <c r="A53" s="5">
        <v>47</v>
      </c>
      <c r="B53" s="10">
        <f t="shared" si="1"/>
        <v>46935.5625</v>
      </c>
      <c r="C53" s="13">
        <f t="shared" si="2"/>
        <v>364731.1195118411</v>
      </c>
      <c r="D53" s="11">
        <f t="shared" si="3"/>
        <v>10762.566015457145</v>
      </c>
      <c r="E53" s="12">
        <f t="shared" si="4"/>
        <v>7.1999999999999995E-2</v>
      </c>
      <c r="F53" s="13">
        <f t="shared" si="0"/>
        <v>2188.3867170710464</v>
      </c>
      <c r="G53" s="13">
        <f t="shared" si="6"/>
        <v>8574.1792983860978</v>
      </c>
      <c r="H53" s="13">
        <f t="shared" si="5"/>
        <v>10762.566015457145</v>
      </c>
      <c r="I53" s="13">
        <f t="shared" si="7"/>
        <v>356156.940213455</v>
      </c>
    </row>
    <row r="54" spans="1:9">
      <c r="A54" s="5">
        <v>48</v>
      </c>
      <c r="B54" s="10">
        <f t="shared" si="1"/>
        <v>46966</v>
      </c>
      <c r="C54" s="13">
        <f t="shared" si="2"/>
        <v>356156.940213455</v>
      </c>
      <c r="D54" s="11">
        <f t="shared" si="3"/>
        <v>10762.566015457145</v>
      </c>
      <c r="E54" s="12">
        <f t="shared" si="4"/>
        <v>7.1999999999999995E-2</v>
      </c>
      <c r="F54" s="13">
        <f t="shared" si="0"/>
        <v>2136.94164128073</v>
      </c>
      <c r="G54" s="13">
        <f t="shared" si="6"/>
        <v>8625.6243741764156</v>
      </c>
      <c r="H54" s="13">
        <f t="shared" si="5"/>
        <v>10762.566015457145</v>
      </c>
      <c r="I54" s="13">
        <f t="shared" si="7"/>
        <v>347531.31583927857</v>
      </c>
    </row>
    <row r="55" spans="1:9">
      <c r="A55">
        <v>49</v>
      </c>
      <c r="B55" s="6">
        <f t="shared" si="1"/>
        <v>46996.4375</v>
      </c>
      <c r="C55" s="8">
        <f t="shared" si="2"/>
        <v>347531.31583927857</v>
      </c>
      <c r="D55" s="7">
        <f t="shared" si="3"/>
        <v>10762.566015457145</v>
      </c>
      <c r="E55" s="9">
        <f t="shared" si="4"/>
        <v>7.1999999999999995E-2</v>
      </c>
      <c r="F55" s="8">
        <f t="shared" si="0"/>
        <v>2085.1878950356713</v>
      </c>
      <c r="G55" s="8">
        <f t="shared" si="6"/>
        <v>8677.3781204214738</v>
      </c>
      <c r="H55" s="8">
        <f t="shared" si="5"/>
        <v>10762.566015457145</v>
      </c>
      <c r="I55" s="8">
        <f t="shared" si="7"/>
        <v>338853.93771885708</v>
      </c>
    </row>
    <row r="56" spans="1:9">
      <c r="A56">
        <v>50</v>
      </c>
      <c r="B56" s="6">
        <f t="shared" si="1"/>
        <v>47026.875</v>
      </c>
      <c r="C56" s="8">
        <f t="shared" si="2"/>
        <v>338853.93771885708</v>
      </c>
      <c r="D56" s="7">
        <f t="shared" si="3"/>
        <v>10762.566015457145</v>
      </c>
      <c r="E56" s="9">
        <f t="shared" si="4"/>
        <v>7.1999999999999995E-2</v>
      </c>
      <c r="F56" s="8">
        <f t="shared" si="0"/>
        <v>2033.1236263131423</v>
      </c>
      <c r="G56" s="8">
        <f t="shared" si="6"/>
        <v>8729.4423891440019</v>
      </c>
      <c r="H56" s="8">
        <f t="shared" si="5"/>
        <v>10762.566015457145</v>
      </c>
      <c r="I56" s="8">
        <f t="shared" si="7"/>
        <v>330124.4953297131</v>
      </c>
    </row>
    <row r="57" spans="1:9">
      <c r="A57">
        <v>51</v>
      </c>
      <c r="B57" s="6">
        <f t="shared" si="1"/>
        <v>47057.3125</v>
      </c>
      <c r="C57" s="8">
        <f t="shared" si="2"/>
        <v>330124.4953297131</v>
      </c>
      <c r="D57" s="7">
        <f t="shared" si="3"/>
        <v>10762.566015457145</v>
      </c>
      <c r="E57" s="9">
        <f t="shared" si="4"/>
        <v>7.1999999999999995E-2</v>
      </c>
      <c r="F57" s="8">
        <f t="shared" si="0"/>
        <v>1980.7469719782785</v>
      </c>
      <c r="G57" s="8">
        <f t="shared" si="6"/>
        <v>8781.8190434788667</v>
      </c>
      <c r="H57" s="8">
        <f t="shared" si="5"/>
        <v>10762.566015457145</v>
      </c>
      <c r="I57" s="8">
        <f t="shared" si="7"/>
        <v>321342.67628623423</v>
      </c>
    </row>
    <row r="58" spans="1:9">
      <c r="A58">
        <v>52</v>
      </c>
      <c r="B58" s="6">
        <f t="shared" si="1"/>
        <v>47087.75</v>
      </c>
      <c r="C58" s="8">
        <f t="shared" si="2"/>
        <v>321342.67628623423</v>
      </c>
      <c r="D58" s="7">
        <f t="shared" si="3"/>
        <v>10762.566015457145</v>
      </c>
      <c r="E58" s="9">
        <f t="shared" si="4"/>
        <v>7.1999999999999995E-2</v>
      </c>
      <c r="F58" s="8">
        <f t="shared" si="0"/>
        <v>1928.0560577174053</v>
      </c>
      <c r="G58" s="8">
        <f t="shared" si="6"/>
        <v>8834.5099577397395</v>
      </c>
      <c r="H58" s="8">
        <f t="shared" si="5"/>
        <v>10762.566015457145</v>
      </c>
      <c r="I58" s="8">
        <f t="shared" si="7"/>
        <v>312508.1663284945</v>
      </c>
    </row>
    <row r="59" spans="1:9">
      <c r="A59">
        <v>53</v>
      </c>
      <c r="B59" s="6">
        <f t="shared" si="1"/>
        <v>47118.1875</v>
      </c>
      <c r="C59" s="8">
        <f t="shared" si="2"/>
        <v>312508.1663284945</v>
      </c>
      <c r="D59" s="7">
        <f t="shared" si="3"/>
        <v>10762.566015457145</v>
      </c>
      <c r="E59" s="9">
        <f t="shared" si="4"/>
        <v>7.1999999999999995E-2</v>
      </c>
      <c r="F59" s="8">
        <f t="shared" si="0"/>
        <v>1875.0489979709666</v>
      </c>
      <c r="G59" s="8">
        <f t="shared" si="6"/>
        <v>8887.5170174861778</v>
      </c>
      <c r="H59" s="8">
        <f t="shared" si="5"/>
        <v>10762.566015457145</v>
      </c>
      <c r="I59" s="8">
        <f t="shared" si="7"/>
        <v>303620.64931100834</v>
      </c>
    </row>
    <row r="60" spans="1:9">
      <c r="A60">
        <v>54</v>
      </c>
      <c r="B60" s="6">
        <f t="shared" si="1"/>
        <v>47148.625</v>
      </c>
      <c r="C60" s="8">
        <f t="shared" si="2"/>
        <v>303620.64931100834</v>
      </c>
      <c r="D60" s="7">
        <f t="shared" si="3"/>
        <v>10762.566015457145</v>
      </c>
      <c r="E60" s="9">
        <f t="shared" si="4"/>
        <v>7.1999999999999995E-2</v>
      </c>
      <c r="F60" s="8">
        <f t="shared" si="0"/>
        <v>1821.72389586605</v>
      </c>
      <c r="G60" s="8">
        <f t="shared" si="6"/>
        <v>8940.842119591096</v>
      </c>
      <c r="H60" s="8">
        <f t="shared" si="5"/>
        <v>10762.566015457145</v>
      </c>
      <c r="I60" s="8">
        <f t="shared" si="7"/>
        <v>294679.80719141726</v>
      </c>
    </row>
    <row r="61" spans="1:9">
      <c r="A61">
        <v>55</v>
      </c>
      <c r="B61" s="6">
        <f t="shared" si="1"/>
        <v>47179.0625</v>
      </c>
      <c r="C61" s="8">
        <f t="shared" si="2"/>
        <v>294679.80719141726</v>
      </c>
      <c r="D61" s="7">
        <f t="shared" si="3"/>
        <v>10762.566015457145</v>
      </c>
      <c r="E61" s="9">
        <f t="shared" si="4"/>
        <v>7.1999999999999995E-2</v>
      </c>
      <c r="F61" s="8">
        <f t="shared" si="0"/>
        <v>1768.0788431485034</v>
      </c>
      <c r="G61" s="8">
        <f t="shared" si="6"/>
        <v>8994.4871723086417</v>
      </c>
      <c r="H61" s="8">
        <f t="shared" si="5"/>
        <v>10762.566015457145</v>
      </c>
      <c r="I61" s="8">
        <f t="shared" si="7"/>
        <v>285685.32001910859</v>
      </c>
    </row>
    <row r="62" spans="1:9">
      <c r="A62">
        <v>56</v>
      </c>
      <c r="B62" s="6">
        <f t="shared" si="1"/>
        <v>47209.5</v>
      </c>
      <c r="C62" s="8">
        <f t="shared" si="2"/>
        <v>285685.32001910859</v>
      </c>
      <c r="D62" s="7">
        <f t="shared" si="3"/>
        <v>10762.566015457145</v>
      </c>
      <c r="E62" s="9">
        <f t="shared" si="4"/>
        <v>7.1999999999999995E-2</v>
      </c>
      <c r="F62" s="8">
        <f t="shared" si="0"/>
        <v>1714.1119201146514</v>
      </c>
      <c r="G62" s="8">
        <f t="shared" si="6"/>
        <v>9048.454095342493</v>
      </c>
      <c r="H62" s="8">
        <f t="shared" si="5"/>
        <v>10762.566015457145</v>
      </c>
      <c r="I62" s="8">
        <f t="shared" si="7"/>
        <v>276636.8659237661</v>
      </c>
    </row>
    <row r="63" spans="1:9">
      <c r="A63">
        <v>57</v>
      </c>
      <c r="B63" s="6">
        <f t="shared" si="1"/>
        <v>47239.9375</v>
      </c>
      <c r="C63" s="8">
        <f t="shared" si="2"/>
        <v>276636.8659237661</v>
      </c>
      <c r="D63" s="7">
        <f t="shared" si="3"/>
        <v>10762.566015457145</v>
      </c>
      <c r="E63" s="9">
        <f t="shared" si="4"/>
        <v>7.1999999999999995E-2</v>
      </c>
      <c r="F63" s="8">
        <f t="shared" si="0"/>
        <v>1659.8211955425966</v>
      </c>
      <c r="G63" s="8">
        <f t="shared" si="6"/>
        <v>9102.7448199145492</v>
      </c>
      <c r="H63" s="8">
        <f t="shared" si="5"/>
        <v>10762.566015457145</v>
      </c>
      <c r="I63" s="8">
        <f t="shared" si="7"/>
        <v>267534.12110385153</v>
      </c>
    </row>
    <row r="64" spans="1:9">
      <c r="A64">
        <v>58</v>
      </c>
      <c r="B64" s="6">
        <f t="shared" si="1"/>
        <v>47270.375</v>
      </c>
      <c r="C64" s="8">
        <f t="shared" si="2"/>
        <v>267534.12110385153</v>
      </c>
      <c r="D64" s="7">
        <f t="shared" si="3"/>
        <v>10762.566015457145</v>
      </c>
      <c r="E64" s="9">
        <f t="shared" si="4"/>
        <v>7.1999999999999995E-2</v>
      </c>
      <c r="F64" s="8">
        <f t="shared" si="0"/>
        <v>1605.2047266231091</v>
      </c>
      <c r="G64" s="8">
        <f t="shared" si="6"/>
        <v>9157.3612888340358</v>
      </c>
      <c r="H64" s="8">
        <f t="shared" si="5"/>
        <v>10762.566015457145</v>
      </c>
      <c r="I64" s="8">
        <f t="shared" si="7"/>
        <v>258376.75981501749</v>
      </c>
    </row>
    <row r="65" spans="1:9">
      <c r="A65">
        <v>59</v>
      </c>
      <c r="B65" s="6">
        <f t="shared" si="1"/>
        <v>47300.8125</v>
      </c>
      <c r="C65" s="8">
        <f t="shared" si="2"/>
        <v>258376.75981501749</v>
      </c>
      <c r="D65" s="7">
        <f t="shared" si="3"/>
        <v>10762.566015457145</v>
      </c>
      <c r="E65" s="9">
        <f t="shared" si="4"/>
        <v>7.1999999999999995E-2</v>
      </c>
      <c r="F65" s="8">
        <f t="shared" si="0"/>
        <v>1550.2605588901049</v>
      </c>
      <c r="G65" s="8">
        <f t="shared" si="6"/>
        <v>9212.3054565670409</v>
      </c>
      <c r="H65" s="8">
        <f t="shared" si="5"/>
        <v>10762.566015457145</v>
      </c>
      <c r="I65" s="8">
        <f t="shared" si="7"/>
        <v>249164.45435845046</v>
      </c>
    </row>
    <row r="66" spans="1:9">
      <c r="A66">
        <v>60</v>
      </c>
      <c r="B66" s="6">
        <f t="shared" si="1"/>
        <v>47331.25</v>
      </c>
      <c r="C66" s="8">
        <f t="shared" si="2"/>
        <v>249164.45435845046</v>
      </c>
      <c r="D66" s="7">
        <f t="shared" si="3"/>
        <v>10762.566015457145</v>
      </c>
      <c r="E66" s="9">
        <f t="shared" si="4"/>
        <v>7.1999999999999995E-2</v>
      </c>
      <c r="F66" s="8">
        <f t="shared" si="0"/>
        <v>1494.9867261507027</v>
      </c>
      <c r="G66" s="8">
        <f t="shared" si="6"/>
        <v>9267.5792893064427</v>
      </c>
      <c r="H66" s="8">
        <f t="shared" si="5"/>
        <v>10762.566015457145</v>
      </c>
      <c r="I66" s="8">
        <f t="shared" si="7"/>
        <v>239896.87506914401</v>
      </c>
    </row>
    <row r="67" spans="1:9">
      <c r="A67" s="5">
        <v>61</v>
      </c>
      <c r="B67" s="10">
        <f t="shared" si="1"/>
        <v>47361.6875</v>
      </c>
      <c r="C67" s="13">
        <f t="shared" si="2"/>
        <v>239896.87506914401</v>
      </c>
      <c r="D67" s="11">
        <f t="shared" si="3"/>
        <v>10762.566015457145</v>
      </c>
      <c r="E67" s="12">
        <f t="shared" si="4"/>
        <v>7.1999999999999995E-2</v>
      </c>
      <c r="F67" s="13">
        <f t="shared" si="0"/>
        <v>1439.3812504148639</v>
      </c>
      <c r="G67" s="13">
        <f t="shared" si="6"/>
        <v>9323.1847650422806</v>
      </c>
      <c r="H67" s="13">
        <f t="shared" si="5"/>
        <v>10762.566015457145</v>
      </c>
      <c r="I67" s="13">
        <f t="shared" si="7"/>
        <v>230573.69030410174</v>
      </c>
    </row>
    <row r="68" spans="1:9">
      <c r="A68" s="5">
        <v>62</v>
      </c>
      <c r="B68" s="10">
        <f t="shared" si="1"/>
        <v>47392.125</v>
      </c>
      <c r="C68" s="13">
        <f t="shared" si="2"/>
        <v>230573.69030410174</v>
      </c>
      <c r="D68" s="11">
        <f t="shared" si="3"/>
        <v>10762.566015457145</v>
      </c>
      <c r="E68" s="12">
        <f t="shared" si="4"/>
        <v>7.1999999999999995E-2</v>
      </c>
      <c r="F68" s="13">
        <f t="shared" si="0"/>
        <v>1383.4421418246102</v>
      </c>
      <c r="G68" s="13">
        <f t="shared" si="6"/>
        <v>9379.1238736325358</v>
      </c>
      <c r="H68" s="13">
        <f t="shared" si="5"/>
        <v>10762.566015457145</v>
      </c>
      <c r="I68" s="13">
        <f t="shared" si="7"/>
        <v>221194.56643046919</v>
      </c>
    </row>
    <row r="69" spans="1:9">
      <c r="A69" s="5">
        <v>63</v>
      </c>
      <c r="B69" s="10">
        <f t="shared" si="1"/>
        <v>47422.5625</v>
      </c>
      <c r="C69" s="13">
        <f t="shared" si="2"/>
        <v>221194.56643046919</v>
      </c>
      <c r="D69" s="11">
        <f t="shared" si="3"/>
        <v>10762.566015457145</v>
      </c>
      <c r="E69" s="12">
        <f t="shared" si="4"/>
        <v>7.1999999999999995E-2</v>
      </c>
      <c r="F69" s="13">
        <f t="shared" si="0"/>
        <v>1327.1673985828149</v>
      </c>
      <c r="G69" s="13">
        <f t="shared" si="6"/>
        <v>9435.3986168743304</v>
      </c>
      <c r="H69" s="13">
        <f t="shared" si="5"/>
        <v>10762.566015457145</v>
      </c>
      <c r="I69" s="13">
        <f t="shared" si="7"/>
        <v>211759.16781359486</v>
      </c>
    </row>
    <row r="70" spans="1:9">
      <c r="A70" s="5">
        <v>64</v>
      </c>
      <c r="B70" s="10">
        <f t="shared" si="1"/>
        <v>47453</v>
      </c>
      <c r="C70" s="13">
        <f t="shared" si="2"/>
        <v>211759.16781359486</v>
      </c>
      <c r="D70" s="11">
        <f t="shared" si="3"/>
        <v>10762.566015457145</v>
      </c>
      <c r="E70" s="12">
        <f t="shared" si="4"/>
        <v>7.1999999999999995E-2</v>
      </c>
      <c r="F70" s="13">
        <f t="shared" si="0"/>
        <v>1270.5550068815689</v>
      </c>
      <c r="G70" s="13">
        <f t="shared" si="6"/>
        <v>9492.0110085755769</v>
      </c>
      <c r="H70" s="13">
        <f t="shared" si="5"/>
        <v>10762.566015457145</v>
      </c>
      <c r="I70" s="13">
        <f t="shared" si="7"/>
        <v>202267.15680501927</v>
      </c>
    </row>
    <row r="71" spans="1:9">
      <c r="A71" s="5">
        <v>65</v>
      </c>
      <c r="B71" s="10">
        <f t="shared" si="1"/>
        <v>47483.4375</v>
      </c>
      <c r="C71" s="13">
        <f t="shared" si="2"/>
        <v>202267.15680501927</v>
      </c>
      <c r="D71" s="11">
        <f t="shared" si="3"/>
        <v>10762.566015457145</v>
      </c>
      <c r="E71" s="12">
        <f t="shared" si="4"/>
        <v>7.1999999999999995E-2</v>
      </c>
      <c r="F71" s="13">
        <f t="shared" si="0"/>
        <v>1213.6029408301156</v>
      </c>
      <c r="G71" s="13">
        <f t="shared" si="6"/>
        <v>9548.9630746270304</v>
      </c>
      <c r="H71" s="13">
        <f t="shared" si="5"/>
        <v>10762.566015457145</v>
      </c>
      <c r="I71" s="13">
        <f t="shared" si="7"/>
        <v>192718.19373039223</v>
      </c>
    </row>
    <row r="72" spans="1:9">
      <c r="A72" s="5">
        <v>66</v>
      </c>
      <c r="B72" s="10">
        <f t="shared" si="1"/>
        <v>47513.875</v>
      </c>
      <c r="C72" s="13">
        <f t="shared" si="2"/>
        <v>192718.19373039223</v>
      </c>
      <c r="D72" s="11">
        <f t="shared" si="3"/>
        <v>10762.566015457145</v>
      </c>
      <c r="E72" s="12">
        <f t="shared" si="4"/>
        <v>7.1999999999999995E-2</v>
      </c>
      <c r="F72" s="13">
        <f t="shared" ref="F72:F95" si="8">C72*E72/12</f>
        <v>1156.3091623823532</v>
      </c>
      <c r="G72" s="13">
        <f t="shared" si="6"/>
        <v>9606.2568530747922</v>
      </c>
      <c r="H72" s="13">
        <f t="shared" si="5"/>
        <v>10762.566015457145</v>
      </c>
      <c r="I72" s="13">
        <f t="shared" si="7"/>
        <v>183111.93687731744</v>
      </c>
    </row>
    <row r="73" spans="1:9">
      <c r="A73" s="5">
        <v>67</v>
      </c>
      <c r="B73" s="10">
        <f t="shared" ref="B73:B90" si="9">B72+(365.25/12)</f>
        <v>47544.3125</v>
      </c>
      <c r="C73" s="13">
        <f t="shared" ref="C73:C96" si="10">I72</f>
        <v>183111.93687731744</v>
      </c>
      <c r="D73" s="11">
        <f t="shared" ref="D73:D90" si="11">$D$3</f>
        <v>10762.566015457145</v>
      </c>
      <c r="E73" s="12">
        <f t="shared" ref="E73:E90" si="12">E72</f>
        <v>7.1999999999999995E-2</v>
      </c>
      <c r="F73" s="13">
        <f t="shared" si="8"/>
        <v>1098.6716212639046</v>
      </c>
      <c r="G73" s="13">
        <f t="shared" si="6"/>
        <v>9663.8943941932412</v>
      </c>
      <c r="H73" s="13">
        <f t="shared" ref="H73:H96" si="13">F73+G73</f>
        <v>10762.566015457145</v>
      </c>
      <c r="I73" s="13">
        <f t="shared" si="7"/>
        <v>173448.04248312418</v>
      </c>
    </row>
    <row r="74" spans="1:9">
      <c r="A74" s="5">
        <v>68</v>
      </c>
      <c r="B74" s="10">
        <f t="shared" si="9"/>
        <v>47574.75</v>
      </c>
      <c r="C74" s="13">
        <f t="shared" si="10"/>
        <v>173448.04248312418</v>
      </c>
      <c r="D74" s="11">
        <f t="shared" si="11"/>
        <v>10762.566015457145</v>
      </c>
      <c r="E74" s="12">
        <f t="shared" si="12"/>
        <v>7.1999999999999995E-2</v>
      </c>
      <c r="F74" s="13">
        <f t="shared" si="8"/>
        <v>1040.6882548987451</v>
      </c>
      <c r="G74" s="13">
        <f t="shared" si="6"/>
        <v>9721.8777605584</v>
      </c>
      <c r="H74" s="13">
        <f t="shared" si="13"/>
        <v>10762.566015457145</v>
      </c>
      <c r="I74" s="13">
        <f t="shared" si="7"/>
        <v>163726.16472256579</v>
      </c>
    </row>
    <row r="75" spans="1:9">
      <c r="A75" s="5">
        <v>69</v>
      </c>
      <c r="B75" s="10">
        <f t="shared" si="9"/>
        <v>47605.1875</v>
      </c>
      <c r="C75" s="13">
        <f t="shared" si="10"/>
        <v>163726.16472256579</v>
      </c>
      <c r="D75" s="11">
        <f t="shared" si="11"/>
        <v>10762.566015457145</v>
      </c>
      <c r="E75" s="12">
        <f t="shared" si="12"/>
        <v>7.1999999999999995E-2</v>
      </c>
      <c r="F75" s="13">
        <f t="shared" si="8"/>
        <v>982.3569883353947</v>
      </c>
      <c r="G75" s="13">
        <f t="shared" si="6"/>
        <v>9780.2090271217512</v>
      </c>
      <c r="H75" s="13">
        <f t="shared" si="13"/>
        <v>10762.566015457145</v>
      </c>
      <c r="I75" s="13">
        <f t="shared" si="7"/>
        <v>153945.95569544405</v>
      </c>
    </row>
    <row r="76" spans="1:9">
      <c r="A76" s="5">
        <v>70</v>
      </c>
      <c r="B76" s="10">
        <f t="shared" si="9"/>
        <v>47635.625</v>
      </c>
      <c r="C76" s="13">
        <f t="shared" si="10"/>
        <v>153945.95569544405</v>
      </c>
      <c r="D76" s="11">
        <f t="shared" si="11"/>
        <v>10762.566015457145</v>
      </c>
      <c r="E76" s="12">
        <f t="shared" si="12"/>
        <v>7.1999999999999995E-2</v>
      </c>
      <c r="F76" s="13">
        <f t="shared" si="8"/>
        <v>923.67573417266419</v>
      </c>
      <c r="G76" s="13">
        <f t="shared" si="6"/>
        <v>9838.8902812844808</v>
      </c>
      <c r="H76" s="13">
        <f t="shared" si="13"/>
        <v>10762.566015457145</v>
      </c>
      <c r="I76" s="13">
        <f t="shared" si="7"/>
        <v>144107.06541415956</v>
      </c>
    </row>
    <row r="77" spans="1:9">
      <c r="A77" s="5">
        <v>71</v>
      </c>
      <c r="B77" s="10">
        <f t="shared" si="9"/>
        <v>47666.0625</v>
      </c>
      <c r="C77" s="13">
        <f t="shared" si="10"/>
        <v>144107.06541415956</v>
      </c>
      <c r="D77" s="11">
        <f t="shared" si="11"/>
        <v>10762.566015457145</v>
      </c>
      <c r="E77" s="12">
        <f t="shared" si="12"/>
        <v>7.1999999999999995E-2</v>
      </c>
      <c r="F77" s="13">
        <f t="shared" si="8"/>
        <v>864.64239248495733</v>
      </c>
      <c r="G77" s="13">
        <f t="shared" si="6"/>
        <v>9897.9236229721882</v>
      </c>
      <c r="H77" s="13">
        <f t="shared" si="13"/>
        <v>10762.566015457145</v>
      </c>
      <c r="I77" s="13">
        <f t="shared" si="7"/>
        <v>134209.14179118737</v>
      </c>
    </row>
    <row r="78" spans="1:9">
      <c r="A78" s="5">
        <v>72</v>
      </c>
      <c r="B78" s="10">
        <f t="shared" si="9"/>
        <v>47696.5</v>
      </c>
      <c r="C78" s="13">
        <f t="shared" si="10"/>
        <v>134209.14179118737</v>
      </c>
      <c r="D78" s="11">
        <f t="shared" si="11"/>
        <v>10762.566015457145</v>
      </c>
      <c r="E78" s="12">
        <f t="shared" si="12"/>
        <v>7.1999999999999995E-2</v>
      </c>
      <c r="F78" s="13">
        <f t="shared" si="8"/>
        <v>805.25485074712424</v>
      </c>
      <c r="G78" s="13">
        <f t="shared" si="6"/>
        <v>9957.3111647100213</v>
      </c>
      <c r="H78" s="13">
        <f t="shared" si="13"/>
        <v>10762.566015457145</v>
      </c>
      <c r="I78" s="13">
        <f t="shared" si="7"/>
        <v>124251.83062647736</v>
      </c>
    </row>
    <row r="79" spans="1:9">
      <c r="A79">
        <v>73</v>
      </c>
      <c r="B79" s="6">
        <f t="shared" si="9"/>
        <v>47726.9375</v>
      </c>
      <c r="C79" s="8">
        <f t="shared" si="10"/>
        <v>124251.83062647736</v>
      </c>
      <c r="D79" s="7">
        <f t="shared" ref="D79:D89" si="14">IF(D78&gt;C79,C79,$D$3)</f>
        <v>10762.566015457145</v>
      </c>
      <c r="E79" s="9">
        <f t="shared" si="12"/>
        <v>7.1999999999999995E-2</v>
      </c>
      <c r="F79" s="8">
        <f t="shared" si="8"/>
        <v>745.51098375886397</v>
      </c>
      <c r="G79" s="8">
        <f t="shared" si="6"/>
        <v>10017.055031698281</v>
      </c>
      <c r="H79" s="8">
        <f t="shared" si="13"/>
        <v>10762.566015457145</v>
      </c>
      <c r="I79" s="8">
        <f t="shared" ref="I79:I88" si="15">IF(H79&lt;H78,SUM(F79,G79),C79-G79)</f>
        <v>114234.77559477907</v>
      </c>
    </row>
    <row r="80" spans="1:9">
      <c r="A80">
        <v>74</v>
      </c>
      <c r="B80" s="6">
        <f t="shared" si="9"/>
        <v>47757.375</v>
      </c>
      <c r="C80" s="8">
        <f t="shared" si="10"/>
        <v>114234.77559477907</v>
      </c>
      <c r="D80" s="7">
        <f t="shared" si="14"/>
        <v>10762.566015457145</v>
      </c>
      <c r="E80" s="9">
        <f t="shared" si="12"/>
        <v>7.1999999999999995E-2</v>
      </c>
      <c r="F80" s="8">
        <f t="shared" si="8"/>
        <v>685.40865356867437</v>
      </c>
      <c r="G80" s="8">
        <f t="shared" si="6"/>
        <v>10077.15736188847</v>
      </c>
      <c r="H80" s="8">
        <f t="shared" si="13"/>
        <v>10762.566015457145</v>
      </c>
      <c r="I80" s="8">
        <f t="shared" si="15"/>
        <v>104157.6182328906</v>
      </c>
    </row>
    <row r="81" spans="1:9">
      <c r="A81">
        <v>75</v>
      </c>
      <c r="B81" s="6">
        <f t="shared" si="9"/>
        <v>47787.8125</v>
      </c>
      <c r="C81" s="8">
        <f t="shared" si="10"/>
        <v>104157.6182328906</v>
      </c>
      <c r="D81" s="7">
        <f t="shared" si="14"/>
        <v>10762.566015457145</v>
      </c>
      <c r="E81" s="9">
        <f t="shared" si="12"/>
        <v>7.1999999999999995E-2</v>
      </c>
      <c r="F81" s="8">
        <f t="shared" si="8"/>
        <v>624.94570939734353</v>
      </c>
      <c r="G81" s="8">
        <f t="shared" si="6"/>
        <v>10137.620306059802</v>
      </c>
      <c r="H81" s="8">
        <f t="shared" si="13"/>
        <v>10762.566015457145</v>
      </c>
      <c r="I81" s="8">
        <f t="shared" si="15"/>
        <v>94019.997926830794</v>
      </c>
    </row>
    <row r="82" spans="1:9">
      <c r="A82">
        <v>76</v>
      </c>
      <c r="B82" s="6">
        <f t="shared" si="9"/>
        <v>47818.25</v>
      </c>
      <c r="C82" s="8">
        <f t="shared" si="10"/>
        <v>94019.997926830794</v>
      </c>
      <c r="D82" s="7">
        <f t="shared" si="14"/>
        <v>10762.566015457145</v>
      </c>
      <c r="E82" s="9">
        <f t="shared" si="12"/>
        <v>7.1999999999999995E-2</v>
      </c>
      <c r="F82" s="8">
        <f t="shared" si="8"/>
        <v>564.11998756098467</v>
      </c>
      <c r="G82" s="8">
        <f t="shared" si="6"/>
        <v>10198.44602789616</v>
      </c>
      <c r="H82" s="8">
        <f t="shared" si="13"/>
        <v>10762.566015457145</v>
      </c>
      <c r="I82" s="8">
        <f t="shared" si="15"/>
        <v>83821.551898934631</v>
      </c>
    </row>
    <row r="83" spans="1:9">
      <c r="A83">
        <v>77</v>
      </c>
      <c r="B83" s="6">
        <f t="shared" si="9"/>
        <v>47848.6875</v>
      </c>
      <c r="C83" s="8">
        <f t="shared" si="10"/>
        <v>83821.551898934631</v>
      </c>
      <c r="D83" s="7">
        <f t="shared" si="14"/>
        <v>10762.566015457145</v>
      </c>
      <c r="E83" s="9">
        <f t="shared" si="12"/>
        <v>7.1999999999999995E-2</v>
      </c>
      <c r="F83" s="8">
        <f t="shared" si="8"/>
        <v>502.92931139360775</v>
      </c>
      <c r="G83" s="8">
        <f t="shared" ref="G83:G106" si="16">D83-F83</f>
        <v>10259.636704063538</v>
      </c>
      <c r="H83" s="8">
        <f t="shared" si="13"/>
        <v>10762.566015457145</v>
      </c>
      <c r="I83" s="8">
        <f t="shared" si="15"/>
        <v>73561.915194871093</v>
      </c>
    </row>
    <row r="84" spans="1:9">
      <c r="A84">
        <v>78</v>
      </c>
      <c r="B84" s="6">
        <f t="shared" si="9"/>
        <v>47879.125</v>
      </c>
      <c r="C84" s="8">
        <f t="shared" si="10"/>
        <v>73561.915194871093</v>
      </c>
      <c r="D84" s="7">
        <f t="shared" si="14"/>
        <v>10762.566015457145</v>
      </c>
      <c r="E84" s="9">
        <f t="shared" si="12"/>
        <v>7.1999999999999995E-2</v>
      </c>
      <c r="F84" s="8">
        <f t="shared" si="8"/>
        <v>441.37149116922654</v>
      </c>
      <c r="G84" s="8">
        <f t="shared" si="16"/>
        <v>10321.194524287919</v>
      </c>
      <c r="H84" s="8">
        <f t="shared" si="13"/>
        <v>10762.566015457145</v>
      </c>
      <c r="I84" s="8">
        <f t="shared" si="15"/>
        <v>63240.720670583178</v>
      </c>
    </row>
    <row r="85" spans="1:9">
      <c r="A85">
        <v>79</v>
      </c>
      <c r="B85" s="6">
        <f t="shared" si="9"/>
        <v>47909.5625</v>
      </c>
      <c r="C85" s="8">
        <f t="shared" si="10"/>
        <v>63240.720670583178</v>
      </c>
      <c r="D85" s="7">
        <f t="shared" si="14"/>
        <v>10762.566015457145</v>
      </c>
      <c r="E85" s="9">
        <f t="shared" si="12"/>
        <v>7.1999999999999995E-2</v>
      </c>
      <c r="F85" s="8">
        <f t="shared" si="8"/>
        <v>379.44432402349906</v>
      </c>
      <c r="G85" s="8">
        <f t="shared" si="16"/>
        <v>10383.121691433646</v>
      </c>
      <c r="H85" s="8">
        <f t="shared" si="13"/>
        <v>10762.566015457145</v>
      </c>
      <c r="I85" s="8">
        <f t="shared" si="15"/>
        <v>52857.59897914953</v>
      </c>
    </row>
    <row r="86" spans="1:9">
      <c r="A86">
        <v>80</v>
      </c>
      <c r="B86" s="6">
        <f t="shared" si="9"/>
        <v>47940</v>
      </c>
      <c r="C86" s="8">
        <f t="shared" si="10"/>
        <v>52857.59897914953</v>
      </c>
      <c r="D86" s="7">
        <f t="shared" si="14"/>
        <v>10762.566015457145</v>
      </c>
      <c r="E86" s="9">
        <f t="shared" si="12"/>
        <v>7.1999999999999995E-2</v>
      </c>
      <c r="F86" s="8">
        <f t="shared" si="8"/>
        <v>317.14559387489714</v>
      </c>
      <c r="G86" s="8">
        <f t="shared" si="16"/>
        <v>10445.420421582248</v>
      </c>
      <c r="H86" s="8">
        <f t="shared" si="13"/>
        <v>10762.566015457145</v>
      </c>
      <c r="I86" s="8">
        <f t="shared" si="15"/>
        <v>42412.178557567284</v>
      </c>
    </row>
    <row r="87" spans="1:9">
      <c r="A87">
        <v>81</v>
      </c>
      <c r="B87" s="6">
        <f t="shared" si="9"/>
        <v>47970.4375</v>
      </c>
      <c r="C87" s="8">
        <f t="shared" si="10"/>
        <v>42412.178557567284</v>
      </c>
      <c r="D87" s="7">
        <f t="shared" si="14"/>
        <v>10762.566015457145</v>
      </c>
      <c r="E87" s="9">
        <f t="shared" si="12"/>
        <v>7.1999999999999995E-2</v>
      </c>
      <c r="F87" s="8">
        <f t="shared" si="8"/>
        <v>254.4730713454037</v>
      </c>
      <c r="G87" s="8">
        <f t="shared" si="16"/>
        <v>10508.092944111741</v>
      </c>
      <c r="H87" s="8">
        <f t="shared" si="13"/>
        <v>10762.566015457145</v>
      </c>
      <c r="I87" s="8">
        <f t="shared" si="15"/>
        <v>31904.085613455543</v>
      </c>
    </row>
    <row r="88" spans="1:9">
      <c r="A88">
        <v>82</v>
      </c>
      <c r="B88" s="6">
        <f t="shared" si="9"/>
        <v>48000.875</v>
      </c>
      <c r="C88" s="8">
        <f t="shared" si="10"/>
        <v>31904.085613455543</v>
      </c>
      <c r="D88" s="7">
        <f t="shared" si="14"/>
        <v>10762.566015457145</v>
      </c>
      <c r="E88" s="9">
        <f t="shared" si="12"/>
        <v>7.1999999999999995E-2</v>
      </c>
      <c r="F88" s="8">
        <f t="shared" si="8"/>
        <v>191.42451368073327</v>
      </c>
      <c r="G88" s="8">
        <f t="shared" si="16"/>
        <v>10571.141501776412</v>
      </c>
      <c r="H88" s="8">
        <f t="shared" si="13"/>
        <v>10762.566015457145</v>
      </c>
      <c r="I88" s="8">
        <f t="shared" si="15"/>
        <v>21332.944111679131</v>
      </c>
    </row>
    <row r="89" spans="1:9">
      <c r="A89">
        <v>83</v>
      </c>
      <c r="B89" s="6">
        <f t="shared" si="9"/>
        <v>48031.3125</v>
      </c>
      <c r="C89" s="8">
        <f t="shared" si="10"/>
        <v>21332.944111679131</v>
      </c>
      <c r="D89" s="7">
        <f t="shared" si="14"/>
        <v>10762.566015457145</v>
      </c>
      <c r="E89" s="9">
        <f t="shared" si="12"/>
        <v>7.1999999999999995E-2</v>
      </c>
      <c r="F89" s="8">
        <f t="shared" si="8"/>
        <v>127.99766467007477</v>
      </c>
      <c r="G89" s="8">
        <f t="shared" si="16"/>
        <v>10634.568350787071</v>
      </c>
      <c r="H89" s="8">
        <f t="shared" si="13"/>
        <v>10762.566015457145</v>
      </c>
      <c r="I89" s="8">
        <f>IF(H89&lt;H88,SUM(F89,G89),C89-G89)</f>
        <v>10698.37576089206</v>
      </c>
    </row>
    <row r="90" spans="1:9">
      <c r="A90">
        <v>84</v>
      </c>
      <c r="B90" s="6">
        <f t="shared" si="9"/>
        <v>48061.75</v>
      </c>
      <c r="C90" s="8">
        <f t="shared" si="10"/>
        <v>10698.37576089206</v>
      </c>
      <c r="D90" s="7">
        <f>IF(D89&gt;C90,C90,$D$3)</f>
        <v>10698.37576089206</v>
      </c>
      <c r="E90" s="9">
        <f t="shared" si="12"/>
        <v>7.1999999999999995E-2</v>
      </c>
      <c r="F90" s="8">
        <f t="shared" si="8"/>
        <v>64.190254565352362</v>
      </c>
      <c r="G90" s="8">
        <f t="shared" si="16"/>
        <v>10634.185506326708</v>
      </c>
      <c r="H90" s="8">
        <f t="shared" si="13"/>
        <v>10698.37576089206</v>
      </c>
      <c r="I90" s="8">
        <f>IF(H90=H89,SUM(F90,G90),C90-H90)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F4B7B-06F8-43E4-A6B1-CC02CF841478}">
  <dimension ref="A1:N44"/>
  <sheetViews>
    <sheetView workbookViewId="0">
      <selection activeCell="D4" sqref="C4:D4"/>
    </sheetView>
  </sheetViews>
  <sheetFormatPr defaultRowHeight="15"/>
  <cols>
    <col min="1" max="1" width="13" customWidth="1"/>
    <col min="2" max="2" width="12.85546875" bestFit="1" customWidth="1"/>
    <col min="3" max="3" width="20" customWidth="1"/>
    <col min="4" max="5" width="11.5703125" customWidth="1"/>
    <col min="6" max="6" width="11.28515625" customWidth="1"/>
    <col min="7" max="9" width="16.7109375" customWidth="1"/>
    <col min="10" max="11" width="17.7109375" customWidth="1"/>
    <col min="12" max="12" width="4.42578125" customWidth="1"/>
    <col min="13" max="13" width="18.28515625" customWidth="1"/>
    <col min="14" max="14" width="16.140625" customWidth="1"/>
  </cols>
  <sheetData>
    <row r="1" spans="1:14">
      <c r="A1" s="5" t="s">
        <v>23</v>
      </c>
      <c r="B1" s="4">
        <f>(190000)*75%</f>
        <v>142500</v>
      </c>
      <c r="C1" s="5" t="s">
        <v>24</v>
      </c>
      <c r="D1">
        <f>B2</f>
        <v>36</v>
      </c>
      <c r="F1" s="15" t="s">
        <v>36</v>
      </c>
      <c r="G1" s="8">
        <f>SUM(H7:H42)</f>
        <v>155484.09696594899</v>
      </c>
    </row>
    <row r="2" spans="1:14">
      <c r="A2" s="5" t="s">
        <v>25</v>
      </c>
      <c r="B2">
        <v>36</v>
      </c>
      <c r="C2" s="5" t="s">
        <v>26</v>
      </c>
      <c r="D2" s="3">
        <f>B3/12</f>
        <v>4.7916666666666672E-3</v>
      </c>
      <c r="E2" s="3"/>
      <c r="F2" s="15" t="s">
        <v>37</v>
      </c>
      <c r="G2" s="8">
        <f>G1-B1</f>
        <v>12984.096965948993</v>
      </c>
    </row>
    <row r="3" spans="1:14">
      <c r="A3" s="5" t="s">
        <v>27</v>
      </c>
      <c r="B3" s="1">
        <f>4.75%+1%</f>
        <v>5.7500000000000002E-2</v>
      </c>
      <c r="C3" s="5" t="s">
        <v>28</v>
      </c>
      <c r="D3" s="2">
        <f>PMT(B3/12,D1,-B1,0,0)</f>
        <v>4319.0026934985826</v>
      </c>
      <c r="E3" s="2"/>
      <c r="F3" s="2"/>
    </row>
    <row r="4" spans="1:14">
      <c r="A4" s="5" t="s">
        <v>29</v>
      </c>
      <c r="B4" s="6">
        <f>DATE(2024,8,1)</f>
        <v>45505</v>
      </c>
      <c r="C4" s="5" t="s">
        <v>49</v>
      </c>
      <c r="D4" s="2">
        <f>D3*12</f>
        <v>51828.032321982988</v>
      </c>
      <c r="J4" s="5" t="s">
        <v>50</v>
      </c>
      <c r="M4" s="5" t="s">
        <v>51</v>
      </c>
    </row>
    <row r="6" spans="1:14">
      <c r="A6" s="14" t="s">
        <v>30</v>
      </c>
      <c r="B6" s="14" t="s">
        <v>31</v>
      </c>
      <c r="C6" s="14" t="s">
        <v>32</v>
      </c>
      <c r="D6" s="14" t="s">
        <v>28</v>
      </c>
      <c r="E6" s="14" t="s">
        <v>33</v>
      </c>
      <c r="F6" s="14" t="s">
        <v>33</v>
      </c>
      <c r="G6" s="14" t="s">
        <v>23</v>
      </c>
      <c r="H6" s="14" t="s">
        <v>34</v>
      </c>
      <c r="I6" s="14" t="s">
        <v>35</v>
      </c>
      <c r="J6" s="14" t="s">
        <v>52</v>
      </c>
      <c r="K6" s="14" t="s">
        <v>35</v>
      </c>
      <c r="L6" s="14"/>
      <c r="M6" s="14" t="s">
        <v>52</v>
      </c>
      <c r="N6" s="14" t="s">
        <v>35</v>
      </c>
    </row>
    <row r="7" spans="1:14">
      <c r="A7">
        <v>1</v>
      </c>
      <c r="B7" s="6">
        <f>B4+(365.25/12)</f>
        <v>45535.4375</v>
      </c>
      <c r="C7" s="8">
        <f>B1</f>
        <v>142500</v>
      </c>
      <c r="D7" s="7">
        <f>$D$3</f>
        <v>4319.0026934985826</v>
      </c>
      <c r="E7" s="9">
        <f>$B$3</f>
        <v>5.7500000000000002E-2</v>
      </c>
      <c r="F7" s="8">
        <f>C7*E7/12</f>
        <v>682.8125</v>
      </c>
      <c r="G7" s="8">
        <f>D7-F7</f>
        <v>3636.1901934985826</v>
      </c>
      <c r="H7" s="8">
        <f>F7+G7</f>
        <v>4319.0026934985826</v>
      </c>
      <c r="I7" s="8">
        <f>C7-G7</f>
        <v>138863.80980650141</v>
      </c>
      <c r="J7" s="8">
        <f>F7</f>
        <v>682.8125</v>
      </c>
      <c r="K7" s="8">
        <f>C7-F7</f>
        <v>141817.1875</v>
      </c>
      <c r="L7" s="8"/>
      <c r="M7" s="8">
        <f>F7</f>
        <v>682.8125</v>
      </c>
      <c r="N7" s="8">
        <f>C7-F7</f>
        <v>141817.1875</v>
      </c>
    </row>
    <row r="8" spans="1:14">
      <c r="A8">
        <v>2</v>
      </c>
      <c r="B8" s="6">
        <f>B7+(365.25/12)</f>
        <v>45565.875</v>
      </c>
      <c r="C8" s="8">
        <f>I7</f>
        <v>138863.80980650141</v>
      </c>
      <c r="D8" s="7">
        <f>$D$3</f>
        <v>4319.0026934985826</v>
      </c>
      <c r="E8" s="9">
        <f>E7</f>
        <v>5.7500000000000002E-2</v>
      </c>
      <c r="F8" s="8">
        <f t="shared" ref="F8:F42" si="0">C8*E8/12</f>
        <v>665.38908865615258</v>
      </c>
      <c r="G8" s="8">
        <f>D8-F8</f>
        <v>3653.61360484243</v>
      </c>
      <c r="H8" s="8">
        <f>F8+G8</f>
        <v>4319.0026934985826</v>
      </c>
      <c r="I8" s="8">
        <f>C8-G8</f>
        <v>135210.19620165898</v>
      </c>
      <c r="J8" s="8">
        <f t="shared" ref="J8:J30" si="1">F8</f>
        <v>665.38908865615258</v>
      </c>
      <c r="K8" s="8">
        <f>K7-J8</f>
        <v>141151.79841134386</v>
      </c>
      <c r="L8" s="8"/>
      <c r="M8" s="8">
        <f t="shared" ref="M8:M18" si="2">F8</f>
        <v>665.38908865615258</v>
      </c>
      <c r="N8" s="8">
        <f>N7-M8</f>
        <v>141151.79841134386</v>
      </c>
    </row>
    <row r="9" spans="1:14">
      <c r="A9">
        <v>3</v>
      </c>
      <c r="B9" s="6">
        <f t="shared" ref="B9:B42" si="3">B8+(365.25/12)</f>
        <v>45596.3125</v>
      </c>
      <c r="C9" s="8">
        <f t="shared" ref="C9:C42" si="4">I8</f>
        <v>135210.19620165898</v>
      </c>
      <c r="D9" s="7">
        <f t="shared" ref="D9:D42" si="5">$D$3</f>
        <v>4319.0026934985826</v>
      </c>
      <c r="E9" s="9">
        <f t="shared" ref="E9:E42" si="6">E8</f>
        <v>5.7500000000000002E-2</v>
      </c>
      <c r="F9" s="8">
        <f t="shared" si="0"/>
        <v>647.88219013294929</v>
      </c>
      <c r="G9" s="8">
        <f>D9-F9</f>
        <v>3671.1205033656333</v>
      </c>
      <c r="H9" s="8">
        <f t="shared" ref="H9:H42" si="7">F9+G9</f>
        <v>4319.0026934985826</v>
      </c>
      <c r="I9" s="8">
        <f>C9-G9</f>
        <v>131539.07569829334</v>
      </c>
      <c r="J9" s="8">
        <f t="shared" si="1"/>
        <v>647.88219013294929</v>
      </c>
      <c r="K9" s="8">
        <f t="shared" ref="K9:N24" si="8">K8-J9</f>
        <v>140503.91622121091</v>
      </c>
      <c r="L9" s="8"/>
      <c r="M9" s="8">
        <f t="shared" si="2"/>
        <v>647.88219013294929</v>
      </c>
      <c r="N9" s="8">
        <f t="shared" si="8"/>
        <v>140503.91622121091</v>
      </c>
    </row>
    <row r="10" spans="1:14">
      <c r="A10">
        <v>4</v>
      </c>
      <c r="B10" s="6">
        <f t="shared" si="3"/>
        <v>45626.75</v>
      </c>
      <c r="C10" s="8">
        <f t="shared" si="4"/>
        <v>131539.07569829334</v>
      </c>
      <c r="D10" s="7">
        <f t="shared" si="5"/>
        <v>4319.0026934985826</v>
      </c>
      <c r="E10" s="9">
        <f t="shared" si="6"/>
        <v>5.7500000000000002E-2</v>
      </c>
      <c r="F10" s="8">
        <f t="shared" si="0"/>
        <v>630.29140438765558</v>
      </c>
      <c r="G10" s="8">
        <f>D10-F10</f>
        <v>3688.7112891109273</v>
      </c>
      <c r="H10" s="8">
        <f t="shared" si="7"/>
        <v>4319.0026934985826</v>
      </c>
      <c r="I10" s="8">
        <f>C10-G10</f>
        <v>127850.36440918241</v>
      </c>
      <c r="J10" s="8">
        <f t="shared" si="1"/>
        <v>630.29140438765558</v>
      </c>
      <c r="K10" s="8">
        <f t="shared" si="8"/>
        <v>139873.62481682326</v>
      </c>
      <c r="L10" s="8"/>
      <c r="M10" s="8">
        <f t="shared" si="2"/>
        <v>630.29140438765558</v>
      </c>
      <c r="N10" s="8">
        <f t="shared" si="8"/>
        <v>139873.62481682326</v>
      </c>
    </row>
    <row r="11" spans="1:14">
      <c r="A11">
        <v>5</v>
      </c>
      <c r="B11" s="6">
        <f t="shared" si="3"/>
        <v>45657.1875</v>
      </c>
      <c r="C11" s="8">
        <f t="shared" si="4"/>
        <v>127850.36440918241</v>
      </c>
      <c r="D11" s="7">
        <f t="shared" si="5"/>
        <v>4319.0026934985826</v>
      </c>
      <c r="E11" s="9">
        <f t="shared" si="6"/>
        <v>5.7500000000000002E-2</v>
      </c>
      <c r="F11" s="8">
        <f t="shared" si="0"/>
        <v>612.61632946066572</v>
      </c>
      <c r="G11" s="8">
        <f>D11-F11</f>
        <v>3706.3863640379168</v>
      </c>
      <c r="H11" s="8">
        <f t="shared" si="7"/>
        <v>4319.0026934985826</v>
      </c>
      <c r="I11" s="8">
        <f>C11-G11</f>
        <v>124143.9780451445</v>
      </c>
      <c r="J11" s="8">
        <f t="shared" si="1"/>
        <v>612.61632946066572</v>
      </c>
      <c r="K11" s="8">
        <f t="shared" si="8"/>
        <v>139261.00848736259</v>
      </c>
      <c r="L11" s="8"/>
      <c r="M11" s="8">
        <f t="shared" si="2"/>
        <v>612.61632946066572</v>
      </c>
      <c r="N11" s="8">
        <f t="shared" si="8"/>
        <v>139261.00848736259</v>
      </c>
    </row>
    <row r="12" spans="1:14">
      <c r="A12">
        <v>6</v>
      </c>
      <c r="B12" s="6">
        <f t="shared" si="3"/>
        <v>45687.625</v>
      </c>
      <c r="C12" s="8">
        <f t="shared" si="4"/>
        <v>124143.9780451445</v>
      </c>
      <c r="D12" s="7">
        <f t="shared" si="5"/>
        <v>4319.0026934985826</v>
      </c>
      <c r="E12" s="9">
        <f t="shared" si="6"/>
        <v>5.7500000000000002E-2</v>
      </c>
      <c r="F12" s="8">
        <f t="shared" si="0"/>
        <v>594.85656146631743</v>
      </c>
      <c r="G12" s="8">
        <f>D12-F12</f>
        <v>3724.1461320322651</v>
      </c>
      <c r="H12" s="8">
        <f t="shared" si="7"/>
        <v>4319.0026934985826</v>
      </c>
      <c r="I12" s="8">
        <f>C12-G12</f>
        <v>120419.83191311223</v>
      </c>
      <c r="J12" s="8">
        <f t="shared" si="1"/>
        <v>594.85656146631743</v>
      </c>
      <c r="K12" s="8">
        <f t="shared" si="8"/>
        <v>138666.15192589627</v>
      </c>
      <c r="L12" s="8"/>
      <c r="M12" s="8">
        <f t="shared" si="2"/>
        <v>594.85656146631743</v>
      </c>
      <c r="N12" s="8">
        <f t="shared" si="8"/>
        <v>138666.15192589627</v>
      </c>
    </row>
    <row r="13" spans="1:14">
      <c r="A13">
        <v>7</v>
      </c>
      <c r="B13" s="6">
        <f t="shared" si="3"/>
        <v>45718.0625</v>
      </c>
      <c r="C13" s="8">
        <f t="shared" si="4"/>
        <v>120419.83191311223</v>
      </c>
      <c r="D13" s="7">
        <f t="shared" si="5"/>
        <v>4319.0026934985826</v>
      </c>
      <c r="E13" s="9">
        <f t="shared" si="6"/>
        <v>5.7500000000000002E-2</v>
      </c>
      <c r="F13" s="8">
        <f t="shared" si="0"/>
        <v>577.0116945836628</v>
      </c>
      <c r="G13" s="8">
        <f>D13-F13</f>
        <v>3741.9909989149201</v>
      </c>
      <c r="H13" s="8">
        <f t="shared" si="7"/>
        <v>4319.0026934985826</v>
      </c>
      <c r="I13" s="8">
        <f>C13-G13</f>
        <v>116677.84091419731</v>
      </c>
      <c r="J13" s="8">
        <f t="shared" si="1"/>
        <v>577.0116945836628</v>
      </c>
      <c r="K13" s="8">
        <f t="shared" si="8"/>
        <v>138089.1402313126</v>
      </c>
      <c r="L13" s="8"/>
      <c r="M13" s="8">
        <f t="shared" si="2"/>
        <v>577.0116945836628</v>
      </c>
      <c r="N13" s="8">
        <f t="shared" si="8"/>
        <v>138089.1402313126</v>
      </c>
    </row>
    <row r="14" spans="1:14">
      <c r="A14">
        <v>8</v>
      </c>
      <c r="B14" s="6">
        <f t="shared" si="3"/>
        <v>45748.5</v>
      </c>
      <c r="C14" s="8">
        <f t="shared" si="4"/>
        <v>116677.84091419731</v>
      </c>
      <c r="D14" s="7">
        <f t="shared" si="5"/>
        <v>4319.0026934985826</v>
      </c>
      <c r="E14" s="9">
        <f t="shared" si="6"/>
        <v>5.7500000000000002E-2</v>
      </c>
      <c r="F14" s="8">
        <f t="shared" si="0"/>
        <v>559.0813210471955</v>
      </c>
      <c r="G14" s="8">
        <f>D14-F14</f>
        <v>3759.921372451387</v>
      </c>
      <c r="H14" s="8">
        <f t="shared" si="7"/>
        <v>4319.0026934985826</v>
      </c>
      <c r="I14" s="8">
        <f>C14-G14</f>
        <v>112917.91954174593</v>
      </c>
      <c r="J14" s="8">
        <f t="shared" si="1"/>
        <v>559.0813210471955</v>
      </c>
      <c r="K14" s="8">
        <f t="shared" si="8"/>
        <v>137530.05891026542</v>
      </c>
      <c r="L14" s="8"/>
      <c r="M14" s="8">
        <f t="shared" si="2"/>
        <v>559.0813210471955</v>
      </c>
      <c r="N14" s="8">
        <f t="shared" si="8"/>
        <v>137530.05891026542</v>
      </c>
    </row>
    <row r="15" spans="1:14">
      <c r="A15">
        <v>9</v>
      </c>
      <c r="B15" s="6">
        <f t="shared" si="3"/>
        <v>45778.9375</v>
      </c>
      <c r="C15" s="8">
        <f t="shared" si="4"/>
        <v>112917.91954174593</v>
      </c>
      <c r="D15" s="7">
        <f t="shared" si="5"/>
        <v>4319.0026934985826</v>
      </c>
      <c r="E15" s="9">
        <f t="shared" si="6"/>
        <v>5.7500000000000002E-2</v>
      </c>
      <c r="F15" s="8">
        <f t="shared" si="0"/>
        <v>541.06503113753263</v>
      </c>
      <c r="G15" s="8">
        <f>D15-F15</f>
        <v>3777.9376623610501</v>
      </c>
      <c r="H15" s="8">
        <f t="shared" si="7"/>
        <v>4319.0026934985826</v>
      </c>
      <c r="I15" s="8">
        <f>C15-G15</f>
        <v>109139.98187938488</v>
      </c>
      <c r="J15" s="8">
        <f t="shared" si="1"/>
        <v>541.06503113753263</v>
      </c>
      <c r="K15" s="8">
        <f t="shared" si="8"/>
        <v>136988.9938791279</v>
      </c>
      <c r="L15" s="8"/>
      <c r="M15" s="8">
        <f t="shared" si="2"/>
        <v>541.06503113753263</v>
      </c>
      <c r="N15" s="8">
        <f t="shared" si="8"/>
        <v>136988.9938791279</v>
      </c>
    </row>
    <row r="16" spans="1:14">
      <c r="A16">
        <v>10</v>
      </c>
      <c r="B16" s="6">
        <f t="shared" si="3"/>
        <v>45809.375</v>
      </c>
      <c r="C16" s="8">
        <f t="shared" si="4"/>
        <v>109139.98187938488</v>
      </c>
      <c r="D16" s="7">
        <f t="shared" si="5"/>
        <v>4319.0026934985826</v>
      </c>
      <c r="E16" s="9">
        <f t="shared" si="6"/>
        <v>5.7500000000000002E-2</v>
      </c>
      <c r="F16" s="8">
        <f t="shared" si="0"/>
        <v>522.96241317205261</v>
      </c>
      <c r="G16" s="8">
        <f>D16-F16</f>
        <v>3796.0402803265301</v>
      </c>
      <c r="H16" s="8">
        <f t="shared" si="7"/>
        <v>4319.0026934985826</v>
      </c>
      <c r="I16" s="8">
        <f>C16-G16</f>
        <v>105343.94159905835</v>
      </c>
      <c r="J16" s="8">
        <f t="shared" si="1"/>
        <v>522.96241317205261</v>
      </c>
      <c r="K16" s="8">
        <f t="shared" si="8"/>
        <v>136466.03146595584</v>
      </c>
      <c r="L16" s="8"/>
      <c r="M16" s="8">
        <f t="shared" si="2"/>
        <v>522.96241317205261</v>
      </c>
      <c r="N16" s="8">
        <f t="shared" si="8"/>
        <v>136466.03146595584</v>
      </c>
    </row>
    <row r="17" spans="1:14">
      <c r="A17">
        <v>11</v>
      </c>
      <c r="B17" s="6">
        <f t="shared" si="3"/>
        <v>45839.8125</v>
      </c>
      <c r="C17" s="8">
        <f t="shared" si="4"/>
        <v>105343.94159905835</v>
      </c>
      <c r="D17" s="7">
        <f t="shared" si="5"/>
        <v>4319.0026934985826</v>
      </c>
      <c r="E17" s="9">
        <f t="shared" si="6"/>
        <v>5.7500000000000002E-2</v>
      </c>
      <c r="F17" s="8">
        <f t="shared" si="0"/>
        <v>504.773053495488</v>
      </c>
      <c r="G17" s="8">
        <f>D17-F17</f>
        <v>3814.2296400030946</v>
      </c>
      <c r="H17" s="8">
        <f t="shared" si="7"/>
        <v>4319.0026934985826</v>
      </c>
      <c r="I17" s="8">
        <f>C17-G17</f>
        <v>101529.71195905526</v>
      </c>
      <c r="J17" s="8">
        <f t="shared" si="1"/>
        <v>504.773053495488</v>
      </c>
      <c r="K17" s="8">
        <f t="shared" si="8"/>
        <v>135961.25841246036</v>
      </c>
      <c r="L17" s="8"/>
      <c r="M17" s="8">
        <f t="shared" si="2"/>
        <v>504.773053495488</v>
      </c>
      <c r="N17" s="8">
        <f t="shared" si="8"/>
        <v>135961.25841246036</v>
      </c>
    </row>
    <row r="18" spans="1:14">
      <c r="A18">
        <v>12</v>
      </c>
      <c r="B18" s="6">
        <f t="shared" si="3"/>
        <v>45870.25</v>
      </c>
      <c r="C18" s="8">
        <f t="shared" si="4"/>
        <v>101529.71195905526</v>
      </c>
      <c r="D18" s="7">
        <f t="shared" si="5"/>
        <v>4319.0026934985826</v>
      </c>
      <c r="E18" s="9">
        <f t="shared" si="6"/>
        <v>5.7500000000000002E-2</v>
      </c>
      <c r="F18" s="8">
        <f t="shared" si="0"/>
        <v>486.49653647047313</v>
      </c>
      <c r="G18" s="8">
        <f>D18-F18</f>
        <v>3832.5061570281096</v>
      </c>
      <c r="H18" s="8">
        <f t="shared" si="7"/>
        <v>4319.0026934985826</v>
      </c>
      <c r="I18" s="8">
        <f>C18-G18</f>
        <v>97697.205802027151</v>
      </c>
      <c r="J18" s="8">
        <f t="shared" si="1"/>
        <v>486.49653647047313</v>
      </c>
      <c r="K18" s="8">
        <f t="shared" si="8"/>
        <v>135474.76187598988</v>
      </c>
      <c r="L18" s="8"/>
      <c r="M18" s="8">
        <f t="shared" si="2"/>
        <v>486.49653647047313</v>
      </c>
      <c r="N18" s="8">
        <f t="shared" si="8"/>
        <v>135474.76187598988</v>
      </c>
    </row>
    <row r="19" spans="1:14">
      <c r="A19" s="5">
        <v>13</v>
      </c>
      <c r="B19" s="10">
        <f t="shared" si="3"/>
        <v>45900.6875</v>
      </c>
      <c r="C19" s="13">
        <f t="shared" si="4"/>
        <v>97697.205802027151</v>
      </c>
      <c r="D19" s="11">
        <f t="shared" si="5"/>
        <v>4319.0026934985826</v>
      </c>
      <c r="E19" s="12">
        <f t="shared" si="6"/>
        <v>5.7500000000000002E-2</v>
      </c>
      <c r="F19" s="13">
        <f t="shared" si="0"/>
        <v>468.1324444680468</v>
      </c>
      <c r="G19" s="13">
        <f t="shared" ref="G19:G42" si="9">D19-F19</f>
        <v>3850.8702490305359</v>
      </c>
      <c r="H19" s="13">
        <f t="shared" si="7"/>
        <v>4319.0026934985826</v>
      </c>
      <c r="I19" s="13">
        <f t="shared" ref="I19:I42" si="10">C19-G19</f>
        <v>93846.335552996621</v>
      </c>
      <c r="J19" s="13">
        <f t="shared" si="1"/>
        <v>468.1324444680468</v>
      </c>
      <c r="K19" s="13">
        <f t="shared" si="8"/>
        <v>135006.62943152184</v>
      </c>
      <c r="L19" s="13"/>
      <c r="M19" s="13">
        <f t="shared" ref="M19:M42" si="11">(SUM($G$7:$G$42)/24)+F19</f>
        <v>6405.6324444680458</v>
      </c>
      <c r="N19" s="13">
        <f t="shared" si="8"/>
        <v>129069.12943152183</v>
      </c>
    </row>
    <row r="20" spans="1:14">
      <c r="A20" s="5">
        <v>14</v>
      </c>
      <c r="B20" s="10">
        <f t="shared" si="3"/>
        <v>45931.125</v>
      </c>
      <c r="C20" s="13">
        <f t="shared" si="4"/>
        <v>93846.335552996621</v>
      </c>
      <c r="D20" s="11">
        <f t="shared" si="5"/>
        <v>4319.0026934985826</v>
      </c>
      <c r="E20" s="12">
        <f t="shared" si="6"/>
        <v>5.7500000000000002E-2</v>
      </c>
      <c r="F20" s="13">
        <f t="shared" si="0"/>
        <v>449.68035785810883</v>
      </c>
      <c r="G20" s="13">
        <f t="shared" si="9"/>
        <v>3869.3223356404737</v>
      </c>
      <c r="H20" s="13">
        <f t="shared" si="7"/>
        <v>4319.0026934985826</v>
      </c>
      <c r="I20" s="13">
        <f t="shared" si="10"/>
        <v>89977.013217356143</v>
      </c>
      <c r="J20" s="13">
        <f t="shared" si="1"/>
        <v>449.68035785810883</v>
      </c>
      <c r="K20" s="13">
        <f t="shared" si="8"/>
        <v>134556.94907366374</v>
      </c>
      <c r="L20" s="13"/>
      <c r="M20" s="13">
        <f t="shared" si="11"/>
        <v>6387.1803578581075</v>
      </c>
      <c r="N20" s="13">
        <f t="shared" si="8"/>
        <v>122681.94907366372</v>
      </c>
    </row>
    <row r="21" spans="1:14">
      <c r="A21" s="5">
        <v>15</v>
      </c>
      <c r="B21" s="10">
        <f t="shared" si="3"/>
        <v>45961.5625</v>
      </c>
      <c r="C21" s="13">
        <f t="shared" si="4"/>
        <v>89977.013217356143</v>
      </c>
      <c r="D21" s="11">
        <f t="shared" si="5"/>
        <v>4319.0026934985826</v>
      </c>
      <c r="E21" s="12">
        <f t="shared" si="6"/>
        <v>5.7500000000000002E-2</v>
      </c>
      <c r="F21" s="13">
        <f t="shared" si="0"/>
        <v>431.13985499983158</v>
      </c>
      <c r="G21" s="13">
        <f t="shared" si="9"/>
        <v>3887.862838498751</v>
      </c>
      <c r="H21" s="13">
        <f t="shared" si="7"/>
        <v>4319.0026934985826</v>
      </c>
      <c r="I21" s="13">
        <f t="shared" si="10"/>
        <v>86089.15037885739</v>
      </c>
      <c r="J21" s="13">
        <f t="shared" si="1"/>
        <v>431.13985499983158</v>
      </c>
      <c r="K21" s="13">
        <f t="shared" si="8"/>
        <v>134125.8092186639</v>
      </c>
      <c r="L21" s="13"/>
      <c r="M21" s="13">
        <f t="shared" si="11"/>
        <v>6368.6398549998303</v>
      </c>
      <c r="N21" s="13">
        <f t="shared" si="8"/>
        <v>116313.3092186639</v>
      </c>
    </row>
    <row r="22" spans="1:14">
      <c r="A22" s="5">
        <v>16</v>
      </c>
      <c r="B22" s="10">
        <f t="shared" si="3"/>
        <v>45992</v>
      </c>
      <c r="C22" s="13">
        <f t="shared" si="4"/>
        <v>86089.15037885739</v>
      </c>
      <c r="D22" s="11">
        <f t="shared" si="5"/>
        <v>4319.0026934985826</v>
      </c>
      <c r="E22" s="12">
        <f t="shared" si="6"/>
        <v>5.7500000000000002E-2</v>
      </c>
      <c r="F22" s="13">
        <f t="shared" si="0"/>
        <v>412.51051223202506</v>
      </c>
      <c r="G22" s="13">
        <f t="shared" si="9"/>
        <v>3906.4921812665575</v>
      </c>
      <c r="H22" s="13">
        <f t="shared" si="7"/>
        <v>4319.0026934985826</v>
      </c>
      <c r="I22" s="13">
        <f t="shared" si="10"/>
        <v>82182.658197590834</v>
      </c>
      <c r="J22" s="13">
        <f t="shared" si="1"/>
        <v>412.51051223202506</v>
      </c>
      <c r="K22" s="13">
        <f t="shared" si="8"/>
        <v>133713.29870643187</v>
      </c>
      <c r="L22" s="13"/>
      <c r="M22" s="13">
        <f t="shared" si="11"/>
        <v>6350.0105122320238</v>
      </c>
      <c r="N22" s="13">
        <f t="shared" si="8"/>
        <v>109963.29870643187</v>
      </c>
    </row>
    <row r="23" spans="1:14">
      <c r="A23" s="5">
        <v>17</v>
      </c>
      <c r="B23" s="10">
        <f t="shared" si="3"/>
        <v>46022.4375</v>
      </c>
      <c r="C23" s="13">
        <f t="shared" si="4"/>
        <v>82182.658197590834</v>
      </c>
      <c r="D23" s="11">
        <f t="shared" si="5"/>
        <v>4319.0026934985826</v>
      </c>
      <c r="E23" s="12">
        <f t="shared" si="6"/>
        <v>5.7500000000000002E-2</v>
      </c>
      <c r="F23" s="13">
        <f t="shared" si="0"/>
        <v>393.79190386345613</v>
      </c>
      <c r="G23" s="13">
        <f t="shared" si="9"/>
        <v>3925.2107896351263</v>
      </c>
      <c r="H23" s="13">
        <f t="shared" si="7"/>
        <v>4319.0026934985826</v>
      </c>
      <c r="I23" s="13">
        <f t="shared" si="10"/>
        <v>78257.447407955711</v>
      </c>
      <c r="J23" s="13">
        <f t="shared" si="1"/>
        <v>393.79190386345613</v>
      </c>
      <c r="K23" s="13">
        <f t="shared" si="8"/>
        <v>133319.50680256842</v>
      </c>
      <c r="L23" s="13"/>
      <c r="M23" s="13">
        <f t="shared" si="11"/>
        <v>6331.2919038634554</v>
      </c>
      <c r="N23" s="13">
        <f t="shared" si="8"/>
        <v>103632.00680256842</v>
      </c>
    </row>
    <row r="24" spans="1:14">
      <c r="A24" s="5">
        <v>18</v>
      </c>
      <c r="B24" s="10">
        <f t="shared" si="3"/>
        <v>46052.875</v>
      </c>
      <c r="C24" s="13">
        <f t="shared" si="4"/>
        <v>78257.447407955711</v>
      </c>
      <c r="D24" s="11">
        <f t="shared" si="5"/>
        <v>4319.0026934985826</v>
      </c>
      <c r="E24" s="12">
        <f t="shared" si="6"/>
        <v>5.7500000000000002E-2</v>
      </c>
      <c r="F24" s="13">
        <f t="shared" si="0"/>
        <v>374.98360216312113</v>
      </c>
      <c r="G24" s="13">
        <f t="shared" si="9"/>
        <v>3944.0190913354613</v>
      </c>
      <c r="H24" s="13">
        <f t="shared" si="7"/>
        <v>4319.0026934985826</v>
      </c>
      <c r="I24" s="13">
        <f t="shared" si="10"/>
        <v>74313.428316620251</v>
      </c>
      <c r="J24" s="13">
        <f t="shared" si="1"/>
        <v>374.98360216312113</v>
      </c>
      <c r="K24" s="13">
        <f t="shared" si="8"/>
        <v>132944.5232004053</v>
      </c>
      <c r="L24" s="13"/>
      <c r="M24" s="13">
        <f t="shared" si="11"/>
        <v>6312.4836021631199</v>
      </c>
      <c r="N24" s="13">
        <f t="shared" si="8"/>
        <v>97319.523200405296</v>
      </c>
    </row>
    <row r="25" spans="1:14">
      <c r="A25" s="5">
        <v>19</v>
      </c>
      <c r="B25" s="10">
        <f t="shared" si="3"/>
        <v>46083.3125</v>
      </c>
      <c r="C25" s="13">
        <f t="shared" si="4"/>
        <v>74313.428316620251</v>
      </c>
      <c r="D25" s="11">
        <f t="shared" si="5"/>
        <v>4319.0026934985826</v>
      </c>
      <c r="E25" s="12">
        <f t="shared" si="6"/>
        <v>5.7500000000000002E-2</v>
      </c>
      <c r="F25" s="13">
        <f t="shared" si="0"/>
        <v>356.08517735047207</v>
      </c>
      <c r="G25" s="13">
        <f t="shared" si="9"/>
        <v>3962.9175161481107</v>
      </c>
      <c r="H25" s="13">
        <f t="shared" si="7"/>
        <v>4319.0026934985826</v>
      </c>
      <c r="I25" s="13">
        <f t="shared" si="10"/>
        <v>70350.510800472141</v>
      </c>
      <c r="J25" s="13">
        <f t="shared" si="1"/>
        <v>356.08517735047207</v>
      </c>
      <c r="K25" s="13">
        <f t="shared" ref="K25:N40" si="12">K24-J25</f>
        <v>132588.43802305483</v>
      </c>
      <c r="L25" s="13"/>
      <c r="M25" s="13">
        <f t="shared" si="11"/>
        <v>6293.585177350471</v>
      </c>
      <c r="N25" s="13">
        <f t="shared" si="12"/>
        <v>91025.938023054827</v>
      </c>
    </row>
    <row r="26" spans="1:14">
      <c r="A26" s="5">
        <v>20</v>
      </c>
      <c r="B26" s="10">
        <f t="shared" si="3"/>
        <v>46113.75</v>
      </c>
      <c r="C26" s="13">
        <f t="shared" si="4"/>
        <v>70350.510800472141</v>
      </c>
      <c r="D26" s="11">
        <f t="shared" si="5"/>
        <v>4319.0026934985826</v>
      </c>
      <c r="E26" s="12">
        <f t="shared" si="6"/>
        <v>5.7500000000000002E-2</v>
      </c>
      <c r="F26" s="13">
        <f t="shared" si="0"/>
        <v>337.09619758559569</v>
      </c>
      <c r="G26" s="13">
        <f t="shared" si="9"/>
        <v>3981.9064959129869</v>
      </c>
      <c r="H26" s="13">
        <f t="shared" si="7"/>
        <v>4319.0026934985826</v>
      </c>
      <c r="I26" s="13">
        <f t="shared" si="10"/>
        <v>66368.60430455915</v>
      </c>
      <c r="J26" s="13">
        <f t="shared" si="1"/>
        <v>337.09619758559569</v>
      </c>
      <c r="K26" s="13">
        <f t="shared" si="12"/>
        <v>132251.34182546922</v>
      </c>
      <c r="L26" s="13"/>
      <c r="M26" s="13">
        <f t="shared" si="11"/>
        <v>6274.5961975855944</v>
      </c>
      <c r="N26" s="13">
        <f t="shared" si="12"/>
        <v>84751.341825469237</v>
      </c>
    </row>
    <row r="27" spans="1:14">
      <c r="A27" s="5">
        <v>21</v>
      </c>
      <c r="B27" s="10">
        <f t="shared" si="3"/>
        <v>46144.1875</v>
      </c>
      <c r="C27" s="13">
        <f t="shared" si="4"/>
        <v>66368.60430455915</v>
      </c>
      <c r="D27" s="11">
        <f t="shared" si="5"/>
        <v>4319.0026934985826</v>
      </c>
      <c r="E27" s="12">
        <f t="shared" si="6"/>
        <v>5.7500000000000002E-2</v>
      </c>
      <c r="F27" s="13">
        <f t="shared" si="0"/>
        <v>318.01622895934594</v>
      </c>
      <c r="G27" s="13">
        <f t="shared" si="9"/>
        <v>4000.9864645392367</v>
      </c>
      <c r="H27" s="13">
        <f t="shared" si="7"/>
        <v>4319.0026934985826</v>
      </c>
      <c r="I27" s="13">
        <f t="shared" si="10"/>
        <v>62367.617840019913</v>
      </c>
      <c r="J27" s="13">
        <f t="shared" si="1"/>
        <v>318.01622895934594</v>
      </c>
      <c r="K27" s="13">
        <f t="shared" si="12"/>
        <v>131933.32559650988</v>
      </c>
      <c r="L27" s="13"/>
      <c r="M27" s="13">
        <f t="shared" si="11"/>
        <v>6255.5162289593454</v>
      </c>
      <c r="N27" s="13">
        <f t="shared" si="12"/>
        <v>78495.825596509894</v>
      </c>
    </row>
    <row r="28" spans="1:14">
      <c r="A28" s="5">
        <v>22</v>
      </c>
      <c r="B28" s="10">
        <f t="shared" si="3"/>
        <v>46174.625</v>
      </c>
      <c r="C28" s="13">
        <f t="shared" si="4"/>
        <v>62367.617840019913</v>
      </c>
      <c r="D28" s="11">
        <f t="shared" si="5"/>
        <v>4319.0026934985826</v>
      </c>
      <c r="E28" s="12">
        <f t="shared" si="6"/>
        <v>5.7500000000000002E-2</v>
      </c>
      <c r="F28" s="13">
        <f t="shared" si="0"/>
        <v>298.84483548342877</v>
      </c>
      <c r="G28" s="13">
        <f t="shared" si="9"/>
        <v>4020.157858015154</v>
      </c>
      <c r="H28" s="13">
        <f t="shared" si="7"/>
        <v>4319.0026934985826</v>
      </c>
      <c r="I28" s="13">
        <f t="shared" si="10"/>
        <v>58347.459982004759</v>
      </c>
      <c r="J28" s="13">
        <f t="shared" si="1"/>
        <v>298.84483548342877</v>
      </c>
      <c r="K28" s="13">
        <f t="shared" si="12"/>
        <v>131634.48076102644</v>
      </c>
      <c r="L28" s="13"/>
      <c r="M28" s="13">
        <f t="shared" si="11"/>
        <v>6236.3448354834281</v>
      </c>
      <c r="N28" s="13">
        <f t="shared" si="12"/>
        <v>72259.480761026469</v>
      </c>
    </row>
    <row r="29" spans="1:14">
      <c r="A29" s="5">
        <v>23</v>
      </c>
      <c r="B29" s="10">
        <f t="shared" si="3"/>
        <v>46205.0625</v>
      </c>
      <c r="C29" s="13">
        <f t="shared" si="4"/>
        <v>58347.459982004759</v>
      </c>
      <c r="D29" s="11">
        <f t="shared" si="5"/>
        <v>4319.0026934985826</v>
      </c>
      <c r="E29" s="12">
        <f t="shared" si="6"/>
        <v>5.7500000000000002E-2</v>
      </c>
      <c r="F29" s="13">
        <f t="shared" si="0"/>
        <v>279.5815790804395</v>
      </c>
      <c r="G29" s="13">
        <f t="shared" si="9"/>
        <v>4039.4211144181431</v>
      </c>
      <c r="H29" s="13">
        <f t="shared" si="7"/>
        <v>4319.0026934985826</v>
      </c>
      <c r="I29" s="13">
        <f t="shared" si="10"/>
        <v>54308.038867586612</v>
      </c>
      <c r="J29" s="13">
        <f t="shared" si="1"/>
        <v>279.5815790804395</v>
      </c>
      <c r="K29" s="13">
        <f t="shared" si="12"/>
        <v>131354.89918194601</v>
      </c>
      <c r="L29" s="13"/>
      <c r="M29" s="13">
        <f t="shared" si="11"/>
        <v>6217.081579080439</v>
      </c>
      <c r="N29" s="13">
        <f t="shared" si="12"/>
        <v>66042.399181946035</v>
      </c>
    </row>
    <row r="30" spans="1:14">
      <c r="A30" s="5">
        <v>24</v>
      </c>
      <c r="B30" s="10">
        <f t="shared" si="3"/>
        <v>46235.5</v>
      </c>
      <c r="C30" s="13">
        <f t="shared" si="4"/>
        <v>54308.038867586612</v>
      </c>
      <c r="D30" s="11">
        <f t="shared" si="5"/>
        <v>4319.0026934985826</v>
      </c>
      <c r="E30" s="12">
        <f t="shared" si="6"/>
        <v>5.7500000000000002E-2</v>
      </c>
      <c r="F30" s="13">
        <f t="shared" si="0"/>
        <v>260.22601957385251</v>
      </c>
      <c r="G30" s="13">
        <f t="shared" si="9"/>
        <v>4058.7766739247299</v>
      </c>
      <c r="H30" s="13">
        <f t="shared" si="7"/>
        <v>4319.0026934985826</v>
      </c>
      <c r="I30" s="13">
        <f t="shared" si="10"/>
        <v>50249.262193661882</v>
      </c>
      <c r="J30" s="13">
        <f t="shared" si="1"/>
        <v>260.22601957385251</v>
      </c>
      <c r="K30" s="13">
        <f t="shared" si="12"/>
        <v>131094.67316237214</v>
      </c>
      <c r="L30" s="13"/>
      <c r="M30" s="13">
        <f t="shared" si="11"/>
        <v>6197.7260195738518</v>
      </c>
      <c r="N30" s="13">
        <f t="shared" si="12"/>
        <v>59844.673162372186</v>
      </c>
    </row>
    <row r="31" spans="1:14">
      <c r="A31">
        <v>25</v>
      </c>
      <c r="B31" s="6">
        <f t="shared" si="3"/>
        <v>46265.9375</v>
      </c>
      <c r="C31" s="8">
        <f t="shared" si="4"/>
        <v>50249.262193661882</v>
      </c>
      <c r="D31" s="7">
        <f t="shared" si="5"/>
        <v>4319.0026934985826</v>
      </c>
      <c r="E31" s="9">
        <f t="shared" si="6"/>
        <v>5.7500000000000002E-2</v>
      </c>
      <c r="F31" s="8">
        <f t="shared" si="0"/>
        <v>240.77771467796319</v>
      </c>
      <c r="G31" s="8">
        <f t="shared" si="9"/>
        <v>4078.2249788206195</v>
      </c>
      <c r="H31" s="8">
        <f t="shared" si="7"/>
        <v>4319.0026934985826</v>
      </c>
      <c r="I31" s="8">
        <f t="shared" si="10"/>
        <v>46171.037214841264</v>
      </c>
      <c r="J31" s="8">
        <f>(SUM($G$7:$G$42)/12)+F31</f>
        <v>12115.777714677961</v>
      </c>
      <c r="K31" s="8">
        <f t="shared" si="12"/>
        <v>118978.89544769419</v>
      </c>
      <c r="L31" s="8"/>
      <c r="M31" s="8">
        <f t="shared" si="11"/>
        <v>6178.2777146779626</v>
      </c>
      <c r="N31" s="8">
        <f t="shared" si="12"/>
        <v>53666.395447694224</v>
      </c>
    </row>
    <row r="32" spans="1:14">
      <c r="A32">
        <v>26</v>
      </c>
      <c r="B32" s="6">
        <f t="shared" si="3"/>
        <v>46296.375</v>
      </c>
      <c r="C32" s="8">
        <f t="shared" si="4"/>
        <v>46171.037214841264</v>
      </c>
      <c r="D32" s="7">
        <f t="shared" si="5"/>
        <v>4319.0026934985826</v>
      </c>
      <c r="E32" s="9">
        <f t="shared" si="6"/>
        <v>5.7500000000000002E-2</v>
      </c>
      <c r="F32" s="8">
        <f t="shared" si="0"/>
        <v>221.23621998778106</v>
      </c>
      <c r="G32" s="8">
        <f t="shared" si="9"/>
        <v>4097.7664735108019</v>
      </c>
      <c r="H32" s="8">
        <f t="shared" si="7"/>
        <v>4319.0026934985826</v>
      </c>
      <c r="I32" s="8">
        <f t="shared" si="10"/>
        <v>42073.27074133046</v>
      </c>
      <c r="J32" s="8">
        <f t="shared" ref="J32:J42" si="13">(SUM($G$7:$G$42)/12)+F32</f>
        <v>12096.236219987779</v>
      </c>
      <c r="K32" s="8">
        <f t="shared" si="12"/>
        <v>106882.6592277064</v>
      </c>
      <c r="L32" s="8"/>
      <c r="M32" s="8">
        <f t="shared" si="11"/>
        <v>6158.7362199877798</v>
      </c>
      <c r="N32" s="8">
        <f t="shared" si="12"/>
        <v>47507.659227706441</v>
      </c>
    </row>
    <row r="33" spans="1:14">
      <c r="A33">
        <v>27</v>
      </c>
      <c r="B33" s="6">
        <f t="shared" si="3"/>
        <v>46326.8125</v>
      </c>
      <c r="C33" s="8">
        <f t="shared" si="4"/>
        <v>42073.27074133046</v>
      </c>
      <c r="D33" s="7">
        <f t="shared" si="5"/>
        <v>4319.0026934985826</v>
      </c>
      <c r="E33" s="9">
        <f t="shared" si="6"/>
        <v>5.7500000000000002E-2</v>
      </c>
      <c r="F33" s="8">
        <f t="shared" si="0"/>
        <v>201.60108896887513</v>
      </c>
      <c r="G33" s="8">
        <f t="shared" si="9"/>
        <v>4117.4016045297076</v>
      </c>
      <c r="H33" s="8">
        <f t="shared" si="7"/>
        <v>4319.0026934985826</v>
      </c>
      <c r="I33" s="8">
        <f t="shared" si="10"/>
        <v>37955.869136800749</v>
      </c>
      <c r="J33" s="8">
        <f t="shared" si="13"/>
        <v>12076.601088968873</v>
      </c>
      <c r="K33" s="8">
        <f t="shared" si="12"/>
        <v>94806.058138737528</v>
      </c>
      <c r="L33" s="8"/>
      <c r="M33" s="8">
        <f t="shared" si="11"/>
        <v>6139.1010889688741</v>
      </c>
      <c r="N33" s="8">
        <f t="shared" si="12"/>
        <v>41368.558138737564</v>
      </c>
    </row>
    <row r="34" spans="1:14">
      <c r="A34">
        <v>28</v>
      </c>
      <c r="B34" s="6">
        <f t="shared" si="3"/>
        <v>46357.25</v>
      </c>
      <c r="C34" s="8">
        <f t="shared" si="4"/>
        <v>37955.869136800749</v>
      </c>
      <c r="D34" s="7">
        <f t="shared" si="5"/>
        <v>4319.0026934985826</v>
      </c>
      <c r="E34" s="9">
        <f t="shared" si="6"/>
        <v>5.7500000000000002E-2</v>
      </c>
      <c r="F34" s="8">
        <f t="shared" si="0"/>
        <v>181.87187294717026</v>
      </c>
      <c r="G34" s="8">
        <f t="shared" si="9"/>
        <v>4137.1308205514124</v>
      </c>
      <c r="H34" s="8">
        <f t="shared" si="7"/>
        <v>4319.0026934985826</v>
      </c>
      <c r="I34" s="8">
        <f t="shared" si="10"/>
        <v>33818.738316249335</v>
      </c>
      <c r="J34" s="8">
        <f t="shared" si="13"/>
        <v>12056.871872947169</v>
      </c>
      <c r="K34" s="8">
        <f t="shared" si="12"/>
        <v>82749.186265790355</v>
      </c>
      <c r="L34" s="8"/>
      <c r="M34" s="8">
        <f t="shared" si="11"/>
        <v>6119.3718729471693</v>
      </c>
      <c r="N34" s="8">
        <f t="shared" si="12"/>
        <v>35249.186265790398</v>
      </c>
    </row>
    <row r="35" spans="1:14">
      <c r="A35">
        <v>29</v>
      </c>
      <c r="B35" s="6">
        <f t="shared" si="3"/>
        <v>46387.6875</v>
      </c>
      <c r="C35" s="8">
        <f t="shared" si="4"/>
        <v>33818.738316249335</v>
      </c>
      <c r="D35" s="7">
        <f t="shared" si="5"/>
        <v>4319.0026934985826</v>
      </c>
      <c r="E35" s="9">
        <f t="shared" si="6"/>
        <v>5.7500000000000002E-2</v>
      </c>
      <c r="F35" s="8">
        <f t="shared" si="0"/>
        <v>162.04812109869474</v>
      </c>
      <c r="G35" s="8">
        <f t="shared" si="9"/>
        <v>4156.9545723998881</v>
      </c>
      <c r="H35" s="8">
        <f t="shared" si="7"/>
        <v>4319.0026934985826</v>
      </c>
      <c r="I35" s="8">
        <f t="shared" si="10"/>
        <v>29661.783743849446</v>
      </c>
      <c r="J35" s="8">
        <f t="shared" si="13"/>
        <v>12037.048121098693</v>
      </c>
      <c r="K35" s="8">
        <f t="shared" si="12"/>
        <v>70712.138144691664</v>
      </c>
      <c r="L35" s="8"/>
      <c r="M35" s="8">
        <f t="shared" si="11"/>
        <v>6099.5481210986936</v>
      </c>
      <c r="N35" s="8">
        <f t="shared" si="12"/>
        <v>29149.638144691704</v>
      </c>
    </row>
    <row r="36" spans="1:14">
      <c r="A36">
        <v>30</v>
      </c>
      <c r="B36" s="6">
        <f t="shared" si="3"/>
        <v>46418.125</v>
      </c>
      <c r="C36" s="8">
        <f t="shared" si="4"/>
        <v>29661.783743849446</v>
      </c>
      <c r="D36" s="7">
        <f t="shared" si="5"/>
        <v>4319.0026934985826</v>
      </c>
      <c r="E36" s="9">
        <f t="shared" si="6"/>
        <v>5.7500000000000002E-2</v>
      </c>
      <c r="F36" s="8">
        <f t="shared" si="0"/>
        <v>142.12938043927861</v>
      </c>
      <c r="G36" s="8">
        <f t="shared" si="9"/>
        <v>4176.8733130593037</v>
      </c>
      <c r="H36" s="8">
        <f t="shared" si="7"/>
        <v>4319.0026934985826</v>
      </c>
      <c r="I36" s="8">
        <f t="shared" si="10"/>
        <v>25484.910430790143</v>
      </c>
      <c r="J36" s="8">
        <f t="shared" si="13"/>
        <v>12017.129380439277</v>
      </c>
      <c r="K36" s="8">
        <f t="shared" si="12"/>
        <v>58695.008764252387</v>
      </c>
      <c r="L36" s="8"/>
      <c r="M36" s="8">
        <f t="shared" si="11"/>
        <v>6079.6293804392781</v>
      </c>
      <c r="N36" s="8">
        <f t="shared" si="12"/>
        <v>23070.008764252427</v>
      </c>
    </row>
    <row r="37" spans="1:14">
      <c r="A37">
        <v>31</v>
      </c>
      <c r="B37" s="6">
        <f t="shared" si="3"/>
        <v>46448.5625</v>
      </c>
      <c r="C37" s="8">
        <f t="shared" si="4"/>
        <v>25484.910430790143</v>
      </c>
      <c r="D37" s="7">
        <f t="shared" si="5"/>
        <v>4319.0026934985826</v>
      </c>
      <c r="E37" s="9">
        <f t="shared" si="6"/>
        <v>5.7500000000000002E-2</v>
      </c>
      <c r="F37" s="8">
        <f t="shared" si="0"/>
        <v>122.11519581420278</v>
      </c>
      <c r="G37" s="8">
        <f t="shared" si="9"/>
        <v>4196.8874976843799</v>
      </c>
      <c r="H37" s="8">
        <f t="shared" si="7"/>
        <v>4319.0026934985826</v>
      </c>
      <c r="I37" s="8">
        <f t="shared" si="10"/>
        <v>21288.022933105764</v>
      </c>
      <c r="J37" s="8">
        <f t="shared" si="13"/>
        <v>11997.115195814202</v>
      </c>
      <c r="K37" s="8">
        <f t="shared" si="12"/>
        <v>46697.893568438187</v>
      </c>
      <c r="L37" s="8"/>
      <c r="M37" s="8">
        <f t="shared" si="11"/>
        <v>6059.6151958142018</v>
      </c>
      <c r="N37" s="8">
        <f t="shared" si="12"/>
        <v>17010.393568438223</v>
      </c>
    </row>
    <row r="38" spans="1:14">
      <c r="A38">
        <v>32</v>
      </c>
      <c r="B38" s="6">
        <f t="shared" si="3"/>
        <v>46479</v>
      </c>
      <c r="C38" s="8">
        <f t="shared" si="4"/>
        <v>21288.022933105764</v>
      </c>
      <c r="D38" s="7">
        <f t="shared" si="5"/>
        <v>4319.0026934985826</v>
      </c>
      <c r="E38" s="9">
        <f t="shared" si="6"/>
        <v>5.7500000000000002E-2</v>
      </c>
      <c r="F38" s="8">
        <f t="shared" si="0"/>
        <v>102.00510988779847</v>
      </c>
      <c r="G38" s="8">
        <f t="shared" si="9"/>
        <v>4216.9975836107842</v>
      </c>
      <c r="H38" s="8">
        <f t="shared" si="7"/>
        <v>4319.0026934985826</v>
      </c>
      <c r="I38" s="8">
        <f t="shared" si="10"/>
        <v>17071.025349494979</v>
      </c>
      <c r="J38" s="8">
        <f t="shared" si="13"/>
        <v>11977.005109887798</v>
      </c>
      <c r="K38" s="8">
        <f t="shared" si="12"/>
        <v>34720.888458550391</v>
      </c>
      <c r="L38" s="8"/>
      <c r="M38" s="8">
        <f t="shared" si="11"/>
        <v>6039.5051098877975</v>
      </c>
      <c r="N38" s="8">
        <f t="shared" si="12"/>
        <v>10970.888458550426</v>
      </c>
    </row>
    <row r="39" spans="1:14">
      <c r="A39">
        <v>33</v>
      </c>
      <c r="B39" s="6">
        <f t="shared" si="3"/>
        <v>46509.4375</v>
      </c>
      <c r="C39" s="8">
        <f t="shared" si="4"/>
        <v>17071.025349494979</v>
      </c>
      <c r="D39" s="7">
        <f t="shared" si="5"/>
        <v>4319.0026934985826</v>
      </c>
      <c r="E39" s="9">
        <f t="shared" si="6"/>
        <v>5.7500000000000002E-2</v>
      </c>
      <c r="F39" s="8">
        <f t="shared" si="0"/>
        <v>81.798663132996779</v>
      </c>
      <c r="G39" s="8">
        <f t="shared" si="9"/>
        <v>4237.2040303655858</v>
      </c>
      <c r="H39" s="8">
        <f t="shared" si="7"/>
        <v>4319.0026934985826</v>
      </c>
      <c r="I39" s="8">
        <f t="shared" si="10"/>
        <v>12833.821319129394</v>
      </c>
      <c r="J39" s="8">
        <f t="shared" si="13"/>
        <v>11956.798663132995</v>
      </c>
      <c r="K39" s="8">
        <f t="shared" si="12"/>
        <v>22764.089795417396</v>
      </c>
      <c r="L39" s="8"/>
      <c r="M39" s="8">
        <f t="shared" si="11"/>
        <v>6019.2986631329959</v>
      </c>
      <c r="N39" s="8">
        <f t="shared" si="12"/>
        <v>4951.5897954174297</v>
      </c>
    </row>
    <row r="40" spans="1:14">
      <c r="A40">
        <v>34</v>
      </c>
      <c r="B40" s="6">
        <f t="shared" si="3"/>
        <v>46539.875</v>
      </c>
      <c r="C40" s="8">
        <f t="shared" si="4"/>
        <v>12833.821319129394</v>
      </c>
      <c r="D40" s="7">
        <f t="shared" si="5"/>
        <v>4319.0026934985826</v>
      </c>
      <c r="E40" s="9">
        <f t="shared" si="6"/>
        <v>5.7500000000000002E-2</v>
      </c>
      <c r="F40" s="8">
        <f t="shared" si="0"/>
        <v>61.495393820828355</v>
      </c>
      <c r="G40" s="8">
        <f t="shared" si="9"/>
        <v>4257.5072996777544</v>
      </c>
      <c r="H40" s="8">
        <f t="shared" si="7"/>
        <v>4319.0026934985826</v>
      </c>
      <c r="I40" s="8">
        <f t="shared" si="10"/>
        <v>8576.31401945164</v>
      </c>
      <c r="J40" s="8">
        <f t="shared" si="13"/>
        <v>11936.495393820827</v>
      </c>
      <c r="K40" s="8">
        <f t="shared" si="12"/>
        <v>10827.594401596569</v>
      </c>
      <c r="L40" s="8"/>
      <c r="M40" s="8">
        <f t="shared" si="11"/>
        <v>5998.9953938208273</v>
      </c>
      <c r="N40" s="8">
        <f t="shared" si="12"/>
        <v>-1047.4055984033976</v>
      </c>
    </row>
    <row r="41" spans="1:14">
      <c r="A41">
        <v>35</v>
      </c>
      <c r="B41" s="6">
        <f t="shared" si="3"/>
        <v>46570.3125</v>
      </c>
      <c r="C41" s="8">
        <f t="shared" si="4"/>
        <v>8576.31401945164</v>
      </c>
      <c r="D41" s="7">
        <f t="shared" si="5"/>
        <v>4319.0026934985826</v>
      </c>
      <c r="E41" s="9">
        <f t="shared" si="6"/>
        <v>5.7500000000000002E-2</v>
      </c>
      <c r="F41" s="8">
        <f t="shared" si="0"/>
        <v>41.09483800987244</v>
      </c>
      <c r="G41" s="8">
        <f t="shared" si="9"/>
        <v>4277.9078554887101</v>
      </c>
      <c r="H41" s="8">
        <f t="shared" si="7"/>
        <v>4319.0026934985826</v>
      </c>
      <c r="I41" s="8">
        <f t="shared" si="10"/>
        <v>4298.4061639629299</v>
      </c>
      <c r="J41" s="8">
        <f t="shared" si="13"/>
        <v>11916.094838009871</v>
      </c>
      <c r="K41" s="8">
        <f>K40-J41</f>
        <v>-1088.5004364133019</v>
      </c>
      <c r="L41" s="8"/>
      <c r="M41" s="8">
        <f t="shared" si="11"/>
        <v>5978.5948380098716</v>
      </c>
      <c r="N41" s="8">
        <f>N40-M41</f>
        <v>-7026.0004364132692</v>
      </c>
    </row>
    <row r="42" spans="1:14">
      <c r="A42">
        <v>36</v>
      </c>
      <c r="B42" s="6">
        <f t="shared" si="3"/>
        <v>46600.75</v>
      </c>
      <c r="C42" s="8">
        <f t="shared" si="4"/>
        <v>4298.4061639629299</v>
      </c>
      <c r="D42" s="7">
        <f t="shared" si="5"/>
        <v>4319.0026934985826</v>
      </c>
      <c r="E42" s="9">
        <f t="shared" si="6"/>
        <v>5.7500000000000002E-2</v>
      </c>
      <c r="F42" s="8">
        <f t="shared" si="0"/>
        <v>20.596529535655709</v>
      </c>
      <c r="G42" s="8">
        <f t="shared" si="9"/>
        <v>4298.4061639629272</v>
      </c>
      <c r="H42" s="8">
        <f t="shared" si="7"/>
        <v>4319.0026934985826</v>
      </c>
      <c r="I42" s="8">
        <f t="shared" si="10"/>
        <v>0</v>
      </c>
      <c r="J42" s="8">
        <f t="shared" si="13"/>
        <v>11895.596529535655</v>
      </c>
      <c r="K42" s="8">
        <f t="shared" ref="K42:N42" si="14">K41-J42</f>
        <v>-12984.096965948956</v>
      </c>
      <c r="L42" s="8"/>
      <c r="M42" s="8">
        <f t="shared" si="11"/>
        <v>5958.0965295356546</v>
      </c>
      <c r="N42" s="8">
        <f t="shared" si="14"/>
        <v>-12984.096965948924</v>
      </c>
    </row>
    <row r="44" spans="1:14">
      <c r="H44" s="8">
        <f>SUM(H7:H42)</f>
        <v>155484.09696594899</v>
      </c>
      <c r="I44" s="8"/>
      <c r="J44" s="8">
        <f>SUM(J7:J42)</f>
        <v>155484.09696594899</v>
      </c>
      <c r="K44" s="8">
        <f>K42+G2</f>
        <v>3.637978807091713E-11</v>
      </c>
      <c r="L44" s="8"/>
      <c r="M44" s="8">
        <f>SUM(M7:M42)</f>
        <v>155484.09696594896</v>
      </c>
      <c r="N44" s="8">
        <f>N42+G2</f>
        <v>6.9121597334742546E-11</v>
      </c>
    </row>
  </sheetData>
  <conditionalFormatting sqref="H44:N44">
    <cfRule type="cellIs" dxfId="3" priority="1" operator="equal">
      <formula>$G$1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1223A-737B-44D7-B02B-33A392F08B18}">
  <dimension ref="A1:N44"/>
  <sheetViews>
    <sheetView workbookViewId="0">
      <selection sqref="A1:G4"/>
    </sheetView>
  </sheetViews>
  <sheetFormatPr defaultRowHeight="15"/>
  <cols>
    <col min="1" max="1" width="13" customWidth="1"/>
    <col min="2" max="2" width="12.85546875" bestFit="1" customWidth="1"/>
    <col min="3" max="3" width="20" customWidth="1"/>
    <col min="4" max="5" width="11.5703125" customWidth="1"/>
    <col min="6" max="6" width="11.28515625" customWidth="1"/>
    <col min="7" max="9" width="16.7109375" customWidth="1"/>
    <col min="10" max="11" width="17.7109375" customWidth="1"/>
    <col min="12" max="12" width="4.42578125" customWidth="1"/>
    <col min="13" max="13" width="18.28515625" customWidth="1"/>
    <col min="14" max="14" width="16.140625" customWidth="1"/>
  </cols>
  <sheetData>
    <row r="1" spans="1:14">
      <c r="A1" s="5" t="s">
        <v>23</v>
      </c>
      <c r="B1" s="4">
        <f>(190000)*100%</f>
        <v>190000</v>
      </c>
      <c r="C1" s="5" t="s">
        <v>24</v>
      </c>
      <c r="D1">
        <f>B2</f>
        <v>36</v>
      </c>
      <c r="F1" s="15" t="s">
        <v>36</v>
      </c>
      <c r="G1" s="8">
        <f>SUM(H7:H42)</f>
        <v>207312.12928793192</v>
      </c>
    </row>
    <row r="2" spans="1:14">
      <c r="A2" s="5" t="s">
        <v>25</v>
      </c>
      <c r="B2">
        <v>36</v>
      </c>
      <c r="C2" s="5" t="s">
        <v>26</v>
      </c>
      <c r="D2" s="3">
        <f>B3/12</f>
        <v>4.7916666666666672E-3</v>
      </c>
      <c r="E2" s="3"/>
      <c r="F2" s="15" t="s">
        <v>37</v>
      </c>
      <c r="G2" s="8">
        <f>G1-B1</f>
        <v>17312.129287931923</v>
      </c>
    </row>
    <row r="3" spans="1:14">
      <c r="A3" s="5" t="s">
        <v>27</v>
      </c>
      <c r="B3" s="1">
        <f>4.75%+1%</f>
        <v>5.7500000000000002E-2</v>
      </c>
      <c r="C3" s="5" t="s">
        <v>28</v>
      </c>
      <c r="D3" s="2">
        <f>PMT(B3/12,D1,-B1,0,0)</f>
        <v>5758.6702579981111</v>
      </c>
      <c r="E3" s="2"/>
      <c r="F3" s="2"/>
    </row>
    <row r="4" spans="1:14">
      <c r="A4" s="5" t="s">
        <v>29</v>
      </c>
      <c r="B4" s="6">
        <f>DATE(2024,8,1)</f>
        <v>45505</v>
      </c>
      <c r="C4" s="5" t="s">
        <v>49</v>
      </c>
      <c r="D4" s="2">
        <f>D3*12</f>
        <v>69104.043095977337</v>
      </c>
      <c r="E4" s="2"/>
      <c r="G4" s="4" t="s">
        <v>53</v>
      </c>
      <c r="J4" s="5" t="s">
        <v>50</v>
      </c>
      <c r="M4" s="5" t="s">
        <v>51</v>
      </c>
    </row>
    <row r="6" spans="1:14">
      <c r="A6" s="14" t="s">
        <v>30</v>
      </c>
      <c r="B6" s="14" t="s">
        <v>31</v>
      </c>
      <c r="C6" s="14" t="s">
        <v>32</v>
      </c>
      <c r="D6" s="14" t="s">
        <v>28</v>
      </c>
      <c r="E6" s="14" t="s">
        <v>33</v>
      </c>
      <c r="F6" s="14" t="s">
        <v>33</v>
      </c>
      <c r="G6" s="14" t="s">
        <v>23</v>
      </c>
      <c r="H6" s="14" t="s">
        <v>34</v>
      </c>
      <c r="I6" s="14" t="s">
        <v>35</v>
      </c>
      <c r="J6" s="14" t="s">
        <v>52</v>
      </c>
      <c r="K6" s="14" t="s">
        <v>35</v>
      </c>
      <c r="L6" s="14"/>
      <c r="M6" s="14" t="s">
        <v>52</v>
      </c>
      <c r="N6" s="14" t="s">
        <v>35</v>
      </c>
    </row>
    <row r="7" spans="1:14">
      <c r="A7">
        <v>1</v>
      </c>
      <c r="B7" s="6">
        <f>B4+(365.25/12)</f>
        <v>45535.4375</v>
      </c>
      <c r="C7" s="8">
        <f>B1</f>
        <v>190000</v>
      </c>
      <c r="D7" s="7">
        <f>$D$3</f>
        <v>5758.6702579981111</v>
      </c>
      <c r="E7" s="9">
        <f>$B$3</f>
        <v>5.7500000000000002E-2</v>
      </c>
      <c r="F7" s="8">
        <f>C7*E7/12</f>
        <v>910.41666666666663</v>
      </c>
      <c r="G7" s="8">
        <f>D7-F7</f>
        <v>4848.2535913314441</v>
      </c>
      <c r="H7" s="8">
        <f>F7+G7</f>
        <v>5758.6702579981111</v>
      </c>
      <c r="I7" s="8">
        <f>C7-G7</f>
        <v>185151.74640866855</v>
      </c>
      <c r="J7" s="8">
        <f>F7</f>
        <v>910.41666666666663</v>
      </c>
      <c r="K7" s="8">
        <f>C7-F7</f>
        <v>189089.58333333334</v>
      </c>
      <c r="L7" s="8"/>
      <c r="M7" s="8">
        <f>F7</f>
        <v>910.41666666666663</v>
      </c>
      <c r="N7" s="8">
        <f>C7-F7</f>
        <v>189089.58333333334</v>
      </c>
    </row>
    <row r="8" spans="1:14">
      <c r="A8">
        <v>2</v>
      </c>
      <c r="B8" s="6">
        <f>B7+(365.25/12)</f>
        <v>45565.875</v>
      </c>
      <c r="C8" s="8">
        <f>I7</f>
        <v>185151.74640866855</v>
      </c>
      <c r="D8" s="7">
        <f>$D$3</f>
        <v>5758.6702579981111</v>
      </c>
      <c r="E8" s="9">
        <f>E7</f>
        <v>5.7500000000000002E-2</v>
      </c>
      <c r="F8" s="8">
        <f t="shared" ref="F8:F42" si="0">C8*E8/12</f>
        <v>887.18545154153674</v>
      </c>
      <c r="G8" s="8">
        <f>D8-F8</f>
        <v>4871.484806456574</v>
      </c>
      <c r="H8" s="8">
        <f>F8+G8</f>
        <v>5758.6702579981111</v>
      </c>
      <c r="I8" s="8">
        <f>C8-G8</f>
        <v>180280.26160221198</v>
      </c>
      <c r="J8" s="8">
        <f t="shared" ref="J8:J30" si="1">F8</f>
        <v>887.18545154153674</v>
      </c>
      <c r="K8" s="8">
        <f>K7-J8</f>
        <v>188202.39788179181</v>
      </c>
      <c r="L8" s="8"/>
      <c r="M8" s="8">
        <f t="shared" ref="M8:M18" si="2">F8</f>
        <v>887.18545154153674</v>
      </c>
      <c r="N8" s="8">
        <f>N7-M8</f>
        <v>188202.39788179181</v>
      </c>
    </row>
    <row r="9" spans="1:14">
      <c r="A9">
        <v>3</v>
      </c>
      <c r="B9" s="6">
        <f t="shared" ref="B9:B42" si="3">B8+(365.25/12)</f>
        <v>45596.3125</v>
      </c>
      <c r="C9" s="8">
        <f t="shared" ref="C9:C42" si="4">I8</f>
        <v>180280.26160221198</v>
      </c>
      <c r="D9" s="7">
        <f t="shared" ref="D9:D42" si="5">$D$3</f>
        <v>5758.6702579981111</v>
      </c>
      <c r="E9" s="9">
        <f t="shared" ref="E9:E42" si="6">E8</f>
        <v>5.7500000000000002E-2</v>
      </c>
      <c r="F9" s="8">
        <f t="shared" si="0"/>
        <v>863.84292017726568</v>
      </c>
      <c r="G9" s="8">
        <f>D9-F9</f>
        <v>4894.8273378208451</v>
      </c>
      <c r="H9" s="8">
        <f t="shared" ref="H9:H42" si="7">F9+G9</f>
        <v>5758.6702579981111</v>
      </c>
      <c r="I9" s="8">
        <f>C9-G9</f>
        <v>175385.43426439114</v>
      </c>
      <c r="J9" s="8">
        <f t="shared" si="1"/>
        <v>863.84292017726568</v>
      </c>
      <c r="K9" s="8">
        <f t="shared" ref="K9:N24" si="8">K8-J9</f>
        <v>187338.55496161454</v>
      </c>
      <c r="L9" s="8"/>
      <c r="M9" s="8">
        <f t="shared" si="2"/>
        <v>863.84292017726568</v>
      </c>
      <c r="N9" s="8">
        <f t="shared" si="8"/>
        <v>187338.55496161454</v>
      </c>
    </row>
    <row r="10" spans="1:14">
      <c r="A10">
        <v>4</v>
      </c>
      <c r="B10" s="6">
        <f t="shared" si="3"/>
        <v>45626.75</v>
      </c>
      <c r="C10" s="8">
        <f t="shared" si="4"/>
        <v>175385.43426439114</v>
      </c>
      <c r="D10" s="7">
        <f t="shared" si="5"/>
        <v>5758.6702579981111</v>
      </c>
      <c r="E10" s="9">
        <f t="shared" si="6"/>
        <v>5.7500000000000002E-2</v>
      </c>
      <c r="F10" s="8">
        <f t="shared" si="0"/>
        <v>840.38853918354096</v>
      </c>
      <c r="G10" s="8">
        <f>D10-F10</f>
        <v>4918.28171881457</v>
      </c>
      <c r="H10" s="8">
        <f t="shared" si="7"/>
        <v>5758.6702579981111</v>
      </c>
      <c r="I10" s="8">
        <f>C10-G10</f>
        <v>170467.15254557657</v>
      </c>
      <c r="J10" s="8">
        <f t="shared" si="1"/>
        <v>840.38853918354096</v>
      </c>
      <c r="K10" s="8">
        <f t="shared" si="8"/>
        <v>186498.16642243101</v>
      </c>
      <c r="L10" s="8"/>
      <c r="M10" s="8">
        <f t="shared" si="2"/>
        <v>840.38853918354096</v>
      </c>
      <c r="N10" s="8">
        <f t="shared" si="8"/>
        <v>186498.16642243101</v>
      </c>
    </row>
    <row r="11" spans="1:14">
      <c r="A11">
        <v>5</v>
      </c>
      <c r="B11" s="6">
        <f t="shared" si="3"/>
        <v>45657.1875</v>
      </c>
      <c r="C11" s="8">
        <f t="shared" si="4"/>
        <v>170467.15254557657</v>
      </c>
      <c r="D11" s="7">
        <f t="shared" si="5"/>
        <v>5758.6702579981111</v>
      </c>
      <c r="E11" s="9">
        <f t="shared" si="6"/>
        <v>5.7500000000000002E-2</v>
      </c>
      <c r="F11" s="8">
        <f t="shared" si="0"/>
        <v>816.82177261422112</v>
      </c>
      <c r="G11" s="8">
        <f>D11-F11</f>
        <v>4941.84848538389</v>
      </c>
      <c r="H11" s="8">
        <f t="shared" si="7"/>
        <v>5758.6702579981111</v>
      </c>
      <c r="I11" s="8">
        <f>C11-G11</f>
        <v>165525.30406019266</v>
      </c>
      <c r="J11" s="8">
        <f t="shared" si="1"/>
        <v>816.82177261422112</v>
      </c>
      <c r="K11" s="8">
        <f t="shared" si="8"/>
        <v>185681.34464981678</v>
      </c>
      <c r="L11" s="8"/>
      <c r="M11" s="8">
        <f t="shared" si="2"/>
        <v>816.82177261422112</v>
      </c>
      <c r="N11" s="8">
        <f t="shared" si="8"/>
        <v>185681.34464981678</v>
      </c>
    </row>
    <row r="12" spans="1:14">
      <c r="A12">
        <v>6</v>
      </c>
      <c r="B12" s="6">
        <f t="shared" si="3"/>
        <v>45687.625</v>
      </c>
      <c r="C12" s="8">
        <f t="shared" si="4"/>
        <v>165525.30406019266</v>
      </c>
      <c r="D12" s="7">
        <f t="shared" si="5"/>
        <v>5758.6702579981111</v>
      </c>
      <c r="E12" s="9">
        <f t="shared" si="6"/>
        <v>5.7500000000000002E-2</v>
      </c>
      <c r="F12" s="8">
        <f t="shared" si="0"/>
        <v>793.14208195508991</v>
      </c>
      <c r="G12" s="8">
        <f>D12-F12</f>
        <v>4965.5281760430207</v>
      </c>
      <c r="H12" s="8">
        <f t="shared" si="7"/>
        <v>5758.6702579981102</v>
      </c>
      <c r="I12" s="8">
        <f>C12-G12</f>
        <v>160559.77588414965</v>
      </c>
      <c r="J12" s="8">
        <f t="shared" si="1"/>
        <v>793.14208195508991</v>
      </c>
      <c r="K12" s="8">
        <f t="shared" si="8"/>
        <v>184888.20256786168</v>
      </c>
      <c r="L12" s="8"/>
      <c r="M12" s="8">
        <f t="shared" si="2"/>
        <v>793.14208195508991</v>
      </c>
      <c r="N12" s="8">
        <f t="shared" si="8"/>
        <v>184888.20256786168</v>
      </c>
    </row>
    <row r="13" spans="1:14">
      <c r="A13">
        <v>7</v>
      </c>
      <c r="B13" s="6">
        <f t="shared" si="3"/>
        <v>45718.0625</v>
      </c>
      <c r="C13" s="8">
        <f t="shared" si="4"/>
        <v>160559.77588414965</v>
      </c>
      <c r="D13" s="7">
        <f t="shared" si="5"/>
        <v>5758.6702579981111</v>
      </c>
      <c r="E13" s="9">
        <f t="shared" si="6"/>
        <v>5.7500000000000002E-2</v>
      </c>
      <c r="F13" s="8">
        <f t="shared" si="0"/>
        <v>769.34892611155044</v>
      </c>
      <c r="G13" s="8">
        <f>D13-F13</f>
        <v>4989.321331886561</v>
      </c>
      <c r="H13" s="8">
        <f t="shared" si="7"/>
        <v>5758.6702579981111</v>
      </c>
      <c r="I13" s="8">
        <f>C13-G13</f>
        <v>155570.45455226308</v>
      </c>
      <c r="J13" s="8">
        <f t="shared" si="1"/>
        <v>769.34892611155044</v>
      </c>
      <c r="K13" s="8">
        <f t="shared" si="8"/>
        <v>184118.85364175012</v>
      </c>
      <c r="L13" s="8"/>
      <c r="M13" s="8">
        <f t="shared" si="2"/>
        <v>769.34892611155044</v>
      </c>
      <c r="N13" s="8">
        <f t="shared" si="8"/>
        <v>184118.85364175012</v>
      </c>
    </row>
    <row r="14" spans="1:14">
      <c r="A14">
        <v>8</v>
      </c>
      <c r="B14" s="6">
        <f t="shared" si="3"/>
        <v>45748.5</v>
      </c>
      <c r="C14" s="8">
        <f t="shared" si="4"/>
        <v>155570.45455226308</v>
      </c>
      <c r="D14" s="7">
        <f t="shared" si="5"/>
        <v>5758.6702579981111</v>
      </c>
      <c r="E14" s="9">
        <f t="shared" si="6"/>
        <v>5.7500000000000002E-2</v>
      </c>
      <c r="F14" s="8">
        <f t="shared" si="0"/>
        <v>745.44176139626063</v>
      </c>
      <c r="G14" s="8">
        <f>D14-F14</f>
        <v>5013.2284966018506</v>
      </c>
      <c r="H14" s="8">
        <f t="shared" si="7"/>
        <v>5758.6702579981111</v>
      </c>
      <c r="I14" s="8">
        <f>C14-G14</f>
        <v>150557.22605566122</v>
      </c>
      <c r="J14" s="8">
        <f t="shared" si="1"/>
        <v>745.44176139626063</v>
      </c>
      <c r="K14" s="8">
        <f t="shared" si="8"/>
        <v>183373.41188035384</v>
      </c>
      <c r="L14" s="8"/>
      <c r="M14" s="8">
        <f t="shared" si="2"/>
        <v>745.44176139626063</v>
      </c>
      <c r="N14" s="8">
        <f t="shared" si="8"/>
        <v>183373.41188035384</v>
      </c>
    </row>
    <row r="15" spans="1:14">
      <c r="A15">
        <v>9</v>
      </c>
      <c r="B15" s="6">
        <f t="shared" si="3"/>
        <v>45778.9375</v>
      </c>
      <c r="C15" s="8">
        <f t="shared" si="4"/>
        <v>150557.22605566122</v>
      </c>
      <c r="D15" s="7">
        <f t="shared" si="5"/>
        <v>5758.6702579981111</v>
      </c>
      <c r="E15" s="9">
        <f t="shared" si="6"/>
        <v>5.7500000000000002E-2</v>
      </c>
      <c r="F15" s="8">
        <f t="shared" si="0"/>
        <v>721.42004151671006</v>
      </c>
      <c r="G15" s="8">
        <f>D15-F15</f>
        <v>5037.2502164814014</v>
      </c>
      <c r="H15" s="8">
        <f t="shared" si="7"/>
        <v>5758.6702579981111</v>
      </c>
      <c r="I15" s="8">
        <f>C15-G15</f>
        <v>145519.97583917982</v>
      </c>
      <c r="J15" s="8">
        <f t="shared" si="1"/>
        <v>721.42004151671006</v>
      </c>
      <c r="K15" s="8">
        <f t="shared" si="8"/>
        <v>182651.99183883713</v>
      </c>
      <c r="L15" s="8"/>
      <c r="M15" s="8">
        <f t="shared" si="2"/>
        <v>721.42004151671006</v>
      </c>
      <c r="N15" s="8">
        <f t="shared" si="8"/>
        <v>182651.99183883713</v>
      </c>
    </row>
    <row r="16" spans="1:14">
      <c r="A16">
        <v>10</v>
      </c>
      <c r="B16" s="6">
        <f t="shared" si="3"/>
        <v>45809.375</v>
      </c>
      <c r="C16" s="8">
        <f t="shared" si="4"/>
        <v>145519.97583917982</v>
      </c>
      <c r="D16" s="7">
        <f t="shared" si="5"/>
        <v>5758.6702579981111</v>
      </c>
      <c r="E16" s="9">
        <f t="shared" si="6"/>
        <v>5.7500000000000002E-2</v>
      </c>
      <c r="F16" s="8">
        <f t="shared" si="0"/>
        <v>697.2832175627367</v>
      </c>
      <c r="G16" s="8">
        <f>D16-F16</f>
        <v>5061.3870404353747</v>
      </c>
      <c r="H16" s="8">
        <f t="shared" si="7"/>
        <v>5758.6702579981111</v>
      </c>
      <c r="I16" s="8">
        <f>C16-G16</f>
        <v>140458.58879874446</v>
      </c>
      <c r="J16" s="8">
        <f t="shared" si="1"/>
        <v>697.2832175627367</v>
      </c>
      <c r="K16" s="8">
        <f t="shared" si="8"/>
        <v>181954.70862127439</v>
      </c>
      <c r="L16" s="8"/>
      <c r="M16" s="8">
        <f t="shared" si="2"/>
        <v>697.2832175627367</v>
      </c>
      <c r="N16" s="8">
        <f t="shared" si="8"/>
        <v>181954.70862127439</v>
      </c>
    </row>
    <row r="17" spans="1:14">
      <c r="A17">
        <v>11</v>
      </c>
      <c r="B17" s="6">
        <f t="shared" si="3"/>
        <v>45839.8125</v>
      </c>
      <c r="C17" s="8">
        <f t="shared" si="4"/>
        <v>140458.58879874446</v>
      </c>
      <c r="D17" s="7">
        <f t="shared" si="5"/>
        <v>5758.6702579981111</v>
      </c>
      <c r="E17" s="9">
        <f t="shared" si="6"/>
        <v>5.7500000000000002E-2</v>
      </c>
      <c r="F17" s="8">
        <f t="shared" si="0"/>
        <v>673.03073799398396</v>
      </c>
      <c r="G17" s="8">
        <f>D17-F17</f>
        <v>5085.639520004127</v>
      </c>
      <c r="H17" s="8">
        <f t="shared" si="7"/>
        <v>5758.6702579981111</v>
      </c>
      <c r="I17" s="8">
        <f>C17-G17</f>
        <v>135372.94927874033</v>
      </c>
      <c r="J17" s="8">
        <f t="shared" si="1"/>
        <v>673.03073799398396</v>
      </c>
      <c r="K17" s="8">
        <f t="shared" si="8"/>
        <v>181281.67788328041</v>
      </c>
      <c r="L17" s="8"/>
      <c r="M17" s="8">
        <f t="shared" si="2"/>
        <v>673.03073799398396</v>
      </c>
      <c r="N17" s="8">
        <f t="shared" si="8"/>
        <v>181281.67788328041</v>
      </c>
    </row>
    <row r="18" spans="1:14">
      <c r="A18">
        <v>12</v>
      </c>
      <c r="B18" s="6">
        <f t="shared" si="3"/>
        <v>45870.25</v>
      </c>
      <c r="C18" s="8">
        <f t="shared" si="4"/>
        <v>135372.94927874033</v>
      </c>
      <c r="D18" s="7">
        <f t="shared" si="5"/>
        <v>5758.6702579981111</v>
      </c>
      <c r="E18" s="9">
        <f t="shared" si="6"/>
        <v>5.7500000000000002E-2</v>
      </c>
      <c r="F18" s="8">
        <f t="shared" si="0"/>
        <v>648.66204862729739</v>
      </c>
      <c r="G18" s="8">
        <f>D18-F18</f>
        <v>5110.0082093708133</v>
      </c>
      <c r="H18" s="8">
        <f t="shared" si="7"/>
        <v>5758.6702579981111</v>
      </c>
      <c r="I18" s="8">
        <f>C18-G18</f>
        <v>130262.94106936951</v>
      </c>
      <c r="J18" s="8">
        <f t="shared" si="1"/>
        <v>648.66204862729739</v>
      </c>
      <c r="K18" s="8">
        <f t="shared" si="8"/>
        <v>180633.01583465311</v>
      </c>
      <c r="L18" s="8"/>
      <c r="M18" s="8">
        <f t="shared" si="2"/>
        <v>648.66204862729739</v>
      </c>
      <c r="N18" s="8">
        <f t="shared" si="8"/>
        <v>180633.01583465311</v>
      </c>
    </row>
    <row r="19" spans="1:14">
      <c r="A19" s="5">
        <v>13</v>
      </c>
      <c r="B19" s="10">
        <f t="shared" si="3"/>
        <v>45900.6875</v>
      </c>
      <c r="C19" s="13">
        <f t="shared" si="4"/>
        <v>130262.94106936951</v>
      </c>
      <c r="D19" s="11">
        <f t="shared" si="5"/>
        <v>5758.6702579981111</v>
      </c>
      <c r="E19" s="12">
        <f t="shared" si="6"/>
        <v>5.7500000000000002E-2</v>
      </c>
      <c r="F19" s="13">
        <f t="shared" si="0"/>
        <v>624.17659262406221</v>
      </c>
      <c r="G19" s="13">
        <f t="shared" ref="G19:G42" si="9">D19-F19</f>
        <v>5134.4936653740488</v>
      </c>
      <c r="H19" s="13">
        <f t="shared" si="7"/>
        <v>5758.6702579981111</v>
      </c>
      <c r="I19" s="13">
        <f t="shared" ref="I19:I42" si="10">C19-G19</f>
        <v>125128.44740399547</v>
      </c>
      <c r="J19" s="13">
        <f t="shared" si="1"/>
        <v>624.17659262406221</v>
      </c>
      <c r="K19" s="13">
        <f t="shared" si="8"/>
        <v>180008.83924202906</v>
      </c>
      <c r="L19" s="13"/>
      <c r="M19" s="13">
        <f t="shared" ref="M19:M42" si="11">(SUM($G$7:$G$42)/24)+F19</f>
        <v>8540.8432592907302</v>
      </c>
      <c r="N19" s="13">
        <f t="shared" si="8"/>
        <v>172092.17257536238</v>
      </c>
    </row>
    <row r="20" spans="1:14">
      <c r="A20" s="5">
        <v>14</v>
      </c>
      <c r="B20" s="10">
        <f t="shared" si="3"/>
        <v>45931.125</v>
      </c>
      <c r="C20" s="13">
        <f t="shared" si="4"/>
        <v>125128.44740399547</v>
      </c>
      <c r="D20" s="11">
        <f t="shared" si="5"/>
        <v>5758.6702579981111</v>
      </c>
      <c r="E20" s="12">
        <f t="shared" si="6"/>
        <v>5.7500000000000002E-2</v>
      </c>
      <c r="F20" s="13">
        <f t="shared" si="0"/>
        <v>599.57381047747833</v>
      </c>
      <c r="G20" s="13">
        <f t="shared" si="9"/>
        <v>5159.0964475206329</v>
      </c>
      <c r="H20" s="13">
        <f t="shared" si="7"/>
        <v>5758.6702579981111</v>
      </c>
      <c r="I20" s="13">
        <f t="shared" si="10"/>
        <v>119969.35095647484</v>
      </c>
      <c r="J20" s="13">
        <f t="shared" si="1"/>
        <v>599.57381047747833</v>
      </c>
      <c r="K20" s="13">
        <f t="shared" si="8"/>
        <v>179409.26543155158</v>
      </c>
      <c r="L20" s="13"/>
      <c r="M20" s="13">
        <f t="shared" si="11"/>
        <v>8516.240477144147</v>
      </c>
      <c r="N20" s="13">
        <f t="shared" si="8"/>
        <v>163575.93209821824</v>
      </c>
    </row>
    <row r="21" spans="1:14">
      <c r="A21" s="5">
        <v>15</v>
      </c>
      <c r="B21" s="10">
        <f t="shared" si="3"/>
        <v>45961.5625</v>
      </c>
      <c r="C21" s="13">
        <f t="shared" si="4"/>
        <v>119969.35095647484</v>
      </c>
      <c r="D21" s="11">
        <f t="shared" si="5"/>
        <v>5758.6702579981111</v>
      </c>
      <c r="E21" s="12">
        <f t="shared" si="6"/>
        <v>5.7500000000000002E-2</v>
      </c>
      <c r="F21" s="13">
        <f t="shared" si="0"/>
        <v>574.85313999977529</v>
      </c>
      <c r="G21" s="13">
        <f t="shared" si="9"/>
        <v>5183.8171179983356</v>
      </c>
      <c r="H21" s="13">
        <f t="shared" si="7"/>
        <v>5758.6702579981111</v>
      </c>
      <c r="I21" s="13">
        <f t="shared" si="10"/>
        <v>114785.53383847651</v>
      </c>
      <c r="J21" s="13">
        <f t="shared" si="1"/>
        <v>574.85313999977529</v>
      </c>
      <c r="K21" s="13">
        <f t="shared" si="8"/>
        <v>178834.41229155179</v>
      </c>
      <c r="L21" s="13"/>
      <c r="M21" s="13">
        <f t="shared" si="11"/>
        <v>8491.5198066664434</v>
      </c>
      <c r="N21" s="13">
        <f t="shared" si="8"/>
        <v>155084.41229155179</v>
      </c>
    </row>
    <row r="22" spans="1:14">
      <c r="A22" s="5">
        <v>16</v>
      </c>
      <c r="B22" s="10">
        <f t="shared" si="3"/>
        <v>45992</v>
      </c>
      <c r="C22" s="13">
        <f t="shared" si="4"/>
        <v>114785.53383847651</v>
      </c>
      <c r="D22" s="11">
        <f t="shared" si="5"/>
        <v>5758.6702579981111</v>
      </c>
      <c r="E22" s="12">
        <f t="shared" si="6"/>
        <v>5.7500000000000002E-2</v>
      </c>
      <c r="F22" s="13">
        <f t="shared" si="0"/>
        <v>550.01401630936664</v>
      </c>
      <c r="G22" s="13">
        <f t="shared" si="9"/>
        <v>5208.6562416887446</v>
      </c>
      <c r="H22" s="13">
        <f t="shared" si="7"/>
        <v>5758.6702579981111</v>
      </c>
      <c r="I22" s="13">
        <f t="shared" si="10"/>
        <v>109576.87759678776</v>
      </c>
      <c r="J22" s="13">
        <f t="shared" si="1"/>
        <v>550.01401630936664</v>
      </c>
      <c r="K22" s="13">
        <f t="shared" si="8"/>
        <v>178284.39827524242</v>
      </c>
      <c r="L22" s="13"/>
      <c r="M22" s="13">
        <f t="shared" si="11"/>
        <v>8466.6806829760353</v>
      </c>
      <c r="N22" s="13">
        <f t="shared" si="8"/>
        <v>146617.73160857576</v>
      </c>
    </row>
    <row r="23" spans="1:14">
      <c r="A23" s="5">
        <v>17</v>
      </c>
      <c r="B23" s="10">
        <f t="shared" si="3"/>
        <v>46022.4375</v>
      </c>
      <c r="C23" s="13">
        <f t="shared" si="4"/>
        <v>109576.87759678776</v>
      </c>
      <c r="D23" s="11">
        <f t="shared" si="5"/>
        <v>5758.6702579981111</v>
      </c>
      <c r="E23" s="12">
        <f t="shared" si="6"/>
        <v>5.7500000000000002E-2</v>
      </c>
      <c r="F23" s="13">
        <f t="shared" si="0"/>
        <v>525.05587181794135</v>
      </c>
      <c r="G23" s="13">
        <f t="shared" si="9"/>
        <v>5233.6143861801702</v>
      </c>
      <c r="H23" s="13">
        <f t="shared" si="7"/>
        <v>5758.670257998112</v>
      </c>
      <c r="I23" s="13">
        <f t="shared" si="10"/>
        <v>104343.26321060759</v>
      </c>
      <c r="J23" s="13">
        <f t="shared" si="1"/>
        <v>525.05587181794135</v>
      </c>
      <c r="K23" s="13">
        <f t="shared" si="8"/>
        <v>177759.34240342447</v>
      </c>
      <c r="L23" s="13"/>
      <c r="M23" s="13">
        <f t="shared" si="11"/>
        <v>8441.7225384846097</v>
      </c>
      <c r="N23" s="13">
        <f t="shared" si="8"/>
        <v>138176.00907009115</v>
      </c>
    </row>
    <row r="24" spans="1:14">
      <c r="A24" s="5">
        <v>18</v>
      </c>
      <c r="B24" s="10">
        <f t="shared" si="3"/>
        <v>46052.875</v>
      </c>
      <c r="C24" s="13">
        <f t="shared" si="4"/>
        <v>104343.26321060759</v>
      </c>
      <c r="D24" s="11">
        <f t="shared" si="5"/>
        <v>5758.6702579981111</v>
      </c>
      <c r="E24" s="12">
        <f t="shared" si="6"/>
        <v>5.7500000000000002E-2</v>
      </c>
      <c r="F24" s="13">
        <f t="shared" si="0"/>
        <v>499.97813621749469</v>
      </c>
      <c r="G24" s="13">
        <f t="shared" si="9"/>
        <v>5258.6921217806166</v>
      </c>
      <c r="H24" s="13">
        <f t="shared" si="7"/>
        <v>5758.6702579981111</v>
      </c>
      <c r="I24" s="13">
        <f t="shared" si="10"/>
        <v>99084.571088826968</v>
      </c>
      <c r="J24" s="13">
        <f t="shared" si="1"/>
        <v>499.97813621749469</v>
      </c>
      <c r="K24" s="13">
        <f t="shared" si="8"/>
        <v>177259.36426720698</v>
      </c>
      <c r="L24" s="13"/>
      <c r="M24" s="13">
        <f t="shared" si="11"/>
        <v>8416.6448028841623</v>
      </c>
      <c r="N24" s="13">
        <f t="shared" si="8"/>
        <v>129759.36426720698</v>
      </c>
    </row>
    <row r="25" spans="1:14">
      <c r="A25" s="5">
        <v>19</v>
      </c>
      <c r="B25" s="10">
        <f t="shared" si="3"/>
        <v>46083.3125</v>
      </c>
      <c r="C25" s="13">
        <f t="shared" si="4"/>
        <v>99084.571088826968</v>
      </c>
      <c r="D25" s="11">
        <f t="shared" si="5"/>
        <v>5758.6702579981111</v>
      </c>
      <c r="E25" s="12">
        <f t="shared" si="6"/>
        <v>5.7500000000000002E-2</v>
      </c>
      <c r="F25" s="13">
        <f t="shared" si="0"/>
        <v>474.78023646729594</v>
      </c>
      <c r="G25" s="13">
        <f t="shared" si="9"/>
        <v>5283.8900215308149</v>
      </c>
      <c r="H25" s="13">
        <f t="shared" si="7"/>
        <v>5758.6702579981111</v>
      </c>
      <c r="I25" s="13">
        <f t="shared" si="10"/>
        <v>93800.681067296158</v>
      </c>
      <c r="J25" s="13">
        <f t="shared" si="1"/>
        <v>474.78023646729594</v>
      </c>
      <c r="K25" s="13">
        <f t="shared" ref="K25:N40" si="12">K24-J25</f>
        <v>176784.5840307397</v>
      </c>
      <c r="L25" s="13"/>
      <c r="M25" s="13">
        <f t="shared" si="11"/>
        <v>8391.4469031339631</v>
      </c>
      <c r="N25" s="13">
        <f t="shared" si="12"/>
        <v>121367.91736407302</v>
      </c>
    </row>
    <row r="26" spans="1:14">
      <c r="A26" s="5">
        <v>20</v>
      </c>
      <c r="B26" s="10">
        <f t="shared" si="3"/>
        <v>46113.75</v>
      </c>
      <c r="C26" s="13">
        <f t="shared" si="4"/>
        <v>93800.681067296158</v>
      </c>
      <c r="D26" s="11">
        <f t="shared" si="5"/>
        <v>5758.6702579981111</v>
      </c>
      <c r="E26" s="12">
        <f t="shared" si="6"/>
        <v>5.7500000000000002E-2</v>
      </c>
      <c r="F26" s="13">
        <f t="shared" si="0"/>
        <v>449.46159678079408</v>
      </c>
      <c r="G26" s="13">
        <f t="shared" si="9"/>
        <v>5309.2086612173171</v>
      </c>
      <c r="H26" s="13">
        <f t="shared" si="7"/>
        <v>5758.6702579981111</v>
      </c>
      <c r="I26" s="13">
        <f t="shared" si="10"/>
        <v>88491.472406078843</v>
      </c>
      <c r="J26" s="13">
        <f t="shared" si="1"/>
        <v>449.46159678079408</v>
      </c>
      <c r="K26" s="13">
        <f t="shared" si="12"/>
        <v>176335.1224339589</v>
      </c>
      <c r="L26" s="13"/>
      <c r="M26" s="13">
        <f t="shared" si="11"/>
        <v>8366.1282634474628</v>
      </c>
      <c r="N26" s="13">
        <f t="shared" si="12"/>
        <v>113001.78910062555</v>
      </c>
    </row>
    <row r="27" spans="1:14">
      <c r="A27" s="5">
        <v>21</v>
      </c>
      <c r="B27" s="10">
        <f t="shared" si="3"/>
        <v>46144.1875</v>
      </c>
      <c r="C27" s="13">
        <f t="shared" si="4"/>
        <v>88491.472406078843</v>
      </c>
      <c r="D27" s="11">
        <f t="shared" si="5"/>
        <v>5758.6702579981111</v>
      </c>
      <c r="E27" s="12">
        <f t="shared" si="6"/>
        <v>5.7500000000000002E-2</v>
      </c>
      <c r="F27" s="13">
        <f t="shared" si="0"/>
        <v>424.02163861246117</v>
      </c>
      <c r="G27" s="13">
        <f t="shared" si="9"/>
        <v>5334.6486193856499</v>
      </c>
      <c r="H27" s="13">
        <f t="shared" si="7"/>
        <v>5758.6702579981111</v>
      </c>
      <c r="I27" s="13">
        <f t="shared" si="10"/>
        <v>83156.823786693189</v>
      </c>
      <c r="J27" s="13">
        <f t="shared" si="1"/>
        <v>424.02163861246117</v>
      </c>
      <c r="K27" s="13">
        <f t="shared" si="12"/>
        <v>175911.10079534643</v>
      </c>
      <c r="L27" s="13"/>
      <c r="M27" s="13">
        <f t="shared" si="11"/>
        <v>8340.6883052791291</v>
      </c>
      <c r="N27" s="13">
        <f t="shared" si="12"/>
        <v>104661.10079534643</v>
      </c>
    </row>
    <row r="28" spans="1:14">
      <c r="A28" s="5">
        <v>22</v>
      </c>
      <c r="B28" s="10">
        <f t="shared" si="3"/>
        <v>46174.625</v>
      </c>
      <c r="C28" s="13">
        <f t="shared" si="4"/>
        <v>83156.823786693189</v>
      </c>
      <c r="D28" s="11">
        <f t="shared" si="5"/>
        <v>5758.6702579981111</v>
      </c>
      <c r="E28" s="12">
        <f t="shared" si="6"/>
        <v>5.7500000000000002E-2</v>
      </c>
      <c r="F28" s="13">
        <f t="shared" si="0"/>
        <v>398.45978064457154</v>
      </c>
      <c r="G28" s="13">
        <f t="shared" si="9"/>
        <v>5360.2104773535393</v>
      </c>
      <c r="H28" s="13">
        <f t="shared" si="7"/>
        <v>5758.6702579981111</v>
      </c>
      <c r="I28" s="13">
        <f t="shared" si="10"/>
        <v>77796.613309339649</v>
      </c>
      <c r="J28" s="13">
        <f t="shared" si="1"/>
        <v>398.45978064457154</v>
      </c>
      <c r="K28" s="13">
        <f t="shared" si="12"/>
        <v>175512.64101470186</v>
      </c>
      <c r="L28" s="13"/>
      <c r="M28" s="13">
        <f t="shared" si="11"/>
        <v>8315.1264473112387</v>
      </c>
      <c r="N28" s="13">
        <f t="shared" si="12"/>
        <v>96345.97434803519</v>
      </c>
    </row>
    <row r="29" spans="1:14">
      <c r="A29" s="5">
        <v>23</v>
      </c>
      <c r="B29" s="10">
        <f t="shared" si="3"/>
        <v>46205.0625</v>
      </c>
      <c r="C29" s="13">
        <f t="shared" si="4"/>
        <v>77796.613309339649</v>
      </c>
      <c r="D29" s="11">
        <f t="shared" si="5"/>
        <v>5758.6702579981111</v>
      </c>
      <c r="E29" s="12">
        <f t="shared" si="6"/>
        <v>5.7500000000000002E-2</v>
      </c>
      <c r="F29" s="13">
        <f t="shared" si="0"/>
        <v>372.77543877391918</v>
      </c>
      <c r="G29" s="13">
        <f t="shared" si="9"/>
        <v>5385.8948192241915</v>
      </c>
      <c r="H29" s="13">
        <f t="shared" si="7"/>
        <v>5758.6702579981102</v>
      </c>
      <c r="I29" s="13">
        <f t="shared" si="10"/>
        <v>72410.718490115454</v>
      </c>
      <c r="J29" s="13">
        <f t="shared" si="1"/>
        <v>372.77543877391918</v>
      </c>
      <c r="K29" s="13">
        <f t="shared" si="12"/>
        <v>175139.86557592795</v>
      </c>
      <c r="L29" s="13"/>
      <c r="M29" s="13">
        <f t="shared" si="11"/>
        <v>8289.4421054405866</v>
      </c>
      <c r="N29" s="13">
        <f t="shared" si="12"/>
        <v>88056.532242594607</v>
      </c>
    </row>
    <row r="30" spans="1:14">
      <c r="A30" s="5">
        <v>24</v>
      </c>
      <c r="B30" s="10">
        <f t="shared" si="3"/>
        <v>46235.5</v>
      </c>
      <c r="C30" s="13">
        <f t="shared" si="4"/>
        <v>72410.718490115454</v>
      </c>
      <c r="D30" s="11">
        <f t="shared" si="5"/>
        <v>5758.6702579981111</v>
      </c>
      <c r="E30" s="12">
        <f t="shared" si="6"/>
        <v>5.7500000000000002E-2</v>
      </c>
      <c r="F30" s="13">
        <f t="shared" si="0"/>
        <v>346.96802609846986</v>
      </c>
      <c r="G30" s="13">
        <f t="shared" si="9"/>
        <v>5411.7022318996414</v>
      </c>
      <c r="H30" s="13">
        <f t="shared" si="7"/>
        <v>5758.6702579981111</v>
      </c>
      <c r="I30" s="13">
        <f t="shared" si="10"/>
        <v>66999.016258215808</v>
      </c>
      <c r="J30" s="13">
        <f t="shared" si="1"/>
        <v>346.96802609846986</v>
      </c>
      <c r="K30" s="13">
        <f t="shared" si="12"/>
        <v>174792.89754982947</v>
      </c>
      <c r="L30" s="13"/>
      <c r="M30" s="13">
        <f t="shared" si="11"/>
        <v>8263.6346927651375</v>
      </c>
      <c r="N30" s="13">
        <f t="shared" si="12"/>
        <v>79792.897549829475</v>
      </c>
    </row>
    <row r="31" spans="1:14">
      <c r="A31">
        <v>25</v>
      </c>
      <c r="B31" s="6">
        <f t="shared" si="3"/>
        <v>46265.9375</v>
      </c>
      <c r="C31" s="8">
        <f t="shared" si="4"/>
        <v>66999.016258215808</v>
      </c>
      <c r="D31" s="7">
        <f t="shared" si="5"/>
        <v>5758.6702579981111</v>
      </c>
      <c r="E31" s="9">
        <f t="shared" si="6"/>
        <v>5.7500000000000002E-2</v>
      </c>
      <c r="F31" s="8">
        <f t="shared" si="0"/>
        <v>321.03695290395075</v>
      </c>
      <c r="G31" s="8">
        <f t="shared" si="9"/>
        <v>5437.6333050941603</v>
      </c>
      <c r="H31" s="8">
        <f t="shared" si="7"/>
        <v>5758.6702579981111</v>
      </c>
      <c r="I31" s="8">
        <f t="shared" si="10"/>
        <v>61561.382953121647</v>
      </c>
      <c r="J31" s="8">
        <f>(SUM($G$7:$G$42)/12)+F31</f>
        <v>16154.370286237287</v>
      </c>
      <c r="K31" s="8">
        <f t="shared" si="12"/>
        <v>158638.5272635922</v>
      </c>
      <c r="L31" s="8"/>
      <c r="M31" s="8">
        <f t="shared" si="11"/>
        <v>8237.7036195706187</v>
      </c>
      <c r="N31" s="8">
        <f t="shared" si="12"/>
        <v>71555.193930258858</v>
      </c>
    </row>
    <row r="32" spans="1:14">
      <c r="A32">
        <v>26</v>
      </c>
      <c r="B32" s="6">
        <f t="shared" si="3"/>
        <v>46296.375</v>
      </c>
      <c r="C32" s="8">
        <f t="shared" si="4"/>
        <v>61561.382953121647</v>
      </c>
      <c r="D32" s="7">
        <f t="shared" si="5"/>
        <v>5758.6702579981111</v>
      </c>
      <c r="E32" s="9">
        <f t="shared" si="6"/>
        <v>5.7500000000000002E-2</v>
      </c>
      <c r="F32" s="8">
        <f t="shared" si="0"/>
        <v>294.98162665037461</v>
      </c>
      <c r="G32" s="8">
        <f t="shared" si="9"/>
        <v>5463.6886313477362</v>
      </c>
      <c r="H32" s="8">
        <f t="shared" si="7"/>
        <v>5758.6702579981111</v>
      </c>
      <c r="I32" s="8">
        <f t="shared" si="10"/>
        <v>56097.69432177391</v>
      </c>
      <c r="J32" s="8">
        <f t="shared" ref="J32:J42" si="13">(SUM($G$7:$G$42)/12)+F32</f>
        <v>16128.314959983711</v>
      </c>
      <c r="K32" s="8">
        <f t="shared" si="12"/>
        <v>142510.21230360848</v>
      </c>
      <c r="L32" s="8"/>
      <c r="M32" s="8">
        <f t="shared" si="11"/>
        <v>8211.6482933170428</v>
      </c>
      <c r="N32" s="8">
        <f t="shared" si="12"/>
        <v>63343.545636941817</v>
      </c>
    </row>
    <row r="33" spans="1:14">
      <c r="A33">
        <v>27</v>
      </c>
      <c r="B33" s="6">
        <f t="shared" si="3"/>
        <v>46326.8125</v>
      </c>
      <c r="C33" s="8">
        <f t="shared" si="4"/>
        <v>56097.69432177391</v>
      </c>
      <c r="D33" s="7">
        <f t="shared" si="5"/>
        <v>5758.6702579981111</v>
      </c>
      <c r="E33" s="9">
        <f t="shared" si="6"/>
        <v>5.7500000000000002E-2</v>
      </c>
      <c r="F33" s="8">
        <f t="shared" si="0"/>
        <v>268.80145195849997</v>
      </c>
      <c r="G33" s="8">
        <f t="shared" si="9"/>
        <v>5489.8688060396107</v>
      </c>
      <c r="H33" s="8">
        <f t="shared" si="7"/>
        <v>5758.6702579981111</v>
      </c>
      <c r="I33" s="8">
        <f t="shared" si="10"/>
        <v>50607.825515734301</v>
      </c>
      <c r="J33" s="8">
        <f t="shared" si="13"/>
        <v>16102.134785291835</v>
      </c>
      <c r="K33" s="8">
        <f t="shared" si="12"/>
        <v>126408.07751831664</v>
      </c>
      <c r="L33" s="8"/>
      <c r="M33" s="8">
        <f t="shared" si="11"/>
        <v>8185.4681186251682</v>
      </c>
      <c r="N33" s="8">
        <f t="shared" si="12"/>
        <v>55158.077518316648</v>
      </c>
    </row>
    <row r="34" spans="1:14">
      <c r="A34">
        <v>28</v>
      </c>
      <c r="B34" s="6">
        <f t="shared" si="3"/>
        <v>46357.25</v>
      </c>
      <c r="C34" s="8">
        <f t="shared" si="4"/>
        <v>50607.825515734301</v>
      </c>
      <c r="D34" s="7">
        <f t="shared" si="5"/>
        <v>5758.6702579981111</v>
      </c>
      <c r="E34" s="9">
        <f t="shared" si="6"/>
        <v>5.7500000000000002E-2</v>
      </c>
      <c r="F34" s="8">
        <f t="shared" si="0"/>
        <v>242.49583059622685</v>
      </c>
      <c r="G34" s="8">
        <f t="shared" si="9"/>
        <v>5516.1744274018838</v>
      </c>
      <c r="H34" s="8">
        <f t="shared" si="7"/>
        <v>5758.6702579981111</v>
      </c>
      <c r="I34" s="8">
        <f t="shared" si="10"/>
        <v>45091.651088332415</v>
      </c>
      <c r="J34" s="8">
        <f t="shared" si="13"/>
        <v>16075.829163929562</v>
      </c>
      <c r="K34" s="8">
        <f t="shared" si="12"/>
        <v>110332.24835438708</v>
      </c>
      <c r="L34" s="8"/>
      <c r="M34" s="8">
        <f t="shared" si="11"/>
        <v>8159.1624972628952</v>
      </c>
      <c r="N34" s="8">
        <f t="shared" si="12"/>
        <v>46998.915021053755</v>
      </c>
    </row>
    <row r="35" spans="1:14">
      <c r="A35">
        <v>29</v>
      </c>
      <c r="B35" s="6">
        <f t="shared" si="3"/>
        <v>46387.6875</v>
      </c>
      <c r="C35" s="8">
        <f t="shared" si="4"/>
        <v>45091.651088332415</v>
      </c>
      <c r="D35" s="7">
        <f t="shared" si="5"/>
        <v>5758.6702579981111</v>
      </c>
      <c r="E35" s="9">
        <f t="shared" si="6"/>
        <v>5.7500000000000002E-2</v>
      </c>
      <c r="F35" s="8">
        <f t="shared" si="0"/>
        <v>216.06416146492617</v>
      </c>
      <c r="G35" s="8">
        <f t="shared" si="9"/>
        <v>5542.6060965331853</v>
      </c>
      <c r="H35" s="8">
        <f t="shared" si="7"/>
        <v>5758.6702579981111</v>
      </c>
      <c r="I35" s="8">
        <f t="shared" si="10"/>
        <v>39549.04499179923</v>
      </c>
      <c r="J35" s="8">
        <f t="shared" si="13"/>
        <v>16049.397494798262</v>
      </c>
      <c r="K35" s="8">
        <f t="shared" si="12"/>
        <v>94282.850859588812</v>
      </c>
      <c r="L35" s="8"/>
      <c r="M35" s="8">
        <f t="shared" si="11"/>
        <v>8132.7308281315936</v>
      </c>
      <c r="N35" s="8">
        <f t="shared" si="12"/>
        <v>38866.184192922163</v>
      </c>
    </row>
    <row r="36" spans="1:14">
      <c r="A36">
        <v>30</v>
      </c>
      <c r="B36" s="6">
        <f t="shared" si="3"/>
        <v>46418.125</v>
      </c>
      <c r="C36" s="8">
        <f t="shared" si="4"/>
        <v>39549.04499179923</v>
      </c>
      <c r="D36" s="7">
        <f t="shared" si="5"/>
        <v>5758.6702579981111</v>
      </c>
      <c r="E36" s="9">
        <f t="shared" si="6"/>
        <v>5.7500000000000002E-2</v>
      </c>
      <c r="F36" s="8">
        <f t="shared" si="0"/>
        <v>189.50584058570465</v>
      </c>
      <c r="G36" s="8">
        <f t="shared" si="9"/>
        <v>5569.1644174124067</v>
      </c>
      <c r="H36" s="8">
        <f t="shared" si="7"/>
        <v>5758.6702579981111</v>
      </c>
      <c r="I36" s="8">
        <f t="shared" si="10"/>
        <v>33979.880574386822</v>
      </c>
      <c r="J36" s="8">
        <f t="shared" si="13"/>
        <v>16022.839173919041</v>
      </c>
      <c r="K36" s="8">
        <f t="shared" si="12"/>
        <v>78260.011685669771</v>
      </c>
      <c r="L36" s="8"/>
      <c r="M36" s="8">
        <f t="shared" si="11"/>
        <v>8106.1725072523723</v>
      </c>
      <c r="N36" s="8">
        <f t="shared" si="12"/>
        <v>30760.01168566979</v>
      </c>
    </row>
    <row r="37" spans="1:14">
      <c r="A37">
        <v>31</v>
      </c>
      <c r="B37" s="6">
        <f t="shared" si="3"/>
        <v>46448.5625</v>
      </c>
      <c r="C37" s="8">
        <f t="shared" si="4"/>
        <v>33979.880574386822</v>
      </c>
      <c r="D37" s="7">
        <f t="shared" si="5"/>
        <v>5758.6702579981111</v>
      </c>
      <c r="E37" s="9">
        <f t="shared" si="6"/>
        <v>5.7500000000000002E-2</v>
      </c>
      <c r="F37" s="8">
        <f t="shared" si="0"/>
        <v>162.82026108560353</v>
      </c>
      <c r="G37" s="8">
        <f t="shared" si="9"/>
        <v>5595.8499969125078</v>
      </c>
      <c r="H37" s="8">
        <f t="shared" si="7"/>
        <v>5758.6702579981111</v>
      </c>
      <c r="I37" s="8">
        <f t="shared" si="10"/>
        <v>28384.030577474314</v>
      </c>
      <c r="J37" s="8">
        <f t="shared" si="13"/>
        <v>15996.15359441894</v>
      </c>
      <c r="K37" s="8">
        <f t="shared" si="12"/>
        <v>62263.858091250833</v>
      </c>
      <c r="L37" s="8"/>
      <c r="M37" s="8">
        <f t="shared" si="11"/>
        <v>8079.4869277522712</v>
      </c>
      <c r="N37" s="8">
        <f t="shared" si="12"/>
        <v>22680.524757917519</v>
      </c>
    </row>
    <row r="38" spans="1:14">
      <c r="A38">
        <v>32</v>
      </c>
      <c r="B38" s="6">
        <f t="shared" si="3"/>
        <v>46479</v>
      </c>
      <c r="C38" s="8">
        <f t="shared" si="4"/>
        <v>28384.030577474314</v>
      </c>
      <c r="D38" s="7">
        <f t="shared" si="5"/>
        <v>5758.6702579981111</v>
      </c>
      <c r="E38" s="9">
        <f t="shared" si="6"/>
        <v>5.7500000000000002E-2</v>
      </c>
      <c r="F38" s="8">
        <f t="shared" si="0"/>
        <v>136.00681318373111</v>
      </c>
      <c r="G38" s="8">
        <f t="shared" si="9"/>
        <v>5622.6634448143795</v>
      </c>
      <c r="H38" s="8">
        <f t="shared" si="7"/>
        <v>5758.6702579981111</v>
      </c>
      <c r="I38" s="8">
        <f t="shared" si="10"/>
        <v>22761.367132659936</v>
      </c>
      <c r="J38" s="8">
        <f t="shared" si="13"/>
        <v>15969.340146517066</v>
      </c>
      <c r="K38" s="8">
        <f t="shared" si="12"/>
        <v>46294.517944733765</v>
      </c>
      <c r="L38" s="8"/>
      <c r="M38" s="8">
        <f t="shared" si="11"/>
        <v>8052.6734798503994</v>
      </c>
      <c r="N38" s="8">
        <f t="shared" si="12"/>
        <v>14627.851278067119</v>
      </c>
    </row>
    <row r="39" spans="1:14">
      <c r="A39">
        <v>33</v>
      </c>
      <c r="B39" s="6">
        <f t="shared" si="3"/>
        <v>46509.4375</v>
      </c>
      <c r="C39" s="8">
        <f t="shared" si="4"/>
        <v>22761.367132659936</v>
      </c>
      <c r="D39" s="7">
        <f t="shared" si="5"/>
        <v>5758.6702579981111</v>
      </c>
      <c r="E39" s="9">
        <f t="shared" si="6"/>
        <v>5.7500000000000002E-2</v>
      </c>
      <c r="F39" s="8">
        <f t="shared" si="0"/>
        <v>109.06488417732886</v>
      </c>
      <c r="G39" s="8">
        <f t="shared" si="9"/>
        <v>5649.605373820782</v>
      </c>
      <c r="H39" s="8">
        <f t="shared" si="7"/>
        <v>5758.6702579981111</v>
      </c>
      <c r="I39" s="8">
        <f t="shared" si="10"/>
        <v>17111.761758839155</v>
      </c>
      <c r="J39" s="8">
        <f t="shared" si="13"/>
        <v>15942.398217510665</v>
      </c>
      <c r="K39" s="8">
        <f t="shared" si="12"/>
        <v>30352.1197272231</v>
      </c>
      <c r="L39" s="8"/>
      <c r="M39" s="8">
        <f t="shared" si="11"/>
        <v>8025.731550843997</v>
      </c>
      <c r="N39" s="8">
        <f t="shared" si="12"/>
        <v>6602.119727223122</v>
      </c>
    </row>
    <row r="40" spans="1:14">
      <c r="A40">
        <v>34</v>
      </c>
      <c r="B40" s="6">
        <f t="shared" si="3"/>
        <v>46539.875</v>
      </c>
      <c r="C40" s="8">
        <f t="shared" si="4"/>
        <v>17111.761758839155</v>
      </c>
      <c r="D40" s="7">
        <f t="shared" si="5"/>
        <v>5758.6702579981111</v>
      </c>
      <c r="E40" s="9">
        <f t="shared" si="6"/>
        <v>5.7500000000000002E-2</v>
      </c>
      <c r="F40" s="8">
        <f t="shared" si="0"/>
        <v>81.993858427770945</v>
      </c>
      <c r="G40" s="8">
        <f t="shared" si="9"/>
        <v>5676.6763995703404</v>
      </c>
      <c r="H40" s="8">
        <f t="shared" si="7"/>
        <v>5758.6702579981111</v>
      </c>
      <c r="I40" s="8">
        <f t="shared" si="10"/>
        <v>11435.085359268814</v>
      </c>
      <c r="J40" s="8">
        <f t="shared" si="13"/>
        <v>15915.327191761107</v>
      </c>
      <c r="K40" s="8">
        <f t="shared" si="12"/>
        <v>14436.792535461993</v>
      </c>
      <c r="L40" s="8"/>
      <c r="M40" s="8">
        <f t="shared" si="11"/>
        <v>7998.6605250944385</v>
      </c>
      <c r="N40" s="8">
        <f t="shared" si="12"/>
        <v>-1396.5407978713165</v>
      </c>
    </row>
    <row r="41" spans="1:14">
      <c r="A41">
        <v>35</v>
      </c>
      <c r="B41" s="6">
        <f t="shared" si="3"/>
        <v>46570.3125</v>
      </c>
      <c r="C41" s="8">
        <f t="shared" si="4"/>
        <v>11435.085359268814</v>
      </c>
      <c r="D41" s="7">
        <f t="shared" si="5"/>
        <v>5758.6702579981111</v>
      </c>
      <c r="E41" s="9">
        <f t="shared" si="6"/>
        <v>5.7500000000000002E-2</v>
      </c>
      <c r="F41" s="8">
        <f t="shared" si="0"/>
        <v>54.793117346496409</v>
      </c>
      <c r="G41" s="8">
        <f t="shared" si="9"/>
        <v>5703.8771406516144</v>
      </c>
      <c r="H41" s="8">
        <f t="shared" si="7"/>
        <v>5758.6702579981111</v>
      </c>
      <c r="I41" s="8">
        <f t="shared" si="10"/>
        <v>5731.2082186172001</v>
      </c>
      <c r="J41" s="8">
        <f t="shared" si="13"/>
        <v>15888.126450679832</v>
      </c>
      <c r="K41" s="8">
        <f>K40-J41</f>
        <v>-1451.3339152178396</v>
      </c>
      <c r="L41" s="8"/>
      <c r="M41" s="8">
        <f t="shared" si="11"/>
        <v>7971.4597840131646</v>
      </c>
      <c r="N41" s="8">
        <f>N40-M41</f>
        <v>-9368.0005818844802</v>
      </c>
    </row>
    <row r="42" spans="1:14">
      <c r="A42">
        <v>36</v>
      </c>
      <c r="B42" s="6">
        <f t="shared" si="3"/>
        <v>46600.75</v>
      </c>
      <c r="C42" s="8">
        <f t="shared" si="4"/>
        <v>5731.2082186172001</v>
      </c>
      <c r="D42" s="7">
        <f t="shared" si="5"/>
        <v>5758.6702579981111</v>
      </c>
      <c r="E42" s="9">
        <f t="shared" si="6"/>
        <v>5.7500000000000002E-2</v>
      </c>
      <c r="F42" s="8">
        <f t="shared" si="0"/>
        <v>27.462039380874085</v>
      </c>
      <c r="G42" s="8">
        <f t="shared" si="9"/>
        <v>5731.2082186172374</v>
      </c>
      <c r="H42" s="8">
        <f t="shared" si="7"/>
        <v>5758.6702579981111</v>
      </c>
      <c r="I42" s="8">
        <f t="shared" si="10"/>
        <v>-3.7289282772690058E-11</v>
      </c>
      <c r="J42" s="8">
        <f t="shared" si="13"/>
        <v>15860.79537271421</v>
      </c>
      <c r="K42" s="8">
        <f t="shared" ref="K42:N42" si="14">K41-J42</f>
        <v>-17312.12928793205</v>
      </c>
      <c r="L42" s="8"/>
      <c r="M42" s="8">
        <f t="shared" si="11"/>
        <v>7944.1287060475415</v>
      </c>
      <c r="N42" s="8">
        <f t="shared" si="14"/>
        <v>-17312.129287932021</v>
      </c>
    </row>
    <row r="44" spans="1:14">
      <c r="H44" s="8">
        <f>SUM(H7:H42)</f>
        <v>207312.12928793192</v>
      </c>
      <c r="I44" s="8"/>
      <c r="J44" s="8">
        <f>SUM(J7:J42)</f>
        <v>207312.12928793198</v>
      </c>
      <c r="K44" s="8">
        <f>K42+G2</f>
        <v>-1.2732925824820995E-10</v>
      </c>
      <c r="L44" s="8"/>
      <c r="M44" s="8">
        <f>SUM(M7:M42)</f>
        <v>207312.12928793201</v>
      </c>
      <c r="N44" s="8">
        <f>N42+G2</f>
        <v>-9.822542779147625E-11</v>
      </c>
    </row>
  </sheetData>
  <conditionalFormatting sqref="H44:N44">
    <cfRule type="cellIs" dxfId="2" priority="1" operator="equal">
      <formula>$G$1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21A08-8840-4007-BE3A-82D176CDA423}">
  <dimension ref="A1:Q35"/>
  <sheetViews>
    <sheetView tabSelected="1" workbookViewId="0">
      <selection activeCell="L20" sqref="L20"/>
    </sheetView>
  </sheetViews>
  <sheetFormatPr defaultRowHeight="15"/>
  <cols>
    <col min="1" max="1" width="20.85546875" customWidth="1"/>
    <col min="2" max="6" width="15.85546875" customWidth="1"/>
    <col min="7" max="7" width="11" customWidth="1"/>
    <col min="8" max="8" width="15.85546875" customWidth="1"/>
    <col min="10" max="12" width="17" customWidth="1"/>
    <col min="13" max="13" width="12.140625" customWidth="1"/>
    <col min="15" max="17" width="14.85546875" customWidth="1"/>
  </cols>
  <sheetData>
    <row r="1" spans="1:17">
      <c r="A1" s="5" t="s">
        <v>23</v>
      </c>
      <c r="B1" s="4">
        <f>(190000)*100%</f>
        <v>190000</v>
      </c>
      <c r="C1" s="4">
        <f>(190000)*75%</f>
        <v>142500</v>
      </c>
      <c r="D1" s="4">
        <f>(190000)*50%</f>
        <v>95000</v>
      </c>
      <c r="E1" s="4">
        <v>140000</v>
      </c>
      <c r="F1" s="4">
        <f>(950000+140000)*65%</f>
        <v>708500</v>
      </c>
      <c r="H1" t="s">
        <v>54</v>
      </c>
      <c r="J1" s="4">
        <f>(950000+140000)*65%</f>
        <v>708500</v>
      </c>
      <c r="K1" s="4">
        <f>(950000+140000)*65%</f>
        <v>708500</v>
      </c>
    </row>
    <row r="2" spans="1:17">
      <c r="A2" s="5" t="s">
        <v>25</v>
      </c>
      <c r="B2">
        <v>3</v>
      </c>
      <c r="C2">
        <v>3</v>
      </c>
      <c r="D2">
        <v>3</v>
      </c>
      <c r="E2">
        <v>3</v>
      </c>
      <c r="F2">
        <v>7</v>
      </c>
      <c r="J2">
        <v>7</v>
      </c>
      <c r="K2">
        <v>7</v>
      </c>
    </row>
    <row r="3" spans="1:17">
      <c r="A3" s="5" t="s">
        <v>27</v>
      </c>
      <c r="B3" s="1">
        <f>4.75%+1%</f>
        <v>5.7500000000000002E-2</v>
      </c>
      <c r="C3" s="1">
        <f>4.75%+1%</f>
        <v>5.7500000000000002E-2</v>
      </c>
      <c r="D3" s="1">
        <f>4.75%+1%</f>
        <v>5.7500000000000002E-2</v>
      </c>
      <c r="E3" s="1">
        <f>4.75%+1%</f>
        <v>5.7500000000000002E-2</v>
      </c>
      <c r="F3" s="1">
        <v>7.2499999999999995E-2</v>
      </c>
      <c r="G3" s="2"/>
      <c r="J3" s="1">
        <v>7.2499999999999995E-2</v>
      </c>
      <c r="K3" s="1">
        <v>7.2499999999999995E-2</v>
      </c>
    </row>
    <row r="4" spans="1:17">
      <c r="A4" s="5" t="s">
        <v>24</v>
      </c>
      <c r="B4">
        <f>B2*12</f>
        <v>36</v>
      </c>
      <c r="C4">
        <f>C2*12</f>
        <v>36</v>
      </c>
      <c r="D4">
        <f>D2*12</f>
        <v>36</v>
      </c>
      <c r="E4">
        <f>E2*12</f>
        <v>36</v>
      </c>
      <c r="F4">
        <f>F2*12</f>
        <v>84</v>
      </c>
      <c r="J4">
        <f>J2*12</f>
        <v>84</v>
      </c>
      <c r="K4">
        <f>K2*12</f>
        <v>84</v>
      </c>
    </row>
    <row r="5" spans="1:17">
      <c r="A5" s="5" t="s">
        <v>26</v>
      </c>
      <c r="B5" s="3">
        <f>B3/12</f>
        <v>4.7916666666666672E-3</v>
      </c>
      <c r="C5" s="3">
        <f>C3/12</f>
        <v>4.7916666666666672E-3</v>
      </c>
      <c r="D5" s="3">
        <f>D3/12</f>
        <v>4.7916666666666672E-3</v>
      </c>
      <c r="E5" s="3">
        <f>E3/12</f>
        <v>4.7916666666666672E-3</v>
      </c>
      <c r="F5" s="3">
        <f>F3/12</f>
        <v>6.0416666666666665E-3</v>
      </c>
      <c r="J5" s="3">
        <f>J3/12</f>
        <v>6.0416666666666665E-3</v>
      </c>
      <c r="K5" s="3">
        <f>K3/12</f>
        <v>6.0416666666666665E-3</v>
      </c>
    </row>
    <row r="6" spans="1:17">
      <c r="A6" s="5" t="s">
        <v>55</v>
      </c>
      <c r="B6" s="2">
        <f>PMT(B3/12,B4,-B1,0,0)</f>
        <v>5758.6702579981111</v>
      </c>
      <c r="C6" s="2">
        <f>PMT(C3/12,C4,-C1,0,0)</f>
        <v>4319.0026934985826</v>
      </c>
      <c r="D6" s="2">
        <f>PMT(D3/12,D4,-D1,0,0)</f>
        <v>2879.3351289990555</v>
      </c>
      <c r="E6" s="2">
        <f>PMT(E3/12,E4,-E1,0,0)</f>
        <v>4243.2307164196609</v>
      </c>
      <c r="F6" s="2">
        <f>PMT(F3/12,F4,-F1,0,0)</f>
        <v>10779.958193886847</v>
      </c>
      <c r="H6" s="2">
        <f>F6+B6</f>
        <v>16538.628451884957</v>
      </c>
      <c r="J6" s="2">
        <f>PMT(J3/12,J4,-J1,0,0)</f>
        <v>10779.958193886847</v>
      </c>
      <c r="K6" s="2">
        <f>PMT(K3/12,K4,-K1,0,0)</f>
        <v>10779.958193886847</v>
      </c>
    </row>
    <row r="7" spans="1:17">
      <c r="A7" s="5" t="s">
        <v>49</v>
      </c>
      <c r="B7" s="2">
        <f>B6*12</f>
        <v>69104.043095977337</v>
      </c>
      <c r="C7" s="2">
        <f>C6*12</f>
        <v>51828.032321982988</v>
      </c>
      <c r="D7" s="2">
        <f>D6*12</f>
        <v>34552.021547988668</v>
      </c>
      <c r="E7" s="2">
        <f>E6*12</f>
        <v>50918.768597035931</v>
      </c>
      <c r="F7" s="2">
        <f>F6*12</f>
        <v>129359.49832664216</v>
      </c>
      <c r="H7" s="2">
        <f>H6*12</f>
        <v>198463.54142261948</v>
      </c>
      <c r="J7" s="2">
        <f>J6*12</f>
        <v>129359.49832664216</v>
      </c>
      <c r="K7" s="2">
        <f>K6*12</f>
        <v>129359.49832664216</v>
      </c>
    </row>
    <row r="8" spans="1:17">
      <c r="A8" s="20" t="s">
        <v>36</v>
      </c>
      <c r="B8" s="8">
        <f>B6*B4</f>
        <v>207312.12928793201</v>
      </c>
      <c r="C8" s="8">
        <f>C6*C4</f>
        <v>155484.09696594896</v>
      </c>
      <c r="D8" s="8">
        <f>D6*D4</f>
        <v>103656.064643966</v>
      </c>
      <c r="E8" s="8">
        <f>E6*E4</f>
        <v>152756.30579110779</v>
      </c>
      <c r="F8" s="8">
        <f>F6*F4</f>
        <v>905516.48828649509</v>
      </c>
      <c r="J8" s="8">
        <f>J6*J4</f>
        <v>905516.48828649509</v>
      </c>
      <c r="K8" s="8">
        <f>K6*K4</f>
        <v>905516.48828649509</v>
      </c>
    </row>
    <row r="9" spans="1:17">
      <c r="A9" s="20" t="s">
        <v>37</v>
      </c>
      <c r="B9" s="8">
        <f>B8-B1</f>
        <v>17312.12928793201</v>
      </c>
      <c r="C9" s="8">
        <f>C8-C1</f>
        <v>12984.096965948964</v>
      </c>
      <c r="D9" s="8">
        <f>D8-D1</f>
        <v>8656.064643966005</v>
      </c>
      <c r="E9" s="8">
        <f>E8-E1</f>
        <v>12756.305791107792</v>
      </c>
      <c r="F9" s="8">
        <f>F8-F1</f>
        <v>197016.48828649509</v>
      </c>
      <c r="J9" s="8">
        <f>J8-J1</f>
        <v>197016.48828649509</v>
      </c>
      <c r="K9" s="8">
        <f>K8-K1</f>
        <v>197016.48828649509</v>
      </c>
    </row>
    <row r="10" spans="1:17">
      <c r="A10" s="5" t="s">
        <v>29</v>
      </c>
      <c r="B10" s="6">
        <f>DATE(2024,8,1)</f>
        <v>45505</v>
      </c>
      <c r="C10" s="6">
        <f>DATE(2024,8,1)</f>
        <v>45505</v>
      </c>
      <c r="D10" s="6">
        <f>DATE(2024,8,1)</f>
        <v>45505</v>
      </c>
      <c r="E10" s="6">
        <f>DATE(2024,8,1)</f>
        <v>45505</v>
      </c>
      <c r="F10" s="6">
        <f>DATE(2024,8,1)</f>
        <v>45505</v>
      </c>
      <c r="J10" s="6"/>
      <c r="K10" s="6"/>
    </row>
    <row r="12" spans="1:17">
      <c r="A12" s="5" t="s">
        <v>56</v>
      </c>
      <c r="B12" s="4">
        <f>190000-B1</f>
        <v>0</v>
      </c>
      <c r="C12" s="4">
        <f>190000-C1</f>
        <v>47500</v>
      </c>
      <c r="D12" s="4">
        <f>190000-D1</f>
        <v>95000</v>
      </c>
    </row>
    <row r="13" spans="1:17">
      <c r="C13" s="4">
        <f>(950000+140000)*15%</f>
        <v>163500</v>
      </c>
      <c r="D13" s="4">
        <f>(950000+140000)*15%</f>
        <v>163500</v>
      </c>
    </row>
    <row r="14" spans="1:17">
      <c r="C14" s="4">
        <f>C12+C13</f>
        <v>211000</v>
      </c>
      <c r="D14" s="4">
        <f>D12+D13</f>
        <v>258500</v>
      </c>
    </row>
    <row r="15" spans="1:17">
      <c r="J15" t="s">
        <v>57</v>
      </c>
      <c r="K15" t="s">
        <v>57</v>
      </c>
      <c r="L15" t="s">
        <v>58</v>
      </c>
      <c r="O15" t="s">
        <v>59</v>
      </c>
      <c r="P15" t="s">
        <v>60</v>
      </c>
      <c r="Q15" t="s">
        <v>58</v>
      </c>
    </row>
    <row r="16" spans="1:17">
      <c r="B16" t="s">
        <v>61</v>
      </c>
      <c r="C16" t="s">
        <v>62</v>
      </c>
      <c r="D16" t="s">
        <v>63</v>
      </c>
      <c r="J16" s="4">
        <v>950000</v>
      </c>
      <c r="K16" s="4">
        <v>140000</v>
      </c>
      <c r="O16" s="4">
        <v>950000</v>
      </c>
      <c r="P16" s="4">
        <v>140000</v>
      </c>
    </row>
    <row r="17" spans="2:17">
      <c r="B17" s="4">
        <f>C17</f>
        <v>163500</v>
      </c>
      <c r="C17" s="4">
        <f>D17</f>
        <v>163500</v>
      </c>
      <c r="D17" s="4">
        <f>E17</f>
        <v>163500</v>
      </c>
      <c r="E17" s="4">
        <f>F17</f>
        <v>163500</v>
      </c>
      <c r="F17" s="4">
        <f>(950000+140000)*G17</f>
        <v>163500</v>
      </c>
      <c r="G17" s="16">
        <v>0.15</v>
      </c>
      <c r="I17" s="16">
        <v>0.65</v>
      </c>
      <c r="J17" s="4">
        <f>$J$16*I17</f>
        <v>617500</v>
      </c>
      <c r="K17" s="4">
        <f>K$16*I17</f>
        <v>91000</v>
      </c>
      <c r="L17" s="4">
        <f>SUM(J17:K17)</f>
        <v>708500</v>
      </c>
      <c r="N17" s="16">
        <v>0.75</v>
      </c>
      <c r="O17" s="4">
        <f>$J$16*N17</f>
        <v>712500</v>
      </c>
      <c r="P17" s="4">
        <f>P$16*N17</f>
        <v>105000</v>
      </c>
      <c r="Q17" s="4">
        <f>SUM(O17:P17)</f>
        <v>817500</v>
      </c>
    </row>
    <row r="18" spans="2:17">
      <c r="F18" s="4">
        <f>(950000+140000)*G18</f>
        <v>218000</v>
      </c>
      <c r="G18" s="16">
        <v>0.2</v>
      </c>
      <c r="I18" s="16">
        <v>0.15</v>
      </c>
      <c r="J18" s="23">
        <f>$J$16*I18</f>
        <v>142500</v>
      </c>
      <c r="K18" s="24">
        <f>K16-K17</f>
        <v>49000</v>
      </c>
      <c r="L18" s="24">
        <f>J18+K18</f>
        <v>191500</v>
      </c>
      <c r="N18" s="16">
        <v>0.25</v>
      </c>
      <c r="O18" s="23">
        <f>$J$16*N18</f>
        <v>237500</v>
      </c>
      <c r="P18" s="24">
        <f>P16-P17</f>
        <v>35000</v>
      </c>
      <c r="Q18" s="24">
        <f>O18+P18</f>
        <v>272500</v>
      </c>
    </row>
    <row r="19" spans="2:17">
      <c r="B19" s="4">
        <f>C19</f>
        <v>617500</v>
      </c>
      <c r="C19" s="4">
        <f>(950000)*G19</f>
        <v>617500</v>
      </c>
      <c r="D19" s="4">
        <f>F19</f>
        <v>708500</v>
      </c>
      <c r="F19" s="4">
        <f>(950000+140000)*G19</f>
        <v>708500</v>
      </c>
      <c r="G19" s="16">
        <f>100%-SUM(G17:G18)</f>
        <v>0.65</v>
      </c>
      <c r="I19" s="16">
        <v>0.2</v>
      </c>
      <c r="J19" s="4">
        <f>$J$16*I19</f>
        <v>190000</v>
      </c>
      <c r="K19" s="4"/>
      <c r="L19" s="4">
        <f>B7</f>
        <v>69104.043095977337</v>
      </c>
      <c r="N19" s="16">
        <v>0</v>
      </c>
      <c r="O19" s="4">
        <f>$J$16*N19</f>
        <v>0</v>
      </c>
      <c r="P19" s="4"/>
      <c r="Q19" s="4"/>
    </row>
    <row r="20" spans="2:17">
      <c r="B20" s="4">
        <v>0</v>
      </c>
      <c r="C20" s="4">
        <f>140000*50%</f>
        <v>70000</v>
      </c>
      <c r="D20" s="4">
        <f>E20</f>
        <v>0</v>
      </c>
      <c r="E20" s="4">
        <f>F20</f>
        <v>0</v>
      </c>
      <c r="F20" s="4"/>
      <c r="J20" s="4"/>
      <c r="K20" s="4"/>
      <c r="L20" s="4"/>
      <c r="O20" s="4"/>
      <c r="P20" s="4"/>
    </row>
    <row r="21" spans="2:17">
      <c r="J21" t="s">
        <v>57</v>
      </c>
      <c r="K21" t="s">
        <v>57</v>
      </c>
      <c r="O21" t="s">
        <v>57</v>
      </c>
      <c r="P21" t="s">
        <v>57</v>
      </c>
    </row>
    <row r="22" spans="2:17">
      <c r="B22" s="4">
        <f>SUM(B17:B20)</f>
        <v>781000</v>
      </c>
      <c r="C22" s="4">
        <f>SUM(C17:C20)</f>
        <v>851000</v>
      </c>
      <c r="D22" s="18">
        <f>SUM(D17:D20)</f>
        <v>872000</v>
      </c>
      <c r="E22" s="4">
        <f>SUM(E17:E20)</f>
        <v>163500</v>
      </c>
      <c r="F22" s="4">
        <f>SUM(F17:F20)</f>
        <v>1090000</v>
      </c>
      <c r="J22" s="4">
        <f>J17+J18</f>
        <v>760000</v>
      </c>
      <c r="K22" s="4">
        <f>K17+K18</f>
        <v>140000</v>
      </c>
      <c r="O22" s="4">
        <f>O17+O18</f>
        <v>950000</v>
      </c>
      <c r="P22" s="4">
        <f>P17+P18</f>
        <v>140000</v>
      </c>
    </row>
    <row r="23" spans="2:17">
      <c r="B23" s="21"/>
      <c r="K23" s="4">
        <f>J22+K22</f>
        <v>900000</v>
      </c>
      <c r="L23" s="4"/>
      <c r="P23" s="4">
        <f>O22+P22</f>
        <v>1090000</v>
      </c>
      <c r="Q23" s="4"/>
    </row>
    <row r="24" spans="2:17">
      <c r="K24" s="4">
        <f>K23+J19</f>
        <v>1090000</v>
      </c>
      <c r="P24" s="4">
        <f>P23+O19</f>
        <v>1090000</v>
      </c>
    </row>
    <row r="25" spans="2:17">
      <c r="B25" t="s">
        <v>61</v>
      </c>
      <c r="C25" t="s">
        <v>62</v>
      </c>
      <c r="D25" t="s">
        <v>63</v>
      </c>
    </row>
    <row r="26" spans="2:17">
      <c r="B26" s="4">
        <f>C26</f>
        <v>218000</v>
      </c>
      <c r="C26" s="4">
        <f>D26</f>
        <v>218000</v>
      </c>
      <c r="D26" s="4">
        <f>E26</f>
        <v>218000</v>
      </c>
      <c r="E26" s="4">
        <f>F26</f>
        <v>218000</v>
      </c>
      <c r="F26" s="4">
        <f>(950000+140000)*G26</f>
        <v>218000</v>
      </c>
      <c r="G26" s="16">
        <v>0.2</v>
      </c>
      <c r="J26" s="4">
        <f>(950000+140000)*K26</f>
        <v>0</v>
      </c>
      <c r="K26" s="4">
        <f>(950000+140000)*L26</f>
        <v>0</v>
      </c>
      <c r="O26" t="s">
        <v>57</v>
      </c>
      <c r="P26" t="s">
        <v>57</v>
      </c>
      <c r="Q26" t="s">
        <v>58</v>
      </c>
    </row>
    <row r="27" spans="2:17">
      <c r="F27" s="4">
        <f>(950000+140000)*G27</f>
        <v>163500</v>
      </c>
      <c r="G27" s="16">
        <v>0.15</v>
      </c>
      <c r="J27" s="4">
        <f>(950000+140000)*K27</f>
        <v>0</v>
      </c>
      <c r="K27" s="4">
        <f>(950000+140000)*L27</f>
        <v>0</v>
      </c>
      <c r="O27" s="4">
        <v>950000</v>
      </c>
      <c r="P27" s="4">
        <v>140000</v>
      </c>
    </row>
    <row r="28" spans="2:17">
      <c r="B28" s="4">
        <f>C28</f>
        <v>617500</v>
      </c>
      <c r="C28" s="4">
        <f>(950000)*G28</f>
        <v>617500</v>
      </c>
      <c r="D28" s="4">
        <f>F28</f>
        <v>708500</v>
      </c>
      <c r="F28" s="4">
        <f>(950000+140000)*G28</f>
        <v>708500</v>
      </c>
      <c r="G28" s="16">
        <f>100%-SUM(G26:G27)</f>
        <v>0.65</v>
      </c>
      <c r="J28" s="4">
        <f>(950000+140000)*K28</f>
        <v>0</v>
      </c>
      <c r="K28" s="4">
        <f>(950000+140000)*L28</f>
        <v>0</v>
      </c>
      <c r="N28" s="16">
        <v>0.7</v>
      </c>
      <c r="O28" s="4">
        <f>$J$16*N28</f>
        <v>665000</v>
      </c>
      <c r="P28" s="4">
        <f>P$16*N28</f>
        <v>98000</v>
      </c>
      <c r="Q28" s="4">
        <f>SUM(O28:P28)</f>
        <v>763000</v>
      </c>
    </row>
    <row r="29" spans="2:17">
      <c r="B29" s="4">
        <v>0</v>
      </c>
      <c r="C29" s="4">
        <f>140000*50%</f>
        <v>70000</v>
      </c>
      <c r="D29" s="4">
        <f>E29</f>
        <v>0</v>
      </c>
      <c r="E29" s="4">
        <f>F29</f>
        <v>0</v>
      </c>
      <c r="F29" s="4"/>
      <c r="J29" s="4"/>
      <c r="K29" s="4"/>
      <c r="N29" s="16">
        <v>0.3</v>
      </c>
      <c r="O29" s="23">
        <f>$J$16*N29</f>
        <v>285000</v>
      </c>
      <c r="P29" s="24">
        <f>P27-P28</f>
        <v>42000</v>
      </c>
      <c r="Q29" s="24">
        <f>O29+P29</f>
        <v>327000</v>
      </c>
    </row>
    <row r="30" spans="2:17">
      <c r="N30" s="16">
        <v>0</v>
      </c>
      <c r="O30" s="4">
        <f>$J$16*N30</f>
        <v>0</v>
      </c>
      <c r="P30" s="4"/>
      <c r="Q30" s="4"/>
    </row>
    <row r="31" spans="2:17">
      <c r="B31" s="18">
        <f>SUM(B26:B29)</f>
        <v>835500</v>
      </c>
      <c r="C31" s="4">
        <f>SUM(C26:C29)</f>
        <v>905500</v>
      </c>
      <c r="D31" s="22">
        <f>SUM(D26:D29)</f>
        <v>926500</v>
      </c>
      <c r="E31" s="4">
        <f>SUM(E26:E29)</f>
        <v>218000</v>
      </c>
      <c r="F31" s="4">
        <f>SUM(F26:F29)</f>
        <v>1090000</v>
      </c>
      <c r="J31" s="4">
        <f>SUM(J26:J29)</f>
        <v>0</v>
      </c>
      <c r="K31" s="4">
        <f>SUM(K26:K29)</f>
        <v>0</v>
      </c>
      <c r="O31" s="4"/>
      <c r="P31" s="4"/>
    </row>
    <row r="32" spans="2:17">
      <c r="O32" t="s">
        <v>57</v>
      </c>
      <c r="P32" t="s">
        <v>57</v>
      </c>
    </row>
    <row r="33" spans="15:17">
      <c r="O33" s="4">
        <f>O28+O29</f>
        <v>950000</v>
      </c>
      <c r="P33" s="4">
        <f>P28+P29</f>
        <v>140000</v>
      </c>
    </row>
    <row r="34" spans="15:17">
      <c r="P34" s="4">
        <f>O33+P33</f>
        <v>1090000</v>
      </c>
      <c r="Q34" s="4"/>
    </row>
    <row r="35" spans="15:17">
      <c r="P35" s="4">
        <f>P34+O30</f>
        <v>1090000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99A08-9365-4033-8990-243E079FDAE0}">
  <dimension ref="A1:N44"/>
  <sheetViews>
    <sheetView workbookViewId="0">
      <selection activeCell="C4" sqref="C4:D4"/>
    </sheetView>
  </sheetViews>
  <sheetFormatPr defaultRowHeight="15"/>
  <cols>
    <col min="1" max="1" width="13" customWidth="1"/>
    <col min="2" max="2" width="12.85546875" bestFit="1" customWidth="1"/>
    <col min="3" max="3" width="20" customWidth="1"/>
    <col min="4" max="5" width="11.5703125" customWidth="1"/>
    <col min="6" max="6" width="11.28515625" customWidth="1"/>
    <col min="7" max="9" width="16.7109375" customWidth="1"/>
    <col min="10" max="11" width="17.7109375" customWidth="1"/>
    <col min="12" max="12" width="4.42578125" customWidth="1"/>
    <col min="13" max="13" width="18.28515625" customWidth="1"/>
    <col min="14" max="14" width="16.140625" customWidth="1"/>
  </cols>
  <sheetData>
    <row r="1" spans="1:14">
      <c r="A1" s="5" t="s">
        <v>23</v>
      </c>
      <c r="B1" s="4">
        <f>(190000+140000)</f>
        <v>330000</v>
      </c>
      <c r="C1" s="5" t="s">
        <v>24</v>
      </c>
      <c r="D1">
        <f>B2</f>
        <v>36</v>
      </c>
      <c r="F1" s="15" t="s">
        <v>36</v>
      </c>
      <c r="G1" s="8">
        <f>SUM(H7:H42)</f>
        <v>360068.4350790396</v>
      </c>
    </row>
    <row r="2" spans="1:14">
      <c r="A2" s="5" t="s">
        <v>25</v>
      </c>
      <c r="B2">
        <v>36</v>
      </c>
      <c r="C2" s="5" t="s">
        <v>26</v>
      </c>
      <c r="D2" s="3">
        <f>B3/12</f>
        <v>4.7916666666666672E-3</v>
      </c>
      <c r="E2" s="3"/>
      <c r="F2" s="15" t="s">
        <v>37</v>
      </c>
      <c r="G2" s="8">
        <f>G1-B1</f>
        <v>30068.435079039598</v>
      </c>
    </row>
    <row r="3" spans="1:14">
      <c r="A3" s="5" t="s">
        <v>27</v>
      </c>
      <c r="B3" s="1">
        <f>4.75%+1%</f>
        <v>5.7500000000000002E-2</v>
      </c>
      <c r="C3" s="5" t="s">
        <v>28</v>
      </c>
      <c r="D3" s="2">
        <f>PMT(B3/12,D1,-B1,0,0)</f>
        <v>10001.900974417771</v>
      </c>
      <c r="E3" s="2"/>
      <c r="F3" s="2"/>
    </row>
    <row r="4" spans="1:14">
      <c r="A4" s="5" t="s">
        <v>29</v>
      </c>
      <c r="B4" s="6">
        <f>DATE(2024,8,1)</f>
        <v>45505</v>
      </c>
      <c r="C4" s="5" t="s">
        <v>49</v>
      </c>
      <c r="D4" s="2">
        <f>D3*12</f>
        <v>120022.81169301325</v>
      </c>
      <c r="J4" s="5" t="s">
        <v>50</v>
      </c>
      <c r="M4" s="5" t="s">
        <v>51</v>
      </c>
    </row>
    <row r="6" spans="1:14">
      <c r="A6" s="14" t="s">
        <v>30</v>
      </c>
      <c r="B6" s="14" t="s">
        <v>31</v>
      </c>
      <c r="C6" s="14" t="s">
        <v>32</v>
      </c>
      <c r="D6" s="14" t="s">
        <v>28</v>
      </c>
      <c r="E6" s="14" t="s">
        <v>33</v>
      </c>
      <c r="F6" s="14" t="s">
        <v>33</v>
      </c>
      <c r="G6" s="14" t="s">
        <v>23</v>
      </c>
      <c r="H6" s="14" t="s">
        <v>34</v>
      </c>
      <c r="I6" s="14" t="s">
        <v>35</v>
      </c>
      <c r="J6" s="14" t="s">
        <v>52</v>
      </c>
      <c r="K6" s="14" t="s">
        <v>35</v>
      </c>
      <c r="L6" s="14"/>
      <c r="M6" s="14" t="s">
        <v>52</v>
      </c>
      <c r="N6" s="14" t="s">
        <v>35</v>
      </c>
    </row>
    <row r="7" spans="1:14">
      <c r="A7">
        <v>1</v>
      </c>
      <c r="B7" s="6">
        <f>B4+(365.25/12)</f>
        <v>45535.4375</v>
      </c>
      <c r="C7" s="8">
        <f>B1</f>
        <v>330000</v>
      </c>
      <c r="D7" s="7">
        <f>$D$3</f>
        <v>10001.900974417771</v>
      </c>
      <c r="E7" s="9">
        <f>$B$3</f>
        <v>5.7500000000000002E-2</v>
      </c>
      <c r="F7" s="8">
        <f>C7*E7/12</f>
        <v>1581.25</v>
      </c>
      <c r="G7" s="8">
        <f>D7-F7</f>
        <v>8420.6509744177711</v>
      </c>
      <c r="H7" s="8">
        <f>F7+G7</f>
        <v>10001.900974417771</v>
      </c>
      <c r="I7" s="8">
        <f>C7-G7</f>
        <v>321579.34902558225</v>
      </c>
      <c r="J7" s="8">
        <f>F7</f>
        <v>1581.25</v>
      </c>
      <c r="K7" s="8">
        <f>C7-F7</f>
        <v>328418.75</v>
      </c>
      <c r="L7" s="8"/>
      <c r="M7" s="8">
        <f>F7</f>
        <v>1581.25</v>
      </c>
      <c r="N7" s="8">
        <f>C7-F7</f>
        <v>328418.75</v>
      </c>
    </row>
    <row r="8" spans="1:14">
      <c r="A8">
        <v>2</v>
      </c>
      <c r="B8" s="6">
        <f>B7+(365.25/12)</f>
        <v>45565.875</v>
      </c>
      <c r="C8" s="8">
        <f>I7</f>
        <v>321579.34902558225</v>
      </c>
      <c r="D8" s="7">
        <f>$D$3</f>
        <v>10001.900974417771</v>
      </c>
      <c r="E8" s="9">
        <f>E7</f>
        <v>5.7500000000000002E-2</v>
      </c>
      <c r="F8" s="8">
        <f t="shared" ref="F8:F42" si="0">C8*E8/12</f>
        <v>1540.9010474142485</v>
      </c>
      <c r="G8" s="8">
        <f>D8-F8</f>
        <v>8460.9999270035223</v>
      </c>
      <c r="H8" s="8">
        <f>F8+G8</f>
        <v>10001.900974417771</v>
      </c>
      <c r="I8" s="8">
        <f>C8-G8</f>
        <v>313118.34909857874</v>
      </c>
      <c r="J8" s="8">
        <f t="shared" ref="J8:J30" si="1">F8</f>
        <v>1540.9010474142485</v>
      </c>
      <c r="K8" s="8">
        <f>K7-J8</f>
        <v>326877.84895258577</v>
      </c>
      <c r="L8" s="8"/>
      <c r="M8" s="8">
        <f t="shared" ref="M8:M18" si="2">F8</f>
        <v>1540.9010474142485</v>
      </c>
      <c r="N8" s="8">
        <f>N7-M8</f>
        <v>326877.84895258577</v>
      </c>
    </row>
    <row r="9" spans="1:14">
      <c r="A9">
        <v>3</v>
      </c>
      <c r="B9" s="6">
        <f t="shared" ref="B9:B42" si="3">B8+(365.25/12)</f>
        <v>45596.3125</v>
      </c>
      <c r="C9" s="8">
        <f t="shared" ref="C9:C42" si="4">I8</f>
        <v>313118.34909857874</v>
      </c>
      <c r="D9" s="7">
        <f t="shared" ref="D9:D42" si="5">$D$3</f>
        <v>10001.900974417771</v>
      </c>
      <c r="E9" s="9">
        <f t="shared" ref="E9:E42" si="6">E8</f>
        <v>5.7500000000000002E-2</v>
      </c>
      <c r="F9" s="8">
        <f t="shared" si="0"/>
        <v>1500.3587560973565</v>
      </c>
      <c r="G9" s="8">
        <f>D9-F9</f>
        <v>8501.5422183204137</v>
      </c>
      <c r="H9" s="8">
        <f t="shared" ref="H9:H42" si="7">F9+G9</f>
        <v>10001.900974417771</v>
      </c>
      <c r="I9" s="8">
        <f>C9-G9</f>
        <v>304616.80688025831</v>
      </c>
      <c r="J9" s="8">
        <f t="shared" si="1"/>
        <v>1500.3587560973565</v>
      </c>
      <c r="K9" s="8">
        <f t="shared" ref="K9:N42" si="8">K8-J9</f>
        <v>325377.49019648839</v>
      </c>
      <c r="L9" s="8"/>
      <c r="M9" s="8">
        <f t="shared" si="2"/>
        <v>1500.3587560973565</v>
      </c>
      <c r="N9" s="8">
        <f t="shared" si="8"/>
        <v>325377.49019648839</v>
      </c>
    </row>
    <row r="10" spans="1:14">
      <c r="A10">
        <v>4</v>
      </c>
      <c r="B10" s="6">
        <f t="shared" si="3"/>
        <v>45626.75</v>
      </c>
      <c r="C10" s="8">
        <f t="shared" si="4"/>
        <v>304616.80688025831</v>
      </c>
      <c r="D10" s="7">
        <f t="shared" si="5"/>
        <v>10001.900974417771</v>
      </c>
      <c r="E10" s="9">
        <f t="shared" si="6"/>
        <v>5.7500000000000002E-2</v>
      </c>
      <c r="F10" s="8">
        <f t="shared" si="0"/>
        <v>1459.6221996345712</v>
      </c>
      <c r="G10" s="8">
        <f>D10-F10</f>
        <v>8542.2787747832008</v>
      </c>
      <c r="H10" s="8">
        <f t="shared" si="7"/>
        <v>10001.900974417771</v>
      </c>
      <c r="I10" s="8">
        <f>C10-G10</f>
        <v>296074.52810547512</v>
      </c>
      <c r="J10" s="8">
        <f t="shared" si="1"/>
        <v>1459.6221996345712</v>
      </c>
      <c r="K10" s="8">
        <f t="shared" si="8"/>
        <v>323917.86799685383</v>
      </c>
      <c r="L10" s="8"/>
      <c r="M10" s="8">
        <f t="shared" si="2"/>
        <v>1459.6221996345712</v>
      </c>
      <c r="N10" s="8">
        <f t="shared" si="8"/>
        <v>323917.86799685383</v>
      </c>
    </row>
    <row r="11" spans="1:14">
      <c r="A11">
        <v>5</v>
      </c>
      <c r="B11" s="6">
        <f t="shared" si="3"/>
        <v>45657.1875</v>
      </c>
      <c r="C11" s="8">
        <f t="shared" si="4"/>
        <v>296074.52810547512</v>
      </c>
      <c r="D11" s="7">
        <f t="shared" si="5"/>
        <v>10001.900974417771</v>
      </c>
      <c r="E11" s="9">
        <f t="shared" si="6"/>
        <v>5.7500000000000002E-2</v>
      </c>
      <c r="F11" s="8">
        <f t="shared" si="0"/>
        <v>1418.6904471720684</v>
      </c>
      <c r="G11" s="8">
        <f>D11-F11</f>
        <v>8583.2105272457029</v>
      </c>
      <c r="H11" s="8">
        <f t="shared" si="7"/>
        <v>10001.900974417771</v>
      </c>
      <c r="I11" s="8">
        <f>C11-G11</f>
        <v>287491.31757822941</v>
      </c>
      <c r="J11" s="8">
        <f t="shared" si="1"/>
        <v>1418.6904471720684</v>
      </c>
      <c r="K11" s="8">
        <f t="shared" si="8"/>
        <v>322499.17754968174</v>
      </c>
      <c r="L11" s="8"/>
      <c r="M11" s="8">
        <f t="shared" si="2"/>
        <v>1418.6904471720684</v>
      </c>
      <c r="N11" s="8">
        <f t="shared" si="8"/>
        <v>322499.17754968174</v>
      </c>
    </row>
    <row r="12" spans="1:14">
      <c r="A12">
        <v>6</v>
      </c>
      <c r="B12" s="6">
        <f t="shared" si="3"/>
        <v>45687.625</v>
      </c>
      <c r="C12" s="8">
        <f t="shared" si="4"/>
        <v>287491.31757822941</v>
      </c>
      <c r="D12" s="7">
        <f t="shared" si="5"/>
        <v>10001.900974417771</v>
      </c>
      <c r="E12" s="9">
        <f t="shared" si="6"/>
        <v>5.7500000000000002E-2</v>
      </c>
      <c r="F12" s="8">
        <f t="shared" si="0"/>
        <v>1377.5625633956827</v>
      </c>
      <c r="G12" s="8">
        <f>D12-F12</f>
        <v>8624.3384110220886</v>
      </c>
      <c r="H12" s="8">
        <f t="shared" si="7"/>
        <v>10001.900974417771</v>
      </c>
      <c r="I12" s="8">
        <f>C12-G12</f>
        <v>278866.97916720732</v>
      </c>
      <c r="J12" s="8">
        <f t="shared" si="1"/>
        <v>1377.5625633956827</v>
      </c>
      <c r="K12" s="8">
        <f t="shared" si="8"/>
        <v>321121.61498628603</v>
      </c>
      <c r="L12" s="8"/>
      <c r="M12" s="8">
        <f t="shared" si="2"/>
        <v>1377.5625633956827</v>
      </c>
      <c r="N12" s="8">
        <f t="shared" si="8"/>
        <v>321121.61498628603</v>
      </c>
    </row>
    <row r="13" spans="1:14">
      <c r="A13">
        <v>7</v>
      </c>
      <c r="B13" s="6">
        <f t="shared" si="3"/>
        <v>45718.0625</v>
      </c>
      <c r="C13" s="8">
        <f t="shared" si="4"/>
        <v>278866.97916720732</v>
      </c>
      <c r="D13" s="7">
        <f t="shared" si="5"/>
        <v>10001.900974417771</v>
      </c>
      <c r="E13" s="9">
        <f t="shared" si="6"/>
        <v>5.7500000000000002E-2</v>
      </c>
      <c r="F13" s="8">
        <f t="shared" si="0"/>
        <v>1336.237608509535</v>
      </c>
      <c r="G13" s="8">
        <f>D13-F13</f>
        <v>8665.6633659082363</v>
      </c>
      <c r="H13" s="8">
        <f t="shared" si="7"/>
        <v>10001.900974417771</v>
      </c>
      <c r="I13" s="8">
        <f>C13-G13</f>
        <v>270201.31580129906</v>
      </c>
      <c r="J13" s="8">
        <f t="shared" si="1"/>
        <v>1336.237608509535</v>
      </c>
      <c r="K13" s="8">
        <f t="shared" si="8"/>
        <v>319785.37737777649</v>
      </c>
      <c r="L13" s="8"/>
      <c r="M13" s="8">
        <f t="shared" si="2"/>
        <v>1336.237608509535</v>
      </c>
      <c r="N13" s="8">
        <f t="shared" si="8"/>
        <v>319785.37737777649</v>
      </c>
    </row>
    <row r="14" spans="1:14">
      <c r="A14">
        <v>8</v>
      </c>
      <c r="B14" s="6">
        <f t="shared" si="3"/>
        <v>45748.5</v>
      </c>
      <c r="C14" s="8">
        <f t="shared" si="4"/>
        <v>270201.31580129906</v>
      </c>
      <c r="D14" s="7">
        <f t="shared" si="5"/>
        <v>10001.900974417771</v>
      </c>
      <c r="E14" s="9">
        <f t="shared" si="6"/>
        <v>5.7500000000000002E-2</v>
      </c>
      <c r="F14" s="8">
        <f t="shared" si="0"/>
        <v>1294.7146382145581</v>
      </c>
      <c r="G14" s="8">
        <f>D14-F14</f>
        <v>8707.1863362032127</v>
      </c>
      <c r="H14" s="8">
        <f t="shared" si="7"/>
        <v>10001.900974417771</v>
      </c>
      <c r="I14" s="8">
        <f>C14-G14</f>
        <v>261494.12946509584</v>
      </c>
      <c r="J14" s="8">
        <f t="shared" si="1"/>
        <v>1294.7146382145581</v>
      </c>
      <c r="K14" s="8">
        <f t="shared" si="8"/>
        <v>318490.66273956193</v>
      </c>
      <c r="L14" s="8"/>
      <c r="M14" s="8">
        <f t="shared" si="2"/>
        <v>1294.7146382145581</v>
      </c>
      <c r="N14" s="8">
        <f t="shared" si="8"/>
        <v>318490.66273956193</v>
      </c>
    </row>
    <row r="15" spans="1:14">
      <c r="A15">
        <v>9</v>
      </c>
      <c r="B15" s="6">
        <f t="shared" si="3"/>
        <v>45778.9375</v>
      </c>
      <c r="C15" s="8">
        <f t="shared" si="4"/>
        <v>261494.12946509584</v>
      </c>
      <c r="D15" s="7">
        <f t="shared" si="5"/>
        <v>10001.900974417771</v>
      </c>
      <c r="E15" s="9">
        <f t="shared" si="6"/>
        <v>5.7500000000000002E-2</v>
      </c>
      <c r="F15" s="8">
        <f t="shared" si="0"/>
        <v>1252.9927036869176</v>
      </c>
      <c r="G15" s="8">
        <f>D15-F15</f>
        <v>8748.9082707308535</v>
      </c>
      <c r="H15" s="8">
        <f t="shared" si="7"/>
        <v>10001.900974417771</v>
      </c>
      <c r="I15" s="8">
        <f>C15-G15</f>
        <v>252745.221194365</v>
      </c>
      <c r="J15" s="8">
        <f t="shared" si="1"/>
        <v>1252.9927036869176</v>
      </c>
      <c r="K15" s="8">
        <f t="shared" si="8"/>
        <v>317237.67003587499</v>
      </c>
      <c r="L15" s="8"/>
      <c r="M15" s="8">
        <f t="shared" si="2"/>
        <v>1252.9927036869176</v>
      </c>
      <c r="N15" s="8">
        <f t="shared" si="8"/>
        <v>317237.67003587499</v>
      </c>
    </row>
    <row r="16" spans="1:14">
      <c r="A16">
        <v>10</v>
      </c>
      <c r="B16" s="6">
        <f t="shared" si="3"/>
        <v>45809.375</v>
      </c>
      <c r="C16" s="8">
        <f t="shared" si="4"/>
        <v>252745.221194365</v>
      </c>
      <c r="D16" s="7">
        <f t="shared" si="5"/>
        <v>10001.900974417771</v>
      </c>
      <c r="E16" s="9">
        <f t="shared" si="6"/>
        <v>5.7500000000000002E-2</v>
      </c>
      <c r="F16" s="8">
        <f t="shared" si="0"/>
        <v>1211.0708515563324</v>
      </c>
      <c r="G16" s="8">
        <f>D16-F16</f>
        <v>8790.8301228614382</v>
      </c>
      <c r="H16" s="8">
        <f t="shared" si="7"/>
        <v>10001.900974417771</v>
      </c>
      <c r="I16" s="8">
        <f>C16-G16</f>
        <v>243954.39107150357</v>
      </c>
      <c r="J16" s="8">
        <f t="shared" si="1"/>
        <v>1211.0708515563324</v>
      </c>
      <c r="K16" s="8">
        <f t="shared" si="8"/>
        <v>316026.59918431868</v>
      </c>
      <c r="L16" s="8"/>
      <c r="M16" s="8">
        <f t="shared" si="2"/>
        <v>1211.0708515563324</v>
      </c>
      <c r="N16" s="8">
        <f t="shared" si="8"/>
        <v>316026.59918431868</v>
      </c>
    </row>
    <row r="17" spans="1:14">
      <c r="A17">
        <v>11</v>
      </c>
      <c r="B17" s="6">
        <f t="shared" si="3"/>
        <v>45839.8125</v>
      </c>
      <c r="C17" s="8">
        <f t="shared" si="4"/>
        <v>243954.39107150357</v>
      </c>
      <c r="D17" s="7">
        <f t="shared" si="5"/>
        <v>10001.900974417771</v>
      </c>
      <c r="E17" s="9">
        <f t="shared" si="6"/>
        <v>5.7500000000000002E-2</v>
      </c>
      <c r="F17" s="8">
        <f t="shared" si="0"/>
        <v>1168.948123884288</v>
      </c>
      <c r="G17" s="8">
        <f>D17-F17</f>
        <v>8832.9528505334838</v>
      </c>
      <c r="H17" s="8">
        <f t="shared" si="7"/>
        <v>10001.900974417771</v>
      </c>
      <c r="I17" s="8">
        <f>C17-G17</f>
        <v>235121.4382209701</v>
      </c>
      <c r="J17" s="8">
        <f t="shared" si="1"/>
        <v>1168.948123884288</v>
      </c>
      <c r="K17" s="8">
        <f t="shared" si="8"/>
        <v>314857.65106043441</v>
      </c>
      <c r="L17" s="8"/>
      <c r="M17" s="8">
        <f t="shared" si="2"/>
        <v>1168.948123884288</v>
      </c>
      <c r="N17" s="8">
        <f t="shared" si="8"/>
        <v>314857.65106043441</v>
      </c>
    </row>
    <row r="18" spans="1:14">
      <c r="A18">
        <v>12</v>
      </c>
      <c r="B18" s="6">
        <f t="shared" si="3"/>
        <v>45870.25</v>
      </c>
      <c r="C18" s="8">
        <f t="shared" si="4"/>
        <v>235121.4382209701</v>
      </c>
      <c r="D18" s="7">
        <f t="shared" si="5"/>
        <v>10001.900974417771</v>
      </c>
      <c r="E18" s="9">
        <f t="shared" si="6"/>
        <v>5.7500000000000002E-2</v>
      </c>
      <c r="F18" s="8">
        <f t="shared" si="0"/>
        <v>1126.6235581421486</v>
      </c>
      <c r="G18" s="8">
        <f>D18-F18</f>
        <v>8875.2774162756232</v>
      </c>
      <c r="H18" s="8">
        <f t="shared" si="7"/>
        <v>10001.900974417771</v>
      </c>
      <c r="I18" s="8">
        <f>C18-G18</f>
        <v>226246.16080469449</v>
      </c>
      <c r="J18" s="8">
        <f t="shared" si="1"/>
        <v>1126.6235581421486</v>
      </c>
      <c r="K18" s="8">
        <f t="shared" si="8"/>
        <v>313731.02750229224</v>
      </c>
      <c r="L18" s="8"/>
      <c r="M18" s="8">
        <f t="shared" si="2"/>
        <v>1126.6235581421486</v>
      </c>
      <c r="N18" s="8">
        <f t="shared" si="8"/>
        <v>313731.02750229224</v>
      </c>
    </row>
    <row r="19" spans="1:14">
      <c r="A19" s="5">
        <v>13</v>
      </c>
      <c r="B19" s="10">
        <f t="shared" si="3"/>
        <v>45900.6875</v>
      </c>
      <c r="C19" s="13">
        <f t="shared" si="4"/>
        <v>226246.16080469449</v>
      </c>
      <c r="D19" s="11">
        <f t="shared" si="5"/>
        <v>10001.900974417771</v>
      </c>
      <c r="E19" s="12">
        <f t="shared" si="6"/>
        <v>5.7500000000000002E-2</v>
      </c>
      <c r="F19" s="13">
        <f t="shared" si="0"/>
        <v>1084.0961871891611</v>
      </c>
      <c r="G19" s="13">
        <f t="shared" ref="G19:G42" si="9">D19-F19</f>
        <v>8917.8047872286097</v>
      </c>
      <c r="H19" s="13">
        <f t="shared" si="7"/>
        <v>10001.900974417771</v>
      </c>
      <c r="I19" s="13">
        <f t="shared" ref="I19:I42" si="10">C19-G19</f>
        <v>217328.35601746588</v>
      </c>
      <c r="J19" s="13">
        <f t="shared" si="1"/>
        <v>1084.0961871891611</v>
      </c>
      <c r="K19" s="13">
        <f t="shared" si="8"/>
        <v>312646.93131510308</v>
      </c>
      <c r="L19" s="13"/>
      <c r="M19" s="13">
        <f t="shared" ref="M19:M42" si="11">(SUM($G$7:$G$42)/24)+F19</f>
        <v>14834.096187189161</v>
      </c>
      <c r="N19" s="13">
        <f t="shared" si="8"/>
        <v>298896.93131510308</v>
      </c>
    </row>
    <row r="20" spans="1:14">
      <c r="A20" s="5">
        <v>14</v>
      </c>
      <c r="B20" s="10">
        <f t="shared" si="3"/>
        <v>45931.125</v>
      </c>
      <c r="C20" s="13">
        <f t="shared" si="4"/>
        <v>217328.35601746588</v>
      </c>
      <c r="D20" s="11">
        <f t="shared" si="5"/>
        <v>10001.900974417771</v>
      </c>
      <c r="E20" s="12">
        <f t="shared" si="6"/>
        <v>5.7500000000000002E-2</v>
      </c>
      <c r="F20" s="13">
        <f t="shared" si="0"/>
        <v>1041.3650392503573</v>
      </c>
      <c r="G20" s="13">
        <f t="shared" si="9"/>
        <v>8960.5359351674142</v>
      </c>
      <c r="H20" s="13">
        <f t="shared" si="7"/>
        <v>10001.900974417771</v>
      </c>
      <c r="I20" s="13">
        <f t="shared" si="10"/>
        <v>208367.82008229845</v>
      </c>
      <c r="J20" s="13">
        <f t="shared" si="1"/>
        <v>1041.3650392503573</v>
      </c>
      <c r="K20" s="13">
        <f t="shared" si="8"/>
        <v>311605.56627585273</v>
      </c>
      <c r="L20" s="13"/>
      <c r="M20" s="13">
        <f t="shared" si="11"/>
        <v>14791.365039250357</v>
      </c>
      <c r="N20" s="13">
        <f t="shared" si="8"/>
        <v>284105.56627585273</v>
      </c>
    </row>
    <row r="21" spans="1:14">
      <c r="A21" s="5">
        <v>15</v>
      </c>
      <c r="B21" s="10">
        <f t="shared" si="3"/>
        <v>45961.5625</v>
      </c>
      <c r="C21" s="13">
        <f t="shared" si="4"/>
        <v>208367.82008229845</v>
      </c>
      <c r="D21" s="11">
        <f t="shared" si="5"/>
        <v>10001.900974417771</v>
      </c>
      <c r="E21" s="12">
        <f t="shared" si="6"/>
        <v>5.7500000000000002E-2</v>
      </c>
      <c r="F21" s="13">
        <f t="shared" si="0"/>
        <v>998.42913789434681</v>
      </c>
      <c r="G21" s="13">
        <f t="shared" si="9"/>
        <v>9003.4718365234239</v>
      </c>
      <c r="H21" s="13">
        <f t="shared" si="7"/>
        <v>10001.900974417771</v>
      </c>
      <c r="I21" s="13">
        <f t="shared" si="10"/>
        <v>199364.34824577504</v>
      </c>
      <c r="J21" s="13">
        <f t="shared" si="1"/>
        <v>998.42913789434681</v>
      </c>
      <c r="K21" s="13">
        <f t="shared" si="8"/>
        <v>310607.13713795837</v>
      </c>
      <c r="L21" s="13"/>
      <c r="M21" s="13">
        <f t="shared" si="11"/>
        <v>14748.429137894347</v>
      </c>
      <c r="N21" s="13">
        <f t="shared" si="8"/>
        <v>269357.13713795837</v>
      </c>
    </row>
    <row r="22" spans="1:14">
      <c r="A22" s="5">
        <v>16</v>
      </c>
      <c r="B22" s="10">
        <f t="shared" si="3"/>
        <v>45992</v>
      </c>
      <c r="C22" s="13">
        <f t="shared" si="4"/>
        <v>199364.34824577504</v>
      </c>
      <c r="D22" s="11">
        <f t="shared" si="5"/>
        <v>10001.900974417771</v>
      </c>
      <c r="E22" s="12">
        <f t="shared" si="6"/>
        <v>5.7500000000000002E-2</v>
      </c>
      <c r="F22" s="13">
        <f t="shared" si="0"/>
        <v>955.28750201100547</v>
      </c>
      <c r="G22" s="13">
        <f t="shared" si="9"/>
        <v>9046.6134724067651</v>
      </c>
      <c r="H22" s="13">
        <f t="shared" si="7"/>
        <v>10001.900974417771</v>
      </c>
      <c r="I22" s="13">
        <f t="shared" si="10"/>
        <v>190317.73477336828</v>
      </c>
      <c r="J22" s="13">
        <f t="shared" si="1"/>
        <v>955.28750201100547</v>
      </c>
      <c r="K22" s="13">
        <f t="shared" si="8"/>
        <v>309651.84963594738</v>
      </c>
      <c r="L22" s="13"/>
      <c r="M22" s="13">
        <f t="shared" si="11"/>
        <v>14705.287502011006</v>
      </c>
      <c r="N22" s="13">
        <f t="shared" si="8"/>
        <v>254651.84963594738</v>
      </c>
    </row>
    <row r="23" spans="1:14">
      <c r="A23" s="5">
        <v>17</v>
      </c>
      <c r="B23" s="10">
        <f t="shared" si="3"/>
        <v>46022.4375</v>
      </c>
      <c r="C23" s="13">
        <f t="shared" si="4"/>
        <v>190317.73477336828</v>
      </c>
      <c r="D23" s="11">
        <f t="shared" si="5"/>
        <v>10001.900974417771</v>
      </c>
      <c r="E23" s="12">
        <f t="shared" si="6"/>
        <v>5.7500000000000002E-2</v>
      </c>
      <c r="F23" s="13">
        <f t="shared" si="0"/>
        <v>911.9391457890564</v>
      </c>
      <c r="G23" s="13">
        <f t="shared" si="9"/>
        <v>9089.961828628715</v>
      </c>
      <c r="H23" s="13">
        <f t="shared" si="7"/>
        <v>10001.900974417771</v>
      </c>
      <c r="I23" s="13">
        <f t="shared" si="10"/>
        <v>181227.77294473955</v>
      </c>
      <c r="J23" s="13">
        <f t="shared" si="1"/>
        <v>911.9391457890564</v>
      </c>
      <c r="K23" s="13">
        <f t="shared" si="8"/>
        <v>308739.91049015831</v>
      </c>
      <c r="L23" s="13"/>
      <c r="M23" s="13">
        <f t="shared" si="11"/>
        <v>14661.939145789056</v>
      </c>
      <c r="N23" s="13">
        <f t="shared" si="8"/>
        <v>239989.91049015833</v>
      </c>
    </row>
    <row r="24" spans="1:14">
      <c r="A24" s="5">
        <v>18</v>
      </c>
      <c r="B24" s="10">
        <f t="shared" si="3"/>
        <v>46052.875</v>
      </c>
      <c r="C24" s="13">
        <f t="shared" si="4"/>
        <v>181227.77294473955</v>
      </c>
      <c r="D24" s="11">
        <f t="shared" si="5"/>
        <v>10001.900974417771</v>
      </c>
      <c r="E24" s="12">
        <f t="shared" si="6"/>
        <v>5.7500000000000002E-2</v>
      </c>
      <c r="F24" s="13">
        <f t="shared" si="0"/>
        <v>868.38307869354367</v>
      </c>
      <c r="G24" s="13">
        <f t="shared" si="9"/>
        <v>9133.5178957242279</v>
      </c>
      <c r="H24" s="13">
        <f t="shared" si="7"/>
        <v>10001.900974417771</v>
      </c>
      <c r="I24" s="13">
        <f t="shared" si="10"/>
        <v>172094.25504901534</v>
      </c>
      <c r="J24" s="13">
        <f t="shared" si="1"/>
        <v>868.38307869354367</v>
      </c>
      <c r="K24" s="13">
        <f t="shared" si="8"/>
        <v>307871.52741146478</v>
      </c>
      <c r="L24" s="13"/>
      <c r="M24" s="13">
        <f t="shared" si="11"/>
        <v>14618.383078693543</v>
      </c>
      <c r="N24" s="13">
        <f t="shared" si="8"/>
        <v>225371.52741146478</v>
      </c>
    </row>
    <row r="25" spans="1:14">
      <c r="A25" s="5">
        <v>19</v>
      </c>
      <c r="B25" s="10">
        <f t="shared" si="3"/>
        <v>46083.3125</v>
      </c>
      <c r="C25" s="13">
        <f t="shared" si="4"/>
        <v>172094.25504901534</v>
      </c>
      <c r="D25" s="11">
        <f t="shared" si="5"/>
        <v>10001.900974417771</v>
      </c>
      <c r="E25" s="12">
        <f t="shared" si="6"/>
        <v>5.7500000000000002E-2</v>
      </c>
      <c r="F25" s="13">
        <f t="shared" si="0"/>
        <v>824.61830544319855</v>
      </c>
      <c r="G25" s="13">
        <f t="shared" si="9"/>
        <v>9177.2826689745725</v>
      </c>
      <c r="H25" s="13">
        <f t="shared" si="7"/>
        <v>10001.900974417771</v>
      </c>
      <c r="I25" s="13">
        <f t="shared" si="10"/>
        <v>162916.97238004077</v>
      </c>
      <c r="J25" s="13">
        <f t="shared" si="1"/>
        <v>824.61830544319855</v>
      </c>
      <c r="K25" s="13">
        <f t="shared" si="8"/>
        <v>307046.90910602157</v>
      </c>
      <c r="L25" s="13"/>
      <c r="M25" s="13">
        <f t="shared" si="11"/>
        <v>14574.618305443199</v>
      </c>
      <c r="N25" s="13">
        <f t="shared" si="8"/>
        <v>210796.90910602157</v>
      </c>
    </row>
    <row r="26" spans="1:14">
      <c r="A26" s="5">
        <v>20</v>
      </c>
      <c r="B26" s="10">
        <f t="shared" si="3"/>
        <v>46113.75</v>
      </c>
      <c r="C26" s="13">
        <f t="shared" si="4"/>
        <v>162916.97238004077</v>
      </c>
      <c r="D26" s="11">
        <f t="shared" si="5"/>
        <v>10001.900974417771</v>
      </c>
      <c r="E26" s="12">
        <f t="shared" si="6"/>
        <v>5.7500000000000002E-2</v>
      </c>
      <c r="F26" s="13">
        <f t="shared" si="0"/>
        <v>780.64382598769544</v>
      </c>
      <c r="G26" s="13">
        <f t="shared" si="9"/>
        <v>9221.2571484300752</v>
      </c>
      <c r="H26" s="13">
        <f t="shared" si="7"/>
        <v>10001.900974417771</v>
      </c>
      <c r="I26" s="13">
        <f t="shared" si="10"/>
        <v>153695.71523161069</v>
      </c>
      <c r="J26" s="13">
        <f t="shared" si="1"/>
        <v>780.64382598769544</v>
      </c>
      <c r="K26" s="13">
        <f t="shared" si="8"/>
        <v>306266.26528003387</v>
      </c>
      <c r="L26" s="13"/>
      <c r="M26" s="13">
        <f t="shared" si="11"/>
        <v>14530.643825987696</v>
      </c>
      <c r="N26" s="13">
        <f t="shared" si="8"/>
        <v>196266.26528003387</v>
      </c>
    </row>
    <row r="27" spans="1:14">
      <c r="A27" s="5">
        <v>21</v>
      </c>
      <c r="B27" s="10">
        <f t="shared" si="3"/>
        <v>46144.1875</v>
      </c>
      <c r="C27" s="13">
        <f t="shared" si="4"/>
        <v>153695.71523161069</v>
      </c>
      <c r="D27" s="11">
        <f t="shared" si="5"/>
        <v>10001.900974417771</v>
      </c>
      <c r="E27" s="12">
        <f t="shared" si="6"/>
        <v>5.7500000000000002E-2</v>
      </c>
      <c r="F27" s="13">
        <f t="shared" si="0"/>
        <v>736.45863548480122</v>
      </c>
      <c r="G27" s="13">
        <f t="shared" si="9"/>
        <v>9265.4423389329695</v>
      </c>
      <c r="H27" s="13">
        <f t="shared" si="7"/>
        <v>10001.900974417771</v>
      </c>
      <c r="I27" s="13">
        <f t="shared" si="10"/>
        <v>144430.27289267772</v>
      </c>
      <c r="J27" s="13">
        <f t="shared" si="1"/>
        <v>736.45863548480122</v>
      </c>
      <c r="K27" s="13">
        <f t="shared" si="8"/>
        <v>305529.80664454907</v>
      </c>
      <c r="L27" s="13"/>
      <c r="M27" s="13">
        <f t="shared" si="11"/>
        <v>14486.458635484802</v>
      </c>
      <c r="N27" s="13">
        <f t="shared" si="8"/>
        <v>181779.80664454907</v>
      </c>
    </row>
    <row r="28" spans="1:14">
      <c r="A28" s="5">
        <v>22</v>
      </c>
      <c r="B28" s="10">
        <f t="shared" si="3"/>
        <v>46174.625</v>
      </c>
      <c r="C28" s="13">
        <f t="shared" si="4"/>
        <v>144430.27289267772</v>
      </c>
      <c r="D28" s="11">
        <f t="shared" si="5"/>
        <v>10001.900974417771</v>
      </c>
      <c r="E28" s="12">
        <f t="shared" si="6"/>
        <v>5.7500000000000002E-2</v>
      </c>
      <c r="F28" s="13">
        <f t="shared" si="0"/>
        <v>692.0617242774141</v>
      </c>
      <c r="G28" s="13">
        <f t="shared" si="9"/>
        <v>9309.8392501403578</v>
      </c>
      <c r="H28" s="13">
        <f t="shared" si="7"/>
        <v>10001.900974417771</v>
      </c>
      <c r="I28" s="13">
        <f t="shared" si="10"/>
        <v>135120.43364253736</v>
      </c>
      <c r="J28" s="13">
        <f t="shared" si="1"/>
        <v>692.0617242774141</v>
      </c>
      <c r="K28" s="13">
        <f t="shared" si="8"/>
        <v>304837.74492027168</v>
      </c>
      <c r="L28" s="13"/>
      <c r="M28" s="13">
        <f t="shared" si="11"/>
        <v>14442.061724277413</v>
      </c>
      <c r="N28" s="13">
        <f t="shared" si="8"/>
        <v>167337.74492027165</v>
      </c>
    </row>
    <row r="29" spans="1:14">
      <c r="A29" s="5">
        <v>23</v>
      </c>
      <c r="B29" s="10">
        <f t="shared" si="3"/>
        <v>46205.0625</v>
      </c>
      <c r="C29" s="13">
        <f t="shared" si="4"/>
        <v>135120.43364253736</v>
      </c>
      <c r="D29" s="11">
        <f t="shared" si="5"/>
        <v>10001.900974417771</v>
      </c>
      <c r="E29" s="12">
        <f t="shared" si="6"/>
        <v>5.7500000000000002E-2</v>
      </c>
      <c r="F29" s="13">
        <f t="shared" si="0"/>
        <v>647.45207787049151</v>
      </c>
      <c r="G29" s="13">
        <f t="shared" si="9"/>
        <v>9354.4488965472792</v>
      </c>
      <c r="H29" s="13">
        <f t="shared" si="7"/>
        <v>10001.900974417771</v>
      </c>
      <c r="I29" s="13">
        <f t="shared" si="10"/>
        <v>125765.98474599008</v>
      </c>
      <c r="J29" s="13">
        <f t="shared" si="1"/>
        <v>647.45207787049151</v>
      </c>
      <c r="K29" s="13">
        <f t="shared" si="8"/>
        <v>304190.29284240119</v>
      </c>
      <c r="L29" s="13"/>
      <c r="M29" s="13">
        <f t="shared" si="11"/>
        <v>14397.452077870492</v>
      </c>
      <c r="N29" s="13">
        <f t="shared" si="8"/>
        <v>152940.29284240116</v>
      </c>
    </row>
    <row r="30" spans="1:14">
      <c r="A30" s="5">
        <v>24</v>
      </c>
      <c r="B30" s="10">
        <f t="shared" si="3"/>
        <v>46235.5</v>
      </c>
      <c r="C30" s="13">
        <f t="shared" si="4"/>
        <v>125765.98474599008</v>
      </c>
      <c r="D30" s="11">
        <f t="shared" si="5"/>
        <v>10001.900974417771</v>
      </c>
      <c r="E30" s="12">
        <f t="shared" si="6"/>
        <v>5.7500000000000002E-2</v>
      </c>
      <c r="F30" s="13">
        <f t="shared" si="0"/>
        <v>602.62867690786913</v>
      </c>
      <c r="G30" s="13">
        <f t="shared" si="9"/>
        <v>9399.2722975099023</v>
      </c>
      <c r="H30" s="13">
        <f t="shared" si="7"/>
        <v>10001.900974417771</v>
      </c>
      <c r="I30" s="13">
        <f t="shared" si="10"/>
        <v>116366.71244848018</v>
      </c>
      <c r="J30" s="13">
        <f t="shared" si="1"/>
        <v>602.62867690786913</v>
      </c>
      <c r="K30" s="13">
        <f t="shared" si="8"/>
        <v>303587.66416549333</v>
      </c>
      <c r="L30" s="13"/>
      <c r="M30" s="13">
        <f t="shared" si="11"/>
        <v>14352.628676907869</v>
      </c>
      <c r="N30" s="13">
        <f t="shared" si="8"/>
        <v>138587.6641654933</v>
      </c>
    </row>
    <row r="31" spans="1:14">
      <c r="A31">
        <v>25</v>
      </c>
      <c r="B31" s="6">
        <f t="shared" si="3"/>
        <v>46265.9375</v>
      </c>
      <c r="C31" s="8">
        <f t="shared" si="4"/>
        <v>116366.71244848018</v>
      </c>
      <c r="D31" s="7">
        <f t="shared" si="5"/>
        <v>10001.900974417771</v>
      </c>
      <c r="E31" s="9">
        <f t="shared" si="6"/>
        <v>5.7500000000000002E-2</v>
      </c>
      <c r="F31" s="8">
        <f t="shared" si="0"/>
        <v>557.59049714896753</v>
      </c>
      <c r="G31" s="8">
        <f t="shared" si="9"/>
        <v>9444.3104772688039</v>
      </c>
      <c r="H31" s="8">
        <f t="shared" si="7"/>
        <v>10001.900974417771</v>
      </c>
      <c r="I31" s="8">
        <f t="shared" si="10"/>
        <v>106922.40197121137</v>
      </c>
      <c r="J31" s="8">
        <f>(SUM($G$7:$G$42)/12)+F31</f>
        <v>28057.590497148969</v>
      </c>
      <c r="K31" s="8">
        <f t="shared" si="8"/>
        <v>275530.07366834435</v>
      </c>
      <c r="L31" s="8"/>
      <c r="M31" s="8">
        <f t="shared" si="11"/>
        <v>14307.590497148967</v>
      </c>
      <c r="N31" s="8">
        <f t="shared" si="8"/>
        <v>124280.07366834434</v>
      </c>
    </row>
    <row r="32" spans="1:14">
      <c r="A32">
        <v>26</v>
      </c>
      <c r="B32" s="6">
        <f t="shared" si="3"/>
        <v>46296.375</v>
      </c>
      <c r="C32" s="8">
        <f t="shared" si="4"/>
        <v>106922.40197121137</v>
      </c>
      <c r="D32" s="7">
        <f t="shared" si="5"/>
        <v>10001.900974417771</v>
      </c>
      <c r="E32" s="9">
        <f t="shared" si="6"/>
        <v>5.7500000000000002E-2</v>
      </c>
      <c r="F32" s="8">
        <f t="shared" si="0"/>
        <v>512.33650944538783</v>
      </c>
      <c r="G32" s="8">
        <f t="shared" si="9"/>
        <v>9489.5644649723836</v>
      </c>
      <c r="H32" s="8">
        <f t="shared" si="7"/>
        <v>10001.900974417771</v>
      </c>
      <c r="I32" s="8">
        <f t="shared" si="10"/>
        <v>97432.837506238982</v>
      </c>
      <c r="J32" s="8">
        <f t="shared" ref="J32:J42" si="12">(SUM($G$7:$G$42)/12)+F32</f>
        <v>28012.336509445387</v>
      </c>
      <c r="K32" s="8">
        <f t="shared" si="8"/>
        <v>247517.73715889896</v>
      </c>
      <c r="L32" s="8"/>
      <c r="M32" s="8">
        <f t="shared" si="11"/>
        <v>14262.336509445387</v>
      </c>
      <c r="N32" s="8">
        <f t="shared" si="8"/>
        <v>110017.73715889895</v>
      </c>
    </row>
    <row r="33" spans="1:14">
      <c r="A33">
        <v>27</v>
      </c>
      <c r="B33" s="6">
        <f t="shared" si="3"/>
        <v>46326.8125</v>
      </c>
      <c r="C33" s="8">
        <f t="shared" si="4"/>
        <v>97432.837506238982</v>
      </c>
      <c r="D33" s="7">
        <f t="shared" si="5"/>
        <v>10001.900974417771</v>
      </c>
      <c r="E33" s="9">
        <f t="shared" si="6"/>
        <v>5.7500000000000002E-2</v>
      </c>
      <c r="F33" s="8">
        <f t="shared" si="0"/>
        <v>466.86567971739515</v>
      </c>
      <c r="G33" s="8">
        <f t="shared" si="9"/>
        <v>9535.0352947003757</v>
      </c>
      <c r="H33" s="8">
        <f t="shared" si="7"/>
        <v>10001.900974417771</v>
      </c>
      <c r="I33" s="8">
        <f t="shared" si="10"/>
        <v>87897.802211538612</v>
      </c>
      <c r="J33" s="8">
        <f t="shared" si="12"/>
        <v>27966.865679717394</v>
      </c>
      <c r="K33" s="8">
        <f t="shared" si="8"/>
        <v>219550.87147918157</v>
      </c>
      <c r="L33" s="8"/>
      <c r="M33" s="8">
        <f t="shared" si="11"/>
        <v>14216.865679717395</v>
      </c>
      <c r="N33" s="8">
        <f t="shared" si="8"/>
        <v>95800.871479181558</v>
      </c>
    </row>
    <row r="34" spans="1:14">
      <c r="A34">
        <v>28</v>
      </c>
      <c r="B34" s="6">
        <f t="shared" si="3"/>
        <v>46357.25</v>
      </c>
      <c r="C34" s="8">
        <f t="shared" si="4"/>
        <v>87897.802211538612</v>
      </c>
      <c r="D34" s="7">
        <f t="shared" si="5"/>
        <v>10001.900974417771</v>
      </c>
      <c r="E34" s="9">
        <f t="shared" si="6"/>
        <v>5.7500000000000002E-2</v>
      </c>
      <c r="F34" s="8">
        <f t="shared" si="0"/>
        <v>421.17696893028921</v>
      </c>
      <c r="G34" s="8">
        <f t="shared" si="9"/>
        <v>9580.7240054874819</v>
      </c>
      <c r="H34" s="8">
        <f t="shared" si="7"/>
        <v>10001.900974417771</v>
      </c>
      <c r="I34" s="8">
        <f t="shared" si="10"/>
        <v>78317.078206051126</v>
      </c>
      <c r="J34" s="8">
        <f t="shared" si="12"/>
        <v>27921.176968930289</v>
      </c>
      <c r="K34" s="8">
        <f t="shared" si="8"/>
        <v>191629.69451025128</v>
      </c>
      <c r="L34" s="8"/>
      <c r="M34" s="8">
        <f t="shared" si="11"/>
        <v>14171.176968930289</v>
      </c>
      <c r="N34" s="8">
        <f t="shared" si="8"/>
        <v>81629.694510251269</v>
      </c>
    </row>
    <row r="35" spans="1:14">
      <c r="A35">
        <v>29</v>
      </c>
      <c r="B35" s="6">
        <f t="shared" si="3"/>
        <v>46387.6875</v>
      </c>
      <c r="C35" s="8">
        <f t="shared" si="4"/>
        <v>78317.078206051126</v>
      </c>
      <c r="D35" s="7">
        <f t="shared" si="5"/>
        <v>10001.900974417771</v>
      </c>
      <c r="E35" s="9">
        <f t="shared" si="6"/>
        <v>5.7500000000000002E-2</v>
      </c>
      <c r="F35" s="8">
        <f t="shared" si="0"/>
        <v>375.26933307066162</v>
      </c>
      <c r="G35" s="8">
        <f t="shared" si="9"/>
        <v>9626.6316413471086</v>
      </c>
      <c r="H35" s="8">
        <f t="shared" si="7"/>
        <v>10001.900974417771</v>
      </c>
      <c r="I35" s="8">
        <f t="shared" si="10"/>
        <v>68690.44656470402</v>
      </c>
      <c r="J35" s="8">
        <f t="shared" si="12"/>
        <v>27875.269333070661</v>
      </c>
      <c r="K35" s="8">
        <f t="shared" si="8"/>
        <v>163754.42517718062</v>
      </c>
      <c r="L35" s="8"/>
      <c r="M35" s="8">
        <f t="shared" si="11"/>
        <v>14125.269333070662</v>
      </c>
      <c r="N35" s="8">
        <f t="shared" si="8"/>
        <v>67504.425177180601</v>
      </c>
    </row>
    <row r="36" spans="1:14">
      <c r="A36">
        <v>30</v>
      </c>
      <c r="B36" s="6">
        <f t="shared" si="3"/>
        <v>46418.125</v>
      </c>
      <c r="C36" s="8">
        <f t="shared" si="4"/>
        <v>68690.44656470402</v>
      </c>
      <c r="D36" s="7">
        <f t="shared" si="5"/>
        <v>10001.900974417771</v>
      </c>
      <c r="E36" s="9">
        <f t="shared" si="6"/>
        <v>5.7500000000000002E-2</v>
      </c>
      <c r="F36" s="8">
        <f t="shared" si="0"/>
        <v>329.1417231225401</v>
      </c>
      <c r="G36" s="8">
        <f t="shared" si="9"/>
        <v>9672.7592512952306</v>
      </c>
      <c r="H36" s="8">
        <f t="shared" si="7"/>
        <v>10001.900974417771</v>
      </c>
      <c r="I36" s="8">
        <f t="shared" si="10"/>
        <v>59017.687313408787</v>
      </c>
      <c r="J36" s="8">
        <f t="shared" si="12"/>
        <v>27829.141723122539</v>
      </c>
      <c r="K36" s="8">
        <f t="shared" si="8"/>
        <v>135925.28345405808</v>
      </c>
      <c r="L36" s="8"/>
      <c r="M36" s="8">
        <f t="shared" si="11"/>
        <v>14079.14172312254</v>
      </c>
      <c r="N36" s="8">
        <f t="shared" si="8"/>
        <v>53425.283454058059</v>
      </c>
    </row>
    <row r="37" spans="1:14">
      <c r="A37">
        <v>31</v>
      </c>
      <c r="B37" s="6">
        <f t="shared" si="3"/>
        <v>46448.5625</v>
      </c>
      <c r="C37" s="8">
        <f t="shared" si="4"/>
        <v>59017.687313408787</v>
      </c>
      <c r="D37" s="7">
        <f t="shared" si="5"/>
        <v>10001.900974417771</v>
      </c>
      <c r="E37" s="9">
        <f t="shared" si="6"/>
        <v>5.7500000000000002E-2</v>
      </c>
      <c r="F37" s="8">
        <f t="shared" si="0"/>
        <v>282.79308504341714</v>
      </c>
      <c r="G37" s="8">
        <f t="shared" si="9"/>
        <v>9719.1078893743543</v>
      </c>
      <c r="H37" s="8">
        <f t="shared" si="7"/>
        <v>10001.900974417771</v>
      </c>
      <c r="I37" s="8">
        <f t="shared" si="10"/>
        <v>49298.579424034433</v>
      </c>
      <c r="J37" s="8">
        <f t="shared" si="12"/>
        <v>27782.793085043417</v>
      </c>
      <c r="K37" s="8">
        <f t="shared" si="8"/>
        <v>108142.49036901466</v>
      </c>
      <c r="L37" s="8"/>
      <c r="M37" s="8">
        <f t="shared" si="11"/>
        <v>14032.793085043417</v>
      </c>
      <c r="N37" s="8">
        <f t="shared" si="8"/>
        <v>39392.490369014646</v>
      </c>
    </row>
    <row r="38" spans="1:14">
      <c r="A38">
        <v>32</v>
      </c>
      <c r="B38" s="6">
        <f t="shared" si="3"/>
        <v>46479</v>
      </c>
      <c r="C38" s="8">
        <f t="shared" si="4"/>
        <v>49298.579424034433</v>
      </c>
      <c r="D38" s="7">
        <f t="shared" si="5"/>
        <v>10001.900974417771</v>
      </c>
      <c r="E38" s="9">
        <f t="shared" si="6"/>
        <v>5.7500000000000002E-2</v>
      </c>
      <c r="F38" s="8">
        <f t="shared" si="0"/>
        <v>236.22235974016499</v>
      </c>
      <c r="G38" s="8">
        <f t="shared" si="9"/>
        <v>9765.6786146776067</v>
      </c>
      <c r="H38" s="8">
        <f t="shared" si="7"/>
        <v>10001.900974417771</v>
      </c>
      <c r="I38" s="8">
        <f t="shared" si="10"/>
        <v>39532.900809356826</v>
      </c>
      <c r="J38" s="8">
        <f t="shared" si="12"/>
        <v>27736.222359740164</v>
      </c>
      <c r="K38" s="8">
        <f t="shared" si="8"/>
        <v>80406.268009274499</v>
      </c>
      <c r="L38" s="8"/>
      <c r="M38" s="8">
        <f t="shared" si="11"/>
        <v>13986.222359740164</v>
      </c>
      <c r="N38" s="8">
        <f t="shared" si="8"/>
        <v>25406.268009274481</v>
      </c>
    </row>
    <row r="39" spans="1:14">
      <c r="A39">
        <v>33</v>
      </c>
      <c r="B39" s="6">
        <f t="shared" si="3"/>
        <v>46509.4375</v>
      </c>
      <c r="C39" s="8">
        <f t="shared" si="4"/>
        <v>39532.900809356826</v>
      </c>
      <c r="D39" s="7">
        <f t="shared" si="5"/>
        <v>10001.900974417771</v>
      </c>
      <c r="E39" s="9">
        <f t="shared" si="6"/>
        <v>5.7500000000000002E-2</v>
      </c>
      <c r="F39" s="8">
        <f t="shared" si="0"/>
        <v>189.42848304483479</v>
      </c>
      <c r="G39" s="8">
        <f t="shared" si="9"/>
        <v>9812.4724913729369</v>
      </c>
      <c r="H39" s="8">
        <f t="shared" si="7"/>
        <v>10001.900974417771</v>
      </c>
      <c r="I39" s="8">
        <f t="shared" si="10"/>
        <v>29720.428317983889</v>
      </c>
      <c r="J39" s="8">
        <f t="shared" si="12"/>
        <v>27689.428483044834</v>
      </c>
      <c r="K39" s="8">
        <f t="shared" si="8"/>
        <v>52716.839526229669</v>
      </c>
      <c r="L39" s="8"/>
      <c r="M39" s="8">
        <f t="shared" si="11"/>
        <v>13939.428483044834</v>
      </c>
      <c r="N39" s="8">
        <f t="shared" si="8"/>
        <v>11466.839526229647</v>
      </c>
    </row>
    <row r="40" spans="1:14">
      <c r="A40">
        <v>34</v>
      </c>
      <c r="B40" s="6">
        <f t="shared" si="3"/>
        <v>46539.875</v>
      </c>
      <c r="C40" s="8">
        <f t="shared" si="4"/>
        <v>29720.428317983889</v>
      </c>
      <c r="D40" s="7">
        <f t="shared" si="5"/>
        <v>10001.900974417771</v>
      </c>
      <c r="E40" s="9">
        <f t="shared" si="6"/>
        <v>5.7500000000000002E-2</v>
      </c>
      <c r="F40" s="8">
        <f t="shared" si="0"/>
        <v>142.41038569033947</v>
      </c>
      <c r="G40" s="8">
        <f t="shared" si="9"/>
        <v>9859.4905887274308</v>
      </c>
      <c r="H40" s="8">
        <f t="shared" si="7"/>
        <v>10001.900974417771</v>
      </c>
      <c r="I40" s="8">
        <f t="shared" si="10"/>
        <v>19860.93772925646</v>
      </c>
      <c r="J40" s="8">
        <f t="shared" si="12"/>
        <v>27642.410385690338</v>
      </c>
      <c r="K40" s="8">
        <f t="shared" si="8"/>
        <v>25074.429140539331</v>
      </c>
      <c r="L40" s="8"/>
      <c r="M40" s="8">
        <f t="shared" si="11"/>
        <v>13892.41038569034</v>
      </c>
      <c r="N40" s="8">
        <f t="shared" si="8"/>
        <v>-2425.5708594606931</v>
      </c>
    </row>
    <row r="41" spans="1:14">
      <c r="A41">
        <v>35</v>
      </c>
      <c r="B41" s="6">
        <f t="shared" si="3"/>
        <v>46570.3125</v>
      </c>
      <c r="C41" s="8">
        <f t="shared" si="4"/>
        <v>19860.93772925646</v>
      </c>
      <c r="D41" s="7">
        <f t="shared" si="5"/>
        <v>10001.900974417771</v>
      </c>
      <c r="E41" s="9">
        <f t="shared" si="6"/>
        <v>5.7500000000000002E-2</v>
      </c>
      <c r="F41" s="8">
        <f t="shared" si="0"/>
        <v>95.166993286020542</v>
      </c>
      <c r="G41" s="8">
        <f t="shared" si="9"/>
        <v>9906.7339811317506</v>
      </c>
      <c r="H41" s="8">
        <f t="shared" si="7"/>
        <v>10001.900974417771</v>
      </c>
      <c r="I41" s="8">
        <f t="shared" si="10"/>
        <v>9954.2037481247098</v>
      </c>
      <c r="J41" s="8">
        <f t="shared" si="12"/>
        <v>27595.16699328602</v>
      </c>
      <c r="K41" s="8">
        <f>K40-J41</f>
        <v>-2520.7378527466899</v>
      </c>
      <c r="L41" s="8"/>
      <c r="M41" s="8">
        <f t="shared" si="11"/>
        <v>13845.16699328602</v>
      </c>
      <c r="N41" s="8">
        <f>N40-M41</f>
        <v>-16270.737852746714</v>
      </c>
    </row>
    <row r="42" spans="1:14">
      <c r="A42">
        <v>36</v>
      </c>
      <c r="B42" s="6">
        <f t="shared" si="3"/>
        <v>46600.75</v>
      </c>
      <c r="C42" s="8">
        <f t="shared" si="4"/>
        <v>9954.2037481247098</v>
      </c>
      <c r="D42" s="7">
        <f t="shared" si="5"/>
        <v>10001.900974417771</v>
      </c>
      <c r="E42" s="9">
        <f t="shared" si="6"/>
        <v>5.7500000000000002E-2</v>
      </c>
      <c r="F42" s="8">
        <f t="shared" si="0"/>
        <v>47.697226293097572</v>
      </c>
      <c r="G42" s="8">
        <f t="shared" si="9"/>
        <v>9954.2037481246734</v>
      </c>
      <c r="H42" s="8">
        <f t="shared" si="7"/>
        <v>10001.900974417771</v>
      </c>
      <c r="I42" s="8">
        <f t="shared" si="10"/>
        <v>3.637978807091713E-11</v>
      </c>
      <c r="J42" s="8">
        <f t="shared" si="12"/>
        <v>27547.697226293098</v>
      </c>
      <c r="K42" s="8">
        <f t="shared" si="8"/>
        <v>-30068.435079039788</v>
      </c>
      <c r="L42" s="8"/>
      <c r="M42" s="8">
        <f t="shared" si="11"/>
        <v>13797.697226293098</v>
      </c>
      <c r="N42" s="8">
        <f t="shared" si="8"/>
        <v>-30068.435079039809</v>
      </c>
    </row>
    <row r="44" spans="1:14">
      <c r="H44" s="8">
        <f>SUM(H7:H42)</f>
        <v>360068.4350790396</v>
      </c>
      <c r="I44" s="8"/>
      <c r="J44" s="8">
        <f>SUM(J7:J42)</f>
        <v>360068.43507903971</v>
      </c>
      <c r="K44" s="8">
        <f>K42+G2</f>
        <v>-1.8917489796876907E-10</v>
      </c>
      <c r="L44" s="8"/>
      <c r="M44" s="8">
        <f>SUM(M7:M42)</f>
        <v>360068.43507903977</v>
      </c>
      <c r="N44" s="8">
        <f>N42+G2</f>
        <v>-2.1100277081131935E-10</v>
      </c>
    </row>
  </sheetData>
  <conditionalFormatting sqref="H44:N44">
    <cfRule type="cellIs" dxfId="1" priority="2" operator="equal">
      <formula>$G$1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2024-07-17T17:40:45Z</dcterms:created>
  <dcterms:modified xsi:type="dcterms:W3CDTF">2024-07-19T17:19:04Z</dcterms:modified>
  <cp:category/>
  <cp:contentStatus/>
</cp:coreProperties>
</file>