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an\My Drive\ABP\ABP DSBA Batch 05\Unit 02\Session 02\"/>
    </mc:Choice>
  </mc:AlternateContent>
  <xr:revisionPtr revIDLastSave="0" documentId="13_ncr:1_{9A864F4E-BEE4-410C-8DDC-D50E7F261961}" xr6:coauthVersionLast="47" xr6:coauthVersionMax="47" xr10:uidLastSave="{00000000-0000-0000-0000-000000000000}"/>
  <bookViews>
    <workbookView xWindow="-108" yWindow="-108" windowWidth="23256" windowHeight="12456" tabRatio="466" activeTab="1" xr2:uid="{0DE71D52-C7C0-4EB0-B830-D371AB954479}"/>
  </bookViews>
  <sheets>
    <sheet name="Sheet1" sheetId="1" r:id="rId1"/>
    <sheet name="Sheet2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5" i="2" l="1"/>
  <c r="X5" i="2"/>
  <c r="Y5" i="2" s="1"/>
  <c r="AA5" i="2"/>
  <c r="W6" i="2"/>
  <c r="X6" i="2"/>
  <c r="Y6" i="2" s="1"/>
  <c r="AA6" i="2"/>
  <c r="W7" i="2"/>
  <c r="X7" i="2"/>
  <c r="Y7" i="2" s="1"/>
  <c r="AA7" i="2"/>
  <c r="W8" i="2"/>
  <c r="X8" i="2"/>
  <c r="Y8" i="2"/>
  <c r="Z8" i="2" s="1"/>
  <c r="AA8" i="2"/>
  <c r="W9" i="2"/>
  <c r="X9" i="2"/>
  <c r="Y9" i="2" s="1"/>
  <c r="AA9" i="2"/>
  <c r="W10" i="2"/>
  <c r="X10" i="2"/>
  <c r="Y10" i="2"/>
  <c r="AB10" i="2" s="1"/>
  <c r="AA10" i="2"/>
  <c r="W11" i="2"/>
  <c r="X11" i="2"/>
  <c r="Y11" i="2" s="1"/>
  <c r="AA11" i="2"/>
  <c r="W12" i="2"/>
  <c r="X12" i="2"/>
  <c r="Y12" i="2"/>
  <c r="Z12" i="2" s="1"/>
  <c r="AC12" i="2" s="1"/>
  <c r="AA12" i="2"/>
  <c r="AB12" i="2"/>
  <c r="W13" i="2"/>
  <c r="X13" i="2"/>
  <c r="Y13" i="2"/>
  <c r="Z13" i="2"/>
  <c r="AC13" i="2" s="1"/>
  <c r="AA13" i="2"/>
  <c r="AB13" i="2"/>
  <c r="W14" i="2"/>
  <c r="X14" i="2"/>
  <c r="Y14" i="2" s="1"/>
  <c r="AA14" i="2"/>
  <c r="W15" i="2"/>
  <c r="X15" i="2"/>
  <c r="Y15" i="2" s="1"/>
  <c r="AA15" i="2"/>
  <c r="W16" i="2"/>
  <c r="X16" i="2"/>
  <c r="Y16" i="2"/>
  <c r="Z16" i="2" s="1"/>
  <c r="AA16" i="2"/>
  <c r="W17" i="2"/>
  <c r="X17" i="2"/>
  <c r="Y17" i="2" s="1"/>
  <c r="AA17" i="2"/>
  <c r="W18" i="2"/>
  <c r="X18" i="2"/>
  <c r="Y18" i="2"/>
  <c r="AB18" i="2" s="1"/>
  <c r="AA18" i="2"/>
  <c r="AC4" i="2"/>
  <c r="AB4" i="2"/>
  <c r="AA4" i="2"/>
  <c r="Z4" i="2"/>
  <c r="Y4" i="2"/>
  <c r="X4" i="2"/>
  <c r="W4" i="2"/>
  <c r="AE7" i="2"/>
  <c r="AE5" i="2" s="1"/>
  <c r="AE6" i="2" s="1"/>
  <c r="AE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4" i="2"/>
  <c r="T4" i="2" a="1"/>
  <c r="T4" i="2" s="1"/>
  <c r="T11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Q4" i="2"/>
  <c r="R4" i="2"/>
  <c r="Q5" i="2"/>
  <c r="R5" i="2"/>
  <c r="Q6" i="2"/>
  <c r="R6" i="2"/>
  <c r="Q7" i="2"/>
  <c r="R7" i="2"/>
  <c r="Q8" i="2"/>
  <c r="R8" i="2"/>
  <c r="Q9" i="2"/>
  <c r="R9" i="2"/>
  <c r="Q10" i="2"/>
  <c r="R10" i="2"/>
  <c r="Q11" i="2"/>
  <c r="R11" i="2"/>
  <c r="Q12" i="2"/>
  <c r="R12" i="2"/>
  <c r="Q13" i="2"/>
  <c r="R13" i="2"/>
  <c r="Q14" i="2"/>
  <c r="R14" i="2"/>
  <c r="Q15" i="2"/>
  <c r="R15" i="2"/>
  <c r="Q16" i="2"/>
  <c r="R16" i="2"/>
  <c r="Q17" i="2"/>
  <c r="R17" i="2"/>
  <c r="Q18" i="2"/>
  <c r="R18" i="2"/>
  <c r="R3" i="2"/>
  <c r="Q3" i="2"/>
  <c r="P6" i="2"/>
  <c r="P7" i="2" s="1"/>
  <c r="P8" i="2" s="1"/>
  <c r="P9" i="2" s="1"/>
  <c r="P10" i="2" s="1"/>
  <c r="P11" i="2" s="1"/>
  <c r="P12" i="2" s="1"/>
  <c r="P13" i="2" s="1"/>
  <c r="P14" i="2" s="1"/>
  <c r="P15" i="2" s="1"/>
  <c r="P16" i="2" s="1"/>
  <c r="P17" i="2" s="1"/>
  <c r="P18" i="2" s="1"/>
  <c r="P5" i="2"/>
  <c r="J18" i="2"/>
  <c r="K18" i="2" s="1"/>
  <c r="L18" i="2"/>
  <c r="M18" i="2"/>
  <c r="J19" i="2"/>
  <c r="K19" i="2"/>
  <c r="L19" i="2"/>
  <c r="M19" i="2"/>
  <c r="M17" i="2"/>
  <c r="L17" i="2"/>
  <c r="K17" i="2"/>
  <c r="J17" i="2"/>
  <c r="G18" i="2" a="1"/>
  <c r="G18" i="2" s="1"/>
  <c r="I14" i="2"/>
  <c r="H14" i="2"/>
  <c r="H13" i="2"/>
  <c r="H12" i="2"/>
  <c r="H8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2" i="2"/>
  <c r="E18" i="1"/>
  <c r="AE6" i="1"/>
  <c r="V5" i="1"/>
  <c r="W5" i="1"/>
  <c r="X5" i="1" s="1"/>
  <c r="Z5" i="1"/>
  <c r="V6" i="1"/>
  <c r="W6" i="1"/>
  <c r="X6" i="1"/>
  <c r="Y6" i="1" s="1"/>
  <c r="AB6" i="1" s="1"/>
  <c r="Z6" i="1"/>
  <c r="AA6" i="1"/>
  <c r="V7" i="1"/>
  <c r="W7" i="1"/>
  <c r="X7" i="1" s="1"/>
  <c r="Z7" i="1"/>
  <c r="V8" i="1"/>
  <c r="W8" i="1"/>
  <c r="X8" i="1"/>
  <c r="Y8" i="1" s="1"/>
  <c r="Z8" i="1"/>
  <c r="V9" i="1"/>
  <c r="W9" i="1"/>
  <c r="X9" i="1"/>
  <c r="AA9" i="1" s="1"/>
  <c r="Y9" i="1"/>
  <c r="Z9" i="1"/>
  <c r="V10" i="1"/>
  <c r="W10" i="1"/>
  <c r="X10" i="1" s="1"/>
  <c r="Z10" i="1"/>
  <c r="V11" i="1"/>
  <c r="W11" i="1"/>
  <c r="X11" i="1"/>
  <c r="Y11" i="1" s="1"/>
  <c r="AB11" i="1" s="1"/>
  <c r="Z11" i="1"/>
  <c r="AA11" i="1"/>
  <c r="V12" i="1"/>
  <c r="W12" i="1"/>
  <c r="X12" i="1"/>
  <c r="Y12" i="1"/>
  <c r="Z12" i="1"/>
  <c r="AA12" i="1"/>
  <c r="AB12" i="1"/>
  <c r="V13" i="1"/>
  <c r="W13" i="1"/>
  <c r="X13" i="1" s="1"/>
  <c r="Z13" i="1"/>
  <c r="V14" i="1"/>
  <c r="W14" i="1"/>
  <c r="X14" i="1"/>
  <c r="Y14" i="1" s="1"/>
  <c r="AB14" i="1" s="1"/>
  <c r="Z14" i="1"/>
  <c r="AA14" i="1"/>
  <c r="V15" i="1"/>
  <c r="W15" i="1"/>
  <c r="X15" i="1" s="1"/>
  <c r="Z15" i="1"/>
  <c r="V16" i="1"/>
  <c r="W16" i="1"/>
  <c r="X16" i="1"/>
  <c r="Y16" i="1" s="1"/>
  <c r="Z16" i="1"/>
  <c r="V17" i="1"/>
  <c r="W17" i="1"/>
  <c r="X17" i="1"/>
  <c r="AA17" i="1" s="1"/>
  <c r="Y17" i="1"/>
  <c r="AB17" i="1" s="1"/>
  <c r="Z17" i="1"/>
  <c r="V18" i="1"/>
  <c r="W18" i="1"/>
  <c r="X18" i="1" s="1"/>
  <c r="Z18" i="1"/>
  <c r="AB4" i="1"/>
  <c r="AA4" i="1"/>
  <c r="Z4" i="1"/>
  <c r="Y4" i="1"/>
  <c r="X4" i="1"/>
  <c r="W4" i="1"/>
  <c r="V4" i="1"/>
  <c r="AD7" i="1"/>
  <c r="AD5" i="1" s="1"/>
  <c r="AD6" i="1" s="1"/>
  <c r="AD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4" i="1"/>
  <c r="S4" i="1" a="1"/>
  <c r="S4" i="1" s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3" i="1"/>
  <c r="P6" i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5" i="1"/>
  <c r="J18" i="1"/>
  <c r="K18" i="1" s="1"/>
  <c r="L18" i="1"/>
  <c r="M18" i="1"/>
  <c r="M17" i="1"/>
  <c r="L17" i="1"/>
  <c r="K17" i="1"/>
  <c r="J17" i="1"/>
  <c r="G18" i="1" a="1"/>
  <c r="G18" i="1" s="1"/>
  <c r="I14" i="1"/>
  <c r="H14" i="1"/>
  <c r="H13" i="1" s="1"/>
  <c r="H12" i="1"/>
  <c r="H8" i="1"/>
  <c r="E19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2" i="1"/>
  <c r="V4" i="2" a="1"/>
  <c r="N19" i="2"/>
  <c r="N18" i="2"/>
  <c r="H17" i="2" a="1"/>
  <c r="U4" i="1" a="1"/>
  <c r="H17" i="1" a="1"/>
  <c r="Z7" i="2" l="1"/>
  <c r="AC7" i="2" s="1"/>
  <c r="AB7" i="2"/>
  <c r="Z15" i="2"/>
  <c r="AC15" i="2" s="1"/>
  <c r="AB15" i="2"/>
  <c r="AB9" i="2"/>
  <c r="Z9" i="2"/>
  <c r="AC9" i="2" s="1"/>
  <c r="AB17" i="2"/>
  <c r="Z17" i="2"/>
  <c r="AC17" i="2" s="1"/>
  <c r="Z6" i="2"/>
  <c r="AC6" i="2" s="1"/>
  <c r="AB6" i="2"/>
  <c r="Z11" i="2"/>
  <c r="AC11" i="2" s="1"/>
  <c r="AB11" i="2"/>
  <c r="Z14" i="2"/>
  <c r="AB14" i="2"/>
  <c r="AC16" i="2"/>
  <c r="Z5" i="2"/>
  <c r="AC5" i="2" s="1"/>
  <c r="AB5" i="2"/>
  <c r="Z18" i="2"/>
  <c r="AC18" i="2" s="1"/>
  <c r="Z10" i="2"/>
  <c r="AC10" i="2" s="1"/>
  <c r="AB16" i="2"/>
  <c r="AB8" i="2"/>
  <c r="AC8" i="2" s="1"/>
  <c r="V11" i="2"/>
  <c r="V4" i="2"/>
  <c r="V12" i="2"/>
  <c r="V5" i="2"/>
  <c r="V13" i="2"/>
  <c r="V14" i="2"/>
  <c r="V6" i="2"/>
  <c r="V17" i="2"/>
  <c r="V18" i="2"/>
  <c r="V7" i="2"/>
  <c r="V15" i="2"/>
  <c r="V8" i="2"/>
  <c r="V16" i="2"/>
  <c r="V9" i="2"/>
  <c r="V10" i="2"/>
  <c r="T10" i="2"/>
  <c r="T9" i="2"/>
  <c r="T16" i="2"/>
  <c r="T8" i="2"/>
  <c r="T17" i="2"/>
  <c r="T15" i="2"/>
  <c r="T7" i="2"/>
  <c r="T18" i="2"/>
  <c r="T14" i="2"/>
  <c r="T6" i="2"/>
  <c r="T13" i="2"/>
  <c r="T5" i="2"/>
  <c r="T12" i="2"/>
  <c r="H17" i="2"/>
  <c r="I17" i="2"/>
  <c r="H18" i="2"/>
  <c r="I18" i="2"/>
  <c r="H19" i="2"/>
  <c r="I19" i="2"/>
  <c r="G19" i="2"/>
  <c r="Y15" i="1"/>
  <c r="AB15" i="1" s="1"/>
  <c r="AA15" i="1"/>
  <c r="Y13" i="1"/>
  <c r="AB13" i="1" s="1"/>
  <c r="AA13" i="1"/>
  <c r="AA10" i="1"/>
  <c r="Y10" i="1"/>
  <c r="AB10" i="1" s="1"/>
  <c r="AB9" i="1"/>
  <c r="Y7" i="1"/>
  <c r="AA7" i="1"/>
  <c r="Y5" i="1"/>
  <c r="AB5" i="1" s="1"/>
  <c r="AA5" i="1"/>
  <c r="AA18" i="1"/>
  <c r="Y18" i="1"/>
  <c r="AB18" i="1" s="1"/>
  <c r="AA16" i="1"/>
  <c r="AB16" i="1" s="1"/>
  <c r="AA8" i="1"/>
  <c r="AB8" i="1" s="1"/>
  <c r="U11" i="1"/>
  <c r="U4" i="1"/>
  <c r="U12" i="1"/>
  <c r="U5" i="1"/>
  <c r="U13" i="1"/>
  <c r="U15" i="1"/>
  <c r="U16" i="1"/>
  <c r="U6" i="1"/>
  <c r="U14" i="1"/>
  <c r="U7" i="1"/>
  <c r="U8" i="1"/>
  <c r="U9" i="1"/>
  <c r="U17" i="1"/>
  <c r="U10" i="1"/>
  <c r="U18" i="1"/>
  <c r="S11" i="1"/>
  <c r="S18" i="1"/>
  <c r="S10" i="1"/>
  <c r="S17" i="1"/>
  <c r="S9" i="1"/>
  <c r="S8" i="1"/>
  <c r="S15" i="1"/>
  <c r="S7" i="1"/>
  <c r="S16" i="1"/>
  <c r="S14" i="1"/>
  <c r="S6" i="1"/>
  <c r="S13" i="1"/>
  <c r="S5" i="1"/>
  <c r="S12" i="1"/>
  <c r="H17" i="1"/>
  <c r="I17" i="1"/>
  <c r="H18" i="1"/>
  <c r="I18" i="1"/>
  <c r="AC14" i="2" l="1"/>
  <c r="AB7" i="1"/>
  <c r="I12" i="1" l="1"/>
  <c r="J12" i="1"/>
  <c r="I13" i="1"/>
  <c r="J13" i="1"/>
  <c r="K12" i="1"/>
  <c r="L12" i="1"/>
  <c r="M12" i="1"/>
  <c r="H5" i="1"/>
  <c r="H7" i="1"/>
  <c r="K6" i="1"/>
  <c r="K4" i="1"/>
  <c r="K5" i="1"/>
  <c r="H4" i="1"/>
  <c r="H6" i="1"/>
  <c r="I12" i="2"/>
  <c r="J12" i="2"/>
  <c r="I13" i="2"/>
  <c r="J13" i="2"/>
  <c r="K12" i="2"/>
  <c r="L12" i="2"/>
  <c r="M12" i="2"/>
  <c r="H5" i="2"/>
  <c r="H6" i="2"/>
  <c r="H4" i="2"/>
  <c r="H7" i="2"/>
  <c r="K4" i="2"/>
  <c r="K5" i="2"/>
  <c r="K6" i="2"/>
</calcChain>
</file>

<file path=xl/sharedStrings.xml><?xml version="1.0" encoding="utf-8"?>
<sst xmlns="http://schemas.openxmlformats.org/spreadsheetml/2006/main" count="97" uniqueCount="49">
  <si>
    <t>Months Employed</t>
  </si>
  <si>
    <t>Scales Sold</t>
  </si>
  <si>
    <t>predSales</t>
  </si>
  <si>
    <t>residual</t>
  </si>
  <si>
    <t>resSq</t>
  </si>
  <si>
    <t>=MSE</t>
  </si>
  <si>
    <t>=RMSE</t>
  </si>
  <si>
    <t>Regression Analysis</t>
  </si>
  <si>
    <t>OVERALL FIT</t>
  </si>
  <si>
    <t>Multiple R</t>
  </si>
  <si>
    <t>R Square</t>
  </si>
  <si>
    <t>Adjusted R Square</t>
  </si>
  <si>
    <t>Standard Error</t>
  </si>
  <si>
    <t>Observations</t>
  </si>
  <si>
    <t>AIC</t>
  </si>
  <si>
    <t>AICc</t>
  </si>
  <si>
    <t>SBC</t>
  </si>
  <si>
    <t>ANOVA</t>
  </si>
  <si>
    <t>Alpha</t>
  </si>
  <si>
    <t>df</t>
  </si>
  <si>
    <t>SS</t>
  </si>
  <si>
    <t>MS</t>
  </si>
  <si>
    <t>F</t>
  </si>
  <si>
    <t>p-value</t>
  </si>
  <si>
    <t>sig</t>
  </si>
  <si>
    <t>Regression</t>
  </si>
  <si>
    <t>Residual</t>
  </si>
  <si>
    <t>Total</t>
  </si>
  <si>
    <t>coeff</t>
  </si>
  <si>
    <t>std err</t>
  </si>
  <si>
    <t>t stat</t>
  </si>
  <si>
    <t>lower</t>
  </si>
  <si>
    <t>upper</t>
  </si>
  <si>
    <t>Intercept</t>
  </si>
  <si>
    <t>Cook's D</t>
  </si>
  <si>
    <t>Obs</t>
  </si>
  <si>
    <t>Pred Y</t>
  </si>
  <si>
    <t>Leverage</t>
  </si>
  <si>
    <t>SResidual</t>
  </si>
  <si>
    <t>Mod MSE</t>
  </si>
  <si>
    <t>RStudent</t>
  </si>
  <si>
    <t>T-Test</t>
  </si>
  <si>
    <t>DFFITS</t>
  </si>
  <si>
    <t>SSE</t>
  </si>
  <si>
    <t>dfE</t>
  </si>
  <si>
    <t>MSE</t>
  </si>
  <si>
    <t>k</t>
  </si>
  <si>
    <t>monthsSq</t>
  </si>
  <si>
    <t>vif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</si>
</sst>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Scales Sold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2050815427567743"/>
                  <c:y val="-0.188954524921931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Sheet1!$A$2:$A$16</c:f>
              <c:numCache>
                <c:formatCode>General</c:formatCode>
                <c:ptCount val="15"/>
                <c:pt idx="0">
                  <c:v>41</c:v>
                </c:pt>
                <c:pt idx="1">
                  <c:v>106</c:v>
                </c:pt>
                <c:pt idx="2">
                  <c:v>76</c:v>
                </c:pt>
                <c:pt idx="3">
                  <c:v>100</c:v>
                </c:pt>
                <c:pt idx="4">
                  <c:v>22</c:v>
                </c:pt>
                <c:pt idx="5">
                  <c:v>12</c:v>
                </c:pt>
                <c:pt idx="6">
                  <c:v>85</c:v>
                </c:pt>
                <c:pt idx="7">
                  <c:v>111</c:v>
                </c:pt>
                <c:pt idx="8">
                  <c:v>40</c:v>
                </c:pt>
                <c:pt idx="9">
                  <c:v>51</c:v>
                </c:pt>
                <c:pt idx="10">
                  <c:v>0</c:v>
                </c:pt>
                <c:pt idx="11">
                  <c:v>12</c:v>
                </c:pt>
                <c:pt idx="12">
                  <c:v>6</c:v>
                </c:pt>
                <c:pt idx="13">
                  <c:v>56</c:v>
                </c:pt>
                <c:pt idx="14">
                  <c:v>19</c:v>
                </c:pt>
              </c:numCache>
            </c:numRef>
          </c:xVal>
          <c:yVal>
            <c:numRef>
              <c:f>Sheet1!$B$2:$B$16</c:f>
              <c:numCache>
                <c:formatCode>General</c:formatCode>
                <c:ptCount val="15"/>
                <c:pt idx="0">
                  <c:v>275</c:v>
                </c:pt>
                <c:pt idx="1">
                  <c:v>296</c:v>
                </c:pt>
                <c:pt idx="2">
                  <c:v>317</c:v>
                </c:pt>
                <c:pt idx="3">
                  <c:v>376</c:v>
                </c:pt>
                <c:pt idx="4">
                  <c:v>162</c:v>
                </c:pt>
                <c:pt idx="5">
                  <c:v>150</c:v>
                </c:pt>
                <c:pt idx="6">
                  <c:v>367</c:v>
                </c:pt>
                <c:pt idx="7">
                  <c:v>308</c:v>
                </c:pt>
                <c:pt idx="8">
                  <c:v>189</c:v>
                </c:pt>
                <c:pt idx="9">
                  <c:v>235</c:v>
                </c:pt>
                <c:pt idx="10">
                  <c:v>83</c:v>
                </c:pt>
                <c:pt idx="11">
                  <c:v>112</c:v>
                </c:pt>
                <c:pt idx="12">
                  <c:v>67</c:v>
                </c:pt>
                <c:pt idx="13">
                  <c:v>325</c:v>
                </c:pt>
                <c:pt idx="14">
                  <c:v>189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63-4DFC-B4B5-2618863163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9646671"/>
        <c:axId val="1179660111"/>
      </c:scatterChart>
      <c:valAx>
        <c:axId val="1179646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9660111"/>
        <c:crosses val="autoZero"/>
        <c:crossBetween val="midCat"/>
      </c:valAx>
      <c:valAx>
        <c:axId val="1179660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9646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Sheet1!$C$2:$C$16</c:f>
              <c:numCache>
                <c:formatCode>General</c:formatCode>
                <c:ptCount val="15"/>
                <c:pt idx="0">
                  <c:v>210.92000000000002</c:v>
                </c:pt>
                <c:pt idx="1">
                  <c:v>364.97</c:v>
                </c:pt>
                <c:pt idx="2">
                  <c:v>293.87</c:v>
                </c:pt>
                <c:pt idx="3">
                  <c:v>350.75</c:v>
                </c:pt>
                <c:pt idx="4">
                  <c:v>165.89</c:v>
                </c:pt>
                <c:pt idx="5">
                  <c:v>142.19</c:v>
                </c:pt>
                <c:pt idx="6">
                  <c:v>315.20000000000005</c:v>
                </c:pt>
                <c:pt idx="7">
                  <c:v>376.82</c:v>
                </c:pt>
                <c:pt idx="8">
                  <c:v>208.55</c:v>
                </c:pt>
                <c:pt idx="9">
                  <c:v>234.62</c:v>
                </c:pt>
                <c:pt idx="10">
                  <c:v>113.75</c:v>
                </c:pt>
                <c:pt idx="11">
                  <c:v>142.19</c:v>
                </c:pt>
                <c:pt idx="12">
                  <c:v>127.97</c:v>
                </c:pt>
                <c:pt idx="13">
                  <c:v>246.47</c:v>
                </c:pt>
                <c:pt idx="14">
                  <c:v>158.78</c:v>
                </c:pt>
              </c:numCache>
            </c:numRef>
          </c:xVal>
          <c:yVal>
            <c:numRef>
              <c:f>Sheet1!$D$2:$D$16</c:f>
              <c:numCache>
                <c:formatCode>General</c:formatCode>
                <c:ptCount val="15"/>
                <c:pt idx="0">
                  <c:v>64.079999999999984</c:v>
                </c:pt>
                <c:pt idx="1">
                  <c:v>-68.970000000000027</c:v>
                </c:pt>
                <c:pt idx="2">
                  <c:v>23.129999999999995</c:v>
                </c:pt>
                <c:pt idx="3">
                  <c:v>25.25</c:v>
                </c:pt>
                <c:pt idx="4">
                  <c:v>-3.8899999999999864</c:v>
                </c:pt>
                <c:pt idx="5">
                  <c:v>7.8100000000000023</c:v>
                </c:pt>
                <c:pt idx="6">
                  <c:v>51.799999999999955</c:v>
                </c:pt>
                <c:pt idx="7">
                  <c:v>-68.819999999999993</c:v>
                </c:pt>
                <c:pt idx="8">
                  <c:v>-19.550000000000011</c:v>
                </c:pt>
                <c:pt idx="9">
                  <c:v>0.37999999999999545</c:v>
                </c:pt>
                <c:pt idx="10">
                  <c:v>-30.75</c:v>
                </c:pt>
                <c:pt idx="11">
                  <c:v>-30.189999999999998</c:v>
                </c:pt>
                <c:pt idx="12">
                  <c:v>-60.97</c:v>
                </c:pt>
                <c:pt idx="13">
                  <c:v>78.53</c:v>
                </c:pt>
                <c:pt idx="14">
                  <c:v>30.22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B2-4BEA-9EB0-6BE794A9B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7940447"/>
        <c:axId val="1177932287"/>
      </c:scatterChart>
      <c:valAx>
        <c:axId val="1177940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7932287"/>
        <c:crosses val="autoZero"/>
        <c:crossBetween val="midCat"/>
      </c:valAx>
      <c:valAx>
        <c:axId val="117793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79404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Sheet2!$T$4:$T$18</c:f>
              <c:numCache>
                <c:formatCode>General</c:formatCode>
                <c:ptCount val="15"/>
                <c:pt idx="0">
                  <c:v>247.91447748891329</c:v>
                </c:pt>
                <c:pt idx="1">
                  <c:v>329.90463302110396</c:v>
                </c:pt>
                <c:pt idx="2">
                  <c:v>324.62309163390717</c:v>
                </c:pt>
                <c:pt idx="3">
                  <c:v>333.31370561567786</c:v>
                </c:pt>
                <c:pt idx="4">
                  <c:v>174.45681966853681</c:v>
                </c:pt>
                <c:pt idx="5">
                  <c:v>126.80211357711322</c:v>
                </c:pt>
                <c:pt idx="6">
                  <c:v>332.06836644458355</c:v>
                </c:pt>
                <c:pt idx="7">
                  <c:v>325.35821177589861</c:v>
                </c:pt>
                <c:pt idx="8">
                  <c:v>244.60645758105304</c:v>
                </c:pt>
                <c:pt idx="9">
                  <c:v>277.58362173472813</c:v>
                </c:pt>
                <c:pt idx="10">
                  <c:v>61.429934668714054</c:v>
                </c:pt>
                <c:pt idx="11">
                  <c:v>126.80211357711322</c:v>
                </c:pt>
                <c:pt idx="12">
                  <c:v>95.232369340916932</c:v>
                </c:pt>
                <c:pt idx="13">
                  <c:v>290.09247465346198</c:v>
                </c:pt>
                <c:pt idx="14">
                  <c:v>160.81160921827833</c:v>
                </c:pt>
              </c:numCache>
            </c:numRef>
          </c:xVal>
          <c:yVal>
            <c:numRef>
              <c:f>Sheet2!$U$4:$U$18</c:f>
              <c:numCache>
                <c:formatCode>General</c:formatCode>
                <c:ptCount val="15"/>
                <c:pt idx="0">
                  <c:v>27.085522511086708</c:v>
                </c:pt>
                <c:pt idx="1">
                  <c:v>-33.904633021103962</c:v>
                </c:pt>
                <c:pt idx="2">
                  <c:v>-7.6230916339071655</c:v>
                </c:pt>
                <c:pt idx="3">
                  <c:v>42.686294384322139</c:v>
                </c:pt>
                <c:pt idx="4">
                  <c:v>-12.456819668536809</c:v>
                </c:pt>
                <c:pt idx="5">
                  <c:v>23.197886422886782</c:v>
                </c:pt>
                <c:pt idx="6">
                  <c:v>34.931633555416454</c:v>
                </c:pt>
                <c:pt idx="7">
                  <c:v>-17.35821177589861</c:v>
                </c:pt>
                <c:pt idx="8">
                  <c:v>-55.606457581053036</c:v>
                </c:pt>
                <c:pt idx="9">
                  <c:v>-42.583621734728126</c:v>
                </c:pt>
                <c:pt idx="10">
                  <c:v>21.570065331285946</c:v>
                </c:pt>
                <c:pt idx="11">
                  <c:v>-14.802113577113218</c:v>
                </c:pt>
                <c:pt idx="12">
                  <c:v>-28.232369340916932</c:v>
                </c:pt>
                <c:pt idx="13">
                  <c:v>34.907525346538023</c:v>
                </c:pt>
                <c:pt idx="14">
                  <c:v>28.188390781721665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BC-4163-B38E-3B6F09236F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735360"/>
        <c:axId val="334754080"/>
      </c:scatterChart>
      <c:valAx>
        <c:axId val="334735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754080"/>
        <c:crosses val="autoZero"/>
        <c:crossBetween val="midCat"/>
      </c:valAx>
      <c:valAx>
        <c:axId val="33475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735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72659</xdr:rowOff>
    </xdr:from>
    <xdr:to>
      <xdr:col>3</xdr:col>
      <xdr:colOff>512836</xdr:colOff>
      <xdr:row>28</xdr:row>
      <xdr:rowOff>147373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266C78-CD93-5227-F9B7-140F36BFAC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265044</xdr:colOff>
      <xdr:row>12</xdr:row>
      <xdr:rowOff>149087</xdr:rowOff>
    </xdr:from>
    <xdr:to>
      <xdr:col>13</xdr:col>
      <xdr:colOff>490330</xdr:colOff>
      <xdr:row>27</xdr:row>
      <xdr:rowOff>43070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1ABCA0A-BB3A-9BB8-19E8-3955E1D015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442547</xdr:colOff>
      <xdr:row>13</xdr:row>
      <xdr:rowOff>29308</xdr:rowOff>
    </xdr:from>
    <xdr:to>
      <xdr:col>25</xdr:col>
      <xdr:colOff>137747</xdr:colOff>
      <xdr:row>27</xdr:row>
      <xdr:rowOff>164123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A7AD780-BF45-C041-A0BF-BA26766FF0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oman\Downloads\XRealStatsX.xlam" TargetMode="External"/><Relationship Id="rId1" Type="http://schemas.openxmlformats.org/officeDocument/2006/relationships/externalLinkPath" Target="/Users/noman/Downloads/XRealStatsX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Kendall Tc"/>
      <sheetName val="Kendall u"/>
      <sheetName val="Page Table"/>
      <sheetName val="Prime"/>
      <sheetName val="MSSD"/>
      <sheetName val="Dict"/>
      <sheetName val="ADict"/>
    </sheetNames>
    <definedNames>
      <definedName name="DEsign"/>
      <definedName name="LEVERAGE"/>
      <definedName name="RegCoeff"/>
      <definedName name="VIF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7A055-7F4E-4359-BAFB-95C17816D71D}">
  <dimension ref="A1:AE19"/>
  <sheetViews>
    <sheetView topLeftCell="A9" zoomScale="115" zoomScaleNormal="115" workbookViewId="0">
      <selection activeCell="H6" sqref="H6"/>
    </sheetView>
  </sheetViews>
  <sheetFormatPr defaultRowHeight="14.4" x14ac:dyDescent="0.3"/>
  <cols>
    <col min="1" max="1" width="24.5546875" customWidth="1"/>
    <col min="2" max="2" width="12.44140625" customWidth="1"/>
    <col min="7" max="7" width="17.21875" customWidth="1"/>
  </cols>
  <sheetData>
    <row r="1" spans="1:31" ht="15.6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G1" t="s">
        <v>7</v>
      </c>
      <c r="P1" t="s">
        <v>34</v>
      </c>
    </row>
    <row r="2" spans="1:31" ht="16.2" thickBot="1" x14ac:dyDescent="0.35">
      <c r="A2" s="2">
        <v>41</v>
      </c>
      <c r="B2" s="2">
        <v>275</v>
      </c>
      <c r="C2">
        <f>A2*2.37 + 113.75</f>
        <v>210.92000000000002</v>
      </c>
      <c r="D2">
        <f>B2-C2</f>
        <v>64.079999999999984</v>
      </c>
      <c r="E2">
        <f>D2^2</f>
        <v>4106.2463999999982</v>
      </c>
    </row>
    <row r="3" spans="1:31" ht="16.8" thickTop="1" thickBot="1" x14ac:dyDescent="0.35">
      <c r="A3" s="2">
        <v>106</v>
      </c>
      <c r="B3" s="2">
        <v>296</v>
      </c>
      <c r="C3">
        <f t="shared" ref="C3:C16" si="0">A3*2.37 + 113.75</f>
        <v>364.97</v>
      </c>
      <c r="D3">
        <f t="shared" ref="D3:D16" si="1">B3-C3</f>
        <v>-68.970000000000027</v>
      </c>
      <c r="E3">
        <f t="shared" ref="E3:E16" si="2">D3^2</f>
        <v>4756.8609000000033</v>
      </c>
      <c r="G3" s="4" t="s">
        <v>8</v>
      </c>
      <c r="H3" s="4"/>
      <c r="J3" s="4"/>
      <c r="K3" s="4"/>
      <c r="P3" s="7" t="s">
        <v>35</v>
      </c>
      <c r="Q3" s="7" t="str">
        <f>A1</f>
        <v>Months Employed</v>
      </c>
      <c r="R3" s="7" t="str">
        <f>B1</f>
        <v>Scales Sold</v>
      </c>
      <c r="S3" s="7" t="s">
        <v>36</v>
      </c>
      <c r="T3" s="7" t="s">
        <v>26</v>
      </c>
      <c r="U3" s="7" t="s">
        <v>37</v>
      </c>
      <c r="V3" s="7" t="s">
        <v>38</v>
      </c>
      <c r="W3" s="7" t="s">
        <v>39</v>
      </c>
      <c r="X3" s="7" t="s">
        <v>40</v>
      </c>
      <c r="Y3" s="7" t="s">
        <v>41</v>
      </c>
      <c r="Z3" s="7" t="s">
        <v>34</v>
      </c>
      <c r="AA3" s="7" t="s">
        <v>42</v>
      </c>
    </row>
    <row r="4" spans="1:31" ht="16.2" thickTop="1" x14ac:dyDescent="0.3">
      <c r="A4" s="2">
        <v>76</v>
      </c>
      <c r="B4" s="2">
        <v>317</v>
      </c>
      <c r="C4">
        <f t="shared" si="0"/>
        <v>293.87</v>
      </c>
      <c r="D4">
        <f t="shared" si="1"/>
        <v>23.129999999999995</v>
      </c>
      <c r="E4">
        <f t="shared" si="2"/>
        <v>534.99689999999975</v>
      </c>
      <c r="G4" t="s">
        <v>9</v>
      </c>
      <c r="H4">
        <f>SQRT(H5)</f>
        <v>0.8888975148546423</v>
      </c>
      <c r="J4" t="s">
        <v>14</v>
      </c>
      <c r="K4">
        <f>H8*LN(I13/H8)+2*(H12+1)</f>
        <v>118.29475423312907</v>
      </c>
      <c r="P4">
        <v>1</v>
      </c>
      <c r="Q4">
        <f t="shared" ref="Q4:Q18" si="3">A2</f>
        <v>41</v>
      </c>
      <c r="R4">
        <f t="shared" ref="R4:R18" si="4">B2</f>
        <v>275</v>
      </c>
      <c r="S4">
        <f t="array" ref="S4:S18">TREND(B2:B16,A2:A16)</f>
        <v>210.81129588384641</v>
      </c>
      <c r="T4">
        <f>R4-S4</f>
        <v>64.188704116153588</v>
      </c>
      <c r="U4">
        <f t="array" ref="U4:U18">[1]!LEVERAGE(A2:A16)</f>
        <v>6.9888248930215641E-2</v>
      </c>
      <c r="V4">
        <f>T4/SQRT($AD$6)</f>
        <v>1.3237275838212674</v>
      </c>
      <c r="W4">
        <f>($AD$6-T4^2/((1-U4)*$AD$5))*$AD$5/($AD$5-1)</f>
        <v>2178.1633953504606</v>
      </c>
      <c r="X4">
        <f>T4/SQRT(W4*(1-U4))</f>
        <v>1.4260863225745544</v>
      </c>
      <c r="Y4">
        <f>_xlfn.T.DIST.2T(ABS(X4),$AD$5)</f>
        <v>0.17741374877689733</v>
      </c>
      <c r="Z4">
        <f>(T4^2/$AD$6)*(U4/(1-U4)^2)/($AD$7+1)</f>
        <v>7.0778464809632458E-2</v>
      </c>
      <c r="AA4">
        <f>X4*SQRT(U4/(1-U4))</f>
        <v>0.39091319375589351</v>
      </c>
      <c r="AB4" t="str">
        <f>IF(OR(Y4&lt;0.05,Z4&gt;=1,ABS(AA4)&gt;=1),"*","")</f>
        <v/>
      </c>
      <c r="AC4" t="s">
        <v>43</v>
      </c>
      <c r="AD4" s="8">
        <f>DEVSQ(T4:T18)</f>
        <v>30567.739995324766</v>
      </c>
    </row>
    <row r="5" spans="1:31" ht="15.6" x14ac:dyDescent="0.3">
      <c r="A5" s="2">
        <v>100</v>
      </c>
      <c r="B5" s="2">
        <v>376</v>
      </c>
      <c r="C5">
        <f t="shared" si="0"/>
        <v>350.75</v>
      </c>
      <c r="D5">
        <f t="shared" si="1"/>
        <v>25.25</v>
      </c>
      <c r="E5">
        <f t="shared" si="2"/>
        <v>637.5625</v>
      </c>
      <c r="G5" t="s">
        <v>10</v>
      </c>
      <c r="H5">
        <f>I12/I14</f>
        <v>0.79013879191475911</v>
      </c>
      <c r="J5" t="s">
        <v>15</v>
      </c>
      <c r="K5">
        <f>K4+2*(H12+2)*(H12+3)/(H8-H12-3)</f>
        <v>120.47657241494726</v>
      </c>
      <c r="P5">
        <f>P4+1</f>
        <v>2</v>
      </c>
      <c r="Q5">
        <f t="shared" si="3"/>
        <v>106</v>
      </c>
      <c r="R5">
        <f t="shared" si="4"/>
        <v>296</v>
      </c>
      <c r="S5">
        <v>364.69643123835249</v>
      </c>
      <c r="T5">
        <f t="shared" ref="T5:T18" si="5">R5-S5</f>
        <v>-68.696431238352488</v>
      </c>
      <c r="U5">
        <v>0.22415472425861827</v>
      </c>
      <c r="V5">
        <f t="shared" ref="V5:V18" si="6">T5/SQRT($AD$6)</f>
        <v>-1.4166879078246351</v>
      </c>
      <c r="W5">
        <f t="shared" ref="W5:W18" si="7">($AD$6-T5^2/((1-U5)*$AD$5))*$AD$5/($AD$5-1)</f>
        <v>2040.4236938463794</v>
      </c>
      <c r="X5">
        <f t="shared" ref="X5:X18" si="8">T5/SQRT(W5*(1-U5))</f>
        <v>-1.7265789315638198</v>
      </c>
      <c r="Y5">
        <f t="shared" ref="Y5:Y18" si="9">_xlfn.T.DIST.2T(ABS(X5),$AD$5)</f>
        <v>0.1079128428303557</v>
      </c>
      <c r="Z5">
        <f t="shared" ref="Z5:Z18" si="10">(T5^2/$AD$6)*(U5/(1-U5)^2)/($AD$7+1)</f>
        <v>0.3736939224557248</v>
      </c>
      <c r="AA5">
        <f t="shared" ref="AA5:AA18" si="11">X5*SQRT(U5/(1-U5))</f>
        <v>-0.92805309921035151</v>
      </c>
      <c r="AB5" t="str">
        <f t="shared" ref="AB5:AB18" si="12">IF(OR(Y5&lt;0.05,Z5&gt;=1,ABS(AA5)&gt;=1),"*","")</f>
        <v/>
      </c>
      <c r="AC5" t="s">
        <v>44</v>
      </c>
      <c r="AD5" s="9">
        <f>COUNT(B2:B16)-AD7-1</f>
        <v>13</v>
      </c>
    </row>
    <row r="6" spans="1:31" ht="15.6" x14ac:dyDescent="0.3">
      <c r="A6" s="2">
        <v>22</v>
      </c>
      <c r="B6" s="2">
        <v>162</v>
      </c>
      <c r="C6">
        <f t="shared" si="0"/>
        <v>165.89</v>
      </c>
      <c r="D6">
        <f t="shared" si="1"/>
        <v>-3.8899999999999864</v>
      </c>
      <c r="E6">
        <f t="shared" si="2"/>
        <v>15.132099999999895</v>
      </c>
      <c r="G6" t="s">
        <v>11</v>
      </c>
      <c r="H6">
        <f>1-(1-H5)*(H8-1)/(H8-H12-1)</f>
        <v>0.77399562206204831</v>
      </c>
      <c r="J6" s="5" t="s">
        <v>16</v>
      </c>
      <c r="K6" s="5">
        <f>H8*LN(I13/H8)+(H12+1)*LN(H8)</f>
        <v>119.71085463533349</v>
      </c>
      <c r="P6">
        <f t="shared" ref="P6:P18" si="13">P5+1</f>
        <v>3</v>
      </c>
      <c r="Q6">
        <f t="shared" si="3"/>
        <v>76</v>
      </c>
      <c r="R6">
        <f t="shared" si="4"/>
        <v>317</v>
      </c>
      <c r="S6">
        <v>293.67252261319584</v>
      </c>
      <c r="T6">
        <f t="shared" si="5"/>
        <v>23.327477386804162</v>
      </c>
      <c r="U6">
        <v>0.10181944507574525</v>
      </c>
      <c r="V6">
        <f t="shared" si="6"/>
        <v>0.48106946078863938</v>
      </c>
      <c r="W6">
        <f t="shared" si="7"/>
        <v>2496.8233765294867</v>
      </c>
      <c r="X6">
        <f t="shared" si="8"/>
        <v>0.4925973168337513</v>
      </c>
      <c r="Y6">
        <f t="shared" si="9"/>
        <v>0.6305120389846699</v>
      </c>
      <c r="Z6">
        <f t="shared" si="10"/>
        <v>1.4604577872705688E-2</v>
      </c>
      <c r="AA6">
        <f t="shared" si="11"/>
        <v>0.16585385884271547</v>
      </c>
      <c r="AB6" t="str">
        <f t="shared" si="12"/>
        <v/>
      </c>
      <c r="AC6" t="s">
        <v>45</v>
      </c>
      <c r="AD6" s="9">
        <f>AD4/AD5</f>
        <v>2351.364615024982</v>
      </c>
      <c r="AE6">
        <f>SQRT(AD6)</f>
        <v>48.490871460770656</v>
      </c>
    </row>
    <row r="7" spans="1:31" ht="15.6" x14ac:dyDescent="0.3">
      <c r="A7" s="2">
        <v>12</v>
      </c>
      <c r="B7" s="2">
        <v>150</v>
      </c>
      <c r="C7">
        <f t="shared" si="0"/>
        <v>142.19</v>
      </c>
      <c r="D7">
        <f t="shared" si="1"/>
        <v>7.8100000000000023</v>
      </c>
      <c r="E7">
        <f t="shared" si="2"/>
        <v>60.996100000000034</v>
      </c>
      <c r="G7" t="s">
        <v>12</v>
      </c>
      <c r="H7">
        <f>SQRT(J13)</f>
        <v>48.49087146077062</v>
      </c>
      <c r="P7">
        <f t="shared" si="13"/>
        <v>4</v>
      </c>
      <c r="Q7">
        <f t="shared" si="3"/>
        <v>100</v>
      </c>
      <c r="R7">
        <f t="shared" si="4"/>
        <v>376</v>
      </c>
      <c r="S7">
        <v>350.49164951332119</v>
      </c>
      <c r="T7">
        <f t="shared" si="5"/>
        <v>25.508350486678808</v>
      </c>
      <c r="U7">
        <v>0.1926748180230255</v>
      </c>
      <c r="V7">
        <f t="shared" si="6"/>
        <v>0.52604438151447086</v>
      </c>
      <c r="W7">
        <f t="shared" si="7"/>
        <v>2480.1479055152731</v>
      </c>
      <c r="X7">
        <f t="shared" si="8"/>
        <v>0.57005838155856503</v>
      </c>
      <c r="Y7">
        <f t="shared" si="9"/>
        <v>0.57835742825671754</v>
      </c>
      <c r="Z7">
        <f t="shared" si="10"/>
        <v>4.0901829720366913E-2</v>
      </c>
      <c r="AA7">
        <f t="shared" si="11"/>
        <v>0.27848869152024741</v>
      </c>
      <c r="AB7" t="str">
        <f t="shared" si="12"/>
        <v/>
      </c>
      <c r="AC7" t="s">
        <v>46</v>
      </c>
      <c r="AD7" s="10">
        <f>COUNT(A2)</f>
        <v>1</v>
      </c>
    </row>
    <row r="8" spans="1:31" ht="15.6" x14ac:dyDescent="0.3">
      <c r="A8" s="2">
        <v>85</v>
      </c>
      <c r="B8" s="2">
        <v>367</v>
      </c>
      <c r="C8">
        <f t="shared" si="0"/>
        <v>315.20000000000005</v>
      </c>
      <c r="D8">
        <f t="shared" si="1"/>
        <v>51.799999999999955</v>
      </c>
      <c r="E8">
        <f t="shared" si="2"/>
        <v>2683.2399999999952</v>
      </c>
      <c r="G8" s="5" t="s">
        <v>13</v>
      </c>
      <c r="H8" s="5">
        <f>COUNT(B2:B16)</f>
        <v>15</v>
      </c>
      <c r="P8">
        <f t="shared" si="13"/>
        <v>5</v>
      </c>
      <c r="Q8">
        <f t="shared" si="3"/>
        <v>22</v>
      </c>
      <c r="R8">
        <f t="shared" si="4"/>
        <v>162</v>
      </c>
      <c r="S8">
        <v>165.82948708791386</v>
      </c>
      <c r="T8">
        <f t="shared" si="5"/>
        <v>-3.8294870879138614</v>
      </c>
      <c r="U8">
        <v>0.10252073011564711</v>
      </c>
      <c r="V8">
        <f t="shared" si="6"/>
        <v>-7.8973360811053578E-2</v>
      </c>
      <c r="W8">
        <f t="shared" si="7"/>
        <v>2545.9499847459324</v>
      </c>
      <c r="X8">
        <f t="shared" si="8"/>
        <v>-8.0113086256101404E-2</v>
      </c>
      <c r="Y8">
        <f t="shared" si="9"/>
        <v>0.93736747831300649</v>
      </c>
      <c r="Z8">
        <f t="shared" si="10"/>
        <v>3.9691186677319934E-4</v>
      </c>
      <c r="AA8">
        <f t="shared" si="11"/>
        <v>-2.7076784901591853E-2</v>
      </c>
      <c r="AB8" t="str">
        <f t="shared" si="12"/>
        <v/>
      </c>
    </row>
    <row r="9" spans="1:31" ht="15.6" x14ac:dyDescent="0.3">
      <c r="A9" s="2">
        <v>111</v>
      </c>
      <c r="B9" s="2">
        <v>308</v>
      </c>
      <c r="C9">
        <f t="shared" si="0"/>
        <v>376.82</v>
      </c>
      <c r="D9">
        <f t="shared" si="1"/>
        <v>-68.819999999999993</v>
      </c>
      <c r="E9">
        <f t="shared" si="2"/>
        <v>4736.192399999999</v>
      </c>
      <c r="P9">
        <f t="shared" si="13"/>
        <v>6</v>
      </c>
      <c r="Q9">
        <f t="shared" si="3"/>
        <v>12</v>
      </c>
      <c r="R9">
        <f t="shared" si="4"/>
        <v>150</v>
      </c>
      <c r="S9">
        <v>142.15485087952831</v>
      </c>
      <c r="T9">
        <f t="shared" si="5"/>
        <v>7.8451491204716888</v>
      </c>
      <c r="U9">
        <v>0.13381882171126538</v>
      </c>
      <c r="V9">
        <f t="shared" si="6"/>
        <v>0.16178610291255441</v>
      </c>
      <c r="W9">
        <f t="shared" si="7"/>
        <v>2541.3904296404021</v>
      </c>
      <c r="X9">
        <f t="shared" si="8"/>
        <v>0.16720957258932642</v>
      </c>
      <c r="Y9">
        <f t="shared" si="9"/>
        <v>0.86977813460749631</v>
      </c>
      <c r="Z9">
        <f t="shared" si="10"/>
        <v>2.3342756983474847E-3</v>
      </c>
      <c r="AA9">
        <f t="shared" si="11"/>
        <v>6.5722695401572898E-2</v>
      </c>
      <c r="AB9" t="str">
        <f t="shared" si="12"/>
        <v/>
      </c>
    </row>
    <row r="10" spans="1:31" ht="16.2" thickBot="1" x14ac:dyDescent="0.35">
      <c r="A10" s="2">
        <v>40</v>
      </c>
      <c r="B10" s="2">
        <v>189</v>
      </c>
      <c r="C10">
        <f t="shared" si="0"/>
        <v>208.55</v>
      </c>
      <c r="D10">
        <f t="shared" si="1"/>
        <v>-19.550000000000011</v>
      </c>
      <c r="E10">
        <f t="shared" si="2"/>
        <v>382.20250000000044</v>
      </c>
      <c r="G10" t="s">
        <v>17</v>
      </c>
      <c r="K10" s="6" t="s">
        <v>18</v>
      </c>
      <c r="L10" s="6">
        <v>0.05</v>
      </c>
      <c r="P10">
        <f t="shared" si="13"/>
        <v>7</v>
      </c>
      <c r="Q10">
        <f t="shared" si="3"/>
        <v>85</v>
      </c>
      <c r="R10">
        <f t="shared" si="4"/>
        <v>367</v>
      </c>
      <c r="S10">
        <v>314.97969520074287</v>
      </c>
      <c r="T10">
        <f t="shared" si="5"/>
        <v>52.020304799257133</v>
      </c>
      <c r="U10">
        <v>0.12931566268189576</v>
      </c>
      <c r="V10">
        <f t="shared" si="6"/>
        <v>1.0727855209065855</v>
      </c>
      <c r="W10">
        <f t="shared" si="7"/>
        <v>2288.30925524034</v>
      </c>
      <c r="X10">
        <f t="shared" si="8"/>
        <v>1.1654272483279966</v>
      </c>
      <c r="Y10">
        <f t="shared" si="9"/>
        <v>0.26478482121715269</v>
      </c>
      <c r="Z10">
        <f t="shared" si="10"/>
        <v>9.8157949306403453E-2</v>
      </c>
      <c r="AA10">
        <f t="shared" si="11"/>
        <v>0.44913858533899476</v>
      </c>
      <c r="AB10" t="str">
        <f t="shared" si="12"/>
        <v/>
      </c>
    </row>
    <row r="11" spans="1:31" ht="16.2" thickTop="1" x14ac:dyDescent="0.3">
      <c r="A11" s="2">
        <v>51</v>
      </c>
      <c r="B11" s="2">
        <v>235</v>
      </c>
      <c r="C11">
        <f t="shared" si="0"/>
        <v>234.62</v>
      </c>
      <c r="D11">
        <f t="shared" si="1"/>
        <v>0.37999999999999545</v>
      </c>
      <c r="E11">
        <f t="shared" si="2"/>
        <v>0.14439999999999653</v>
      </c>
      <c r="G11" s="7"/>
      <c r="H11" s="7" t="s">
        <v>19</v>
      </c>
      <c r="I11" s="7" t="s">
        <v>20</v>
      </c>
      <c r="J11" s="7" t="s">
        <v>21</v>
      </c>
      <c r="K11" s="7" t="s">
        <v>22</v>
      </c>
      <c r="L11" s="7" t="s">
        <v>23</v>
      </c>
      <c r="M11" s="7" t="s">
        <v>24</v>
      </c>
      <c r="P11">
        <f t="shared" si="13"/>
        <v>8</v>
      </c>
      <c r="Q11">
        <f t="shared" si="3"/>
        <v>111</v>
      </c>
      <c r="R11">
        <f t="shared" si="4"/>
        <v>308</v>
      </c>
      <c r="S11">
        <v>376.53374934254532</v>
      </c>
      <c r="T11">
        <f t="shared" si="5"/>
        <v>-68.53374934254532</v>
      </c>
      <c r="U11">
        <v>0.25306649870457065</v>
      </c>
      <c r="V11">
        <f t="shared" si="6"/>
        <v>-1.4133330104819719</v>
      </c>
      <c r="W11">
        <f t="shared" si="7"/>
        <v>2023.2941565968292</v>
      </c>
      <c r="X11">
        <f t="shared" si="8"/>
        <v>-1.7629256994144673</v>
      </c>
      <c r="Y11">
        <f t="shared" si="9"/>
        <v>0.10138921558633804</v>
      </c>
      <c r="Z11">
        <f t="shared" si="10"/>
        <v>0.45303294826629059</v>
      </c>
      <c r="AA11">
        <f t="shared" si="11"/>
        <v>-1.0261488616070813</v>
      </c>
      <c r="AB11" t="str">
        <f t="shared" si="12"/>
        <v>*</v>
      </c>
    </row>
    <row r="12" spans="1:31" ht="15.6" x14ac:dyDescent="0.3">
      <c r="A12" s="2">
        <v>0</v>
      </c>
      <c r="B12" s="2">
        <v>83</v>
      </c>
      <c r="C12">
        <f t="shared" si="0"/>
        <v>113.75</v>
      </c>
      <c r="D12">
        <f t="shared" si="1"/>
        <v>-30.75</v>
      </c>
      <c r="E12">
        <f t="shared" si="2"/>
        <v>945.5625</v>
      </c>
      <c r="G12" t="s">
        <v>25</v>
      </c>
      <c r="H12">
        <f>COUNT(A2)</f>
        <v>1</v>
      </c>
      <c r="I12">
        <f>DEVSQ(MMULT([1]!DEsign(A2:A16),H17:H18))</f>
        <v>115089.19333800863</v>
      </c>
      <c r="J12">
        <f>I12/H12</f>
        <v>115089.19333800863</v>
      </c>
      <c r="K12">
        <f>J12/J13</f>
        <v>48.945702679457064</v>
      </c>
      <c r="L12">
        <f>_xlfn.F.DIST.RT(K12,H12,H13)</f>
        <v>9.3954273924222469E-6</v>
      </c>
      <c r="M12" s="6" t="str">
        <f>IF(L12&lt;L10,"yes","no")</f>
        <v>yes</v>
      </c>
      <c r="P12">
        <f t="shared" si="13"/>
        <v>9</v>
      </c>
      <c r="Q12">
        <f t="shared" si="3"/>
        <v>40</v>
      </c>
      <c r="R12">
        <f t="shared" si="4"/>
        <v>189</v>
      </c>
      <c r="S12">
        <v>208.44383226300786</v>
      </c>
      <c r="T12">
        <f t="shared" si="5"/>
        <v>-19.443832263007863</v>
      </c>
      <c r="U12">
        <v>7.0729141640097914E-2</v>
      </c>
      <c r="V12">
        <f t="shared" si="6"/>
        <v>-0.40097922922952656</v>
      </c>
      <c r="W12">
        <f t="shared" si="7"/>
        <v>2513.4085071791842</v>
      </c>
      <c r="X12">
        <f t="shared" si="8"/>
        <v>-0.40232698853865817</v>
      </c>
      <c r="Y12">
        <f t="shared" si="9"/>
        <v>0.69398046877015751</v>
      </c>
      <c r="Z12">
        <f t="shared" si="10"/>
        <v>6.584571368743377E-3</v>
      </c>
      <c r="AA12">
        <f t="shared" si="11"/>
        <v>-0.11099596754715588</v>
      </c>
      <c r="AB12" t="str">
        <f t="shared" si="12"/>
        <v/>
      </c>
    </row>
    <row r="13" spans="1:31" ht="15.6" x14ac:dyDescent="0.3">
      <c r="A13" s="2">
        <v>12</v>
      </c>
      <c r="B13" s="2">
        <v>112</v>
      </c>
      <c r="C13">
        <f t="shared" si="0"/>
        <v>142.19</v>
      </c>
      <c r="D13">
        <f t="shared" si="1"/>
        <v>-30.189999999999998</v>
      </c>
      <c r="E13">
        <f t="shared" si="2"/>
        <v>911.4360999999999</v>
      </c>
      <c r="G13" t="s">
        <v>26</v>
      </c>
      <c r="H13">
        <f>H14-H12</f>
        <v>13</v>
      </c>
      <c r="I13">
        <f>I14-I12</f>
        <v>30567.739995324722</v>
      </c>
      <c r="J13">
        <f>I13/H13</f>
        <v>2351.3646150249788</v>
      </c>
      <c r="P13">
        <f t="shared" si="13"/>
        <v>10</v>
      </c>
      <c r="Q13">
        <f t="shared" si="3"/>
        <v>51</v>
      </c>
      <c r="R13">
        <f t="shared" si="4"/>
        <v>235</v>
      </c>
      <c r="S13">
        <v>234.48593209223196</v>
      </c>
      <c r="T13">
        <f t="shared" si="5"/>
        <v>0.51406790776803746</v>
      </c>
      <c r="U13">
        <v>6.6836360330642899E-2</v>
      </c>
      <c r="V13">
        <f t="shared" si="6"/>
        <v>1.0601333658932503E-2</v>
      </c>
      <c r="W13">
        <f t="shared" si="7"/>
        <v>2547.2880668243915</v>
      </c>
      <c r="X13">
        <f t="shared" si="8"/>
        <v>1.0543931064233332E-2</v>
      </c>
      <c r="Y13">
        <f t="shared" si="9"/>
        <v>0.9917474091233569</v>
      </c>
      <c r="Z13">
        <f t="shared" si="10"/>
        <v>4.31308667948284E-6</v>
      </c>
      <c r="AA13">
        <f t="shared" si="11"/>
        <v>2.8218248230798544E-3</v>
      </c>
      <c r="AB13" t="str">
        <f t="shared" si="12"/>
        <v/>
      </c>
    </row>
    <row r="14" spans="1:31" ht="15.6" x14ac:dyDescent="0.3">
      <c r="A14" s="2">
        <v>6</v>
      </c>
      <c r="B14" s="2">
        <v>67</v>
      </c>
      <c r="C14">
        <f t="shared" si="0"/>
        <v>127.97</v>
      </c>
      <c r="D14">
        <f t="shared" si="1"/>
        <v>-60.97</v>
      </c>
      <c r="E14">
        <f t="shared" si="2"/>
        <v>3717.3408999999997</v>
      </c>
      <c r="G14" s="5" t="s">
        <v>27</v>
      </c>
      <c r="H14" s="5">
        <f>H8-1</f>
        <v>14</v>
      </c>
      <c r="I14" s="5">
        <f>DEVSQ(B2:B16)</f>
        <v>145656.93333333335</v>
      </c>
      <c r="J14" s="5"/>
      <c r="K14" s="5"/>
      <c r="L14" s="5"/>
      <c r="M14" s="5"/>
      <c r="P14">
        <f t="shared" si="13"/>
        <v>11</v>
      </c>
      <c r="Q14">
        <f t="shared" si="3"/>
        <v>0</v>
      </c>
      <c r="R14">
        <f t="shared" si="4"/>
        <v>83</v>
      </c>
      <c r="S14">
        <v>113.74528742946563</v>
      </c>
      <c r="T14">
        <f t="shared" si="5"/>
        <v>-30.745287429465634</v>
      </c>
      <c r="U14">
        <v>0.18423342402420734</v>
      </c>
      <c r="V14">
        <f t="shared" si="6"/>
        <v>-0.63404278997828933</v>
      </c>
      <c r="W14">
        <f t="shared" si="7"/>
        <v>2450.7488415100897</v>
      </c>
      <c r="X14">
        <f t="shared" si="8"/>
        <v>-0.68761635980432478</v>
      </c>
      <c r="Y14">
        <f t="shared" si="9"/>
        <v>0.50377852528453138</v>
      </c>
      <c r="Z14">
        <f t="shared" si="10"/>
        <v>5.564725553499969E-2</v>
      </c>
      <c r="AA14">
        <f t="shared" si="11"/>
        <v>-0.32677397353406701</v>
      </c>
      <c r="AB14" t="str">
        <f t="shared" si="12"/>
        <v/>
      </c>
    </row>
    <row r="15" spans="1:31" ht="16.2" thickBot="1" x14ac:dyDescent="0.35">
      <c r="A15" s="2">
        <v>56</v>
      </c>
      <c r="B15" s="2">
        <v>325</v>
      </c>
      <c r="C15">
        <f t="shared" si="0"/>
        <v>246.47</v>
      </c>
      <c r="D15">
        <f t="shared" si="1"/>
        <v>78.53</v>
      </c>
      <c r="E15">
        <f t="shared" si="2"/>
        <v>6166.9609</v>
      </c>
      <c r="P15">
        <f t="shared" si="13"/>
        <v>12</v>
      </c>
      <c r="Q15">
        <f t="shared" si="3"/>
        <v>12</v>
      </c>
      <c r="R15">
        <f t="shared" si="4"/>
        <v>112</v>
      </c>
      <c r="S15">
        <v>142.15485087952831</v>
      </c>
      <c r="T15">
        <f t="shared" si="5"/>
        <v>-30.154850879528311</v>
      </c>
      <c r="U15">
        <v>0.13381882171126538</v>
      </c>
      <c r="V15">
        <f t="shared" si="6"/>
        <v>-0.62186654871574598</v>
      </c>
      <c r="W15">
        <f t="shared" si="7"/>
        <v>2459.8285224153419</v>
      </c>
      <c r="X15">
        <f t="shared" si="8"/>
        <v>-0.65328155666149079</v>
      </c>
      <c r="Y15">
        <f t="shared" si="9"/>
        <v>0.52496119706178368</v>
      </c>
      <c r="Z15">
        <f t="shared" si="10"/>
        <v>3.4487690538676778E-2</v>
      </c>
      <c r="AA15">
        <f t="shared" si="11"/>
        <v>-0.25677611691155816</v>
      </c>
      <c r="AB15" t="str">
        <f t="shared" si="12"/>
        <v/>
      </c>
    </row>
    <row r="16" spans="1:31" ht="16.2" thickTop="1" x14ac:dyDescent="0.3">
      <c r="A16" s="2">
        <v>19</v>
      </c>
      <c r="B16" s="2">
        <v>189</v>
      </c>
      <c r="C16">
        <f t="shared" si="0"/>
        <v>158.78</v>
      </c>
      <c r="D16">
        <f t="shared" si="1"/>
        <v>30.22</v>
      </c>
      <c r="E16">
        <f t="shared" si="2"/>
        <v>913.24839999999995</v>
      </c>
      <c r="G16" s="7"/>
      <c r="H16" s="7" t="s">
        <v>28</v>
      </c>
      <c r="I16" s="7" t="s">
        <v>29</v>
      </c>
      <c r="J16" s="7" t="s">
        <v>30</v>
      </c>
      <c r="K16" s="7" t="s">
        <v>23</v>
      </c>
      <c r="L16" s="7" t="s">
        <v>31</v>
      </c>
      <c r="M16" s="7" t="s">
        <v>32</v>
      </c>
      <c r="P16">
        <f t="shared" si="13"/>
        <v>13</v>
      </c>
      <c r="Q16">
        <f t="shared" si="3"/>
        <v>6</v>
      </c>
      <c r="R16">
        <f t="shared" si="4"/>
        <v>67</v>
      </c>
      <c r="S16">
        <v>127.95006915449697</v>
      </c>
      <c r="T16">
        <f t="shared" si="5"/>
        <v>-60.950069154496973</v>
      </c>
      <c r="U16">
        <v>0.15727291026798182</v>
      </c>
      <c r="V16">
        <f t="shared" si="6"/>
        <v>-1.2569390344697324</v>
      </c>
      <c r="W16">
        <f t="shared" si="7"/>
        <v>2179.961530509378</v>
      </c>
      <c r="X16">
        <f t="shared" si="8"/>
        <v>-1.4220219840103334</v>
      </c>
      <c r="Y16">
        <f t="shared" si="9"/>
        <v>0.17856692558480364</v>
      </c>
      <c r="Z16">
        <f t="shared" si="10"/>
        <v>0.17493569926729538</v>
      </c>
      <c r="AA16">
        <f t="shared" si="11"/>
        <v>-0.61431312577306763</v>
      </c>
      <c r="AB16" t="str">
        <f t="shared" si="12"/>
        <v/>
      </c>
    </row>
    <row r="17" spans="5:28" x14ac:dyDescent="0.3">
      <c r="G17" t="s">
        <v>33</v>
      </c>
      <c r="H17">
        <f t="array" ref="H17:I18">[1]!RegCoeff(A2:A16,B2:B16)</f>
        <v>113.74528742946563</v>
      </c>
      <c r="I17">
        <v>20.813456083875511</v>
      </c>
      <c r="J17">
        <f>H17/I17</f>
        <v>5.4649879852287375</v>
      </c>
      <c r="K17">
        <f>_xlfn.T.DIST.2T(ABS(J17),$H$13)</f>
        <v>1.0841538409268464E-4</v>
      </c>
      <c r="L17">
        <f>H17-_xlfn.T.INV.2T(L$10,$H$13)*I17</f>
        <v>68.780549273196158</v>
      </c>
      <c r="M17">
        <f>H17+_xlfn.T.INV.2T(L$10,$H$13)*I17</f>
        <v>158.71002558573511</v>
      </c>
      <c r="P17">
        <f t="shared" si="13"/>
        <v>14</v>
      </c>
      <c r="Q17">
        <f t="shared" si="3"/>
        <v>56</v>
      </c>
      <c r="R17">
        <f t="shared" si="4"/>
        <v>325</v>
      </c>
      <c r="S17">
        <v>246.32325019642474</v>
      </c>
      <c r="T17">
        <f t="shared" si="5"/>
        <v>78.676749803575262</v>
      </c>
      <c r="U17">
        <v>6.8962942280345191E-2</v>
      </c>
      <c r="V17">
        <f t="shared" si="6"/>
        <v>1.6225064106596871</v>
      </c>
      <c r="W17">
        <f t="shared" si="7"/>
        <v>1993.2672176404603</v>
      </c>
      <c r="X17">
        <f t="shared" si="8"/>
        <v>1.8263338341303135</v>
      </c>
      <c r="Y17">
        <f t="shared" si="9"/>
        <v>9.0845464778915364E-2</v>
      </c>
      <c r="Z17">
        <f t="shared" si="10"/>
        <v>0.10471880910084273</v>
      </c>
      <c r="AA17">
        <f t="shared" si="11"/>
        <v>0.49705514351757918</v>
      </c>
      <c r="AB17" t="str">
        <f t="shared" si="12"/>
        <v/>
      </c>
    </row>
    <row r="18" spans="5:28" x14ac:dyDescent="0.3">
      <c r="E18">
        <f>AVERAGE(E2:E16)</f>
        <v>2037.8748666666663</v>
      </c>
      <c r="F18" s="3" t="s">
        <v>5</v>
      </c>
      <c r="G18" s="5" t="str">
        <f t="array" ref="G18">TRANSPOSE(A1)</f>
        <v>Months Employed</v>
      </c>
      <c r="H18" s="5">
        <v>2.3674636208385555</v>
      </c>
      <c r="I18" s="5">
        <v>0.3383966307652902</v>
      </c>
      <c r="J18" s="5">
        <f>H18/I18</f>
        <v>6.9961205449489645</v>
      </c>
      <c r="K18" s="5">
        <f>_xlfn.T.DIST.2T(ABS(J18),$H$13)</f>
        <v>9.3954273924223164E-6</v>
      </c>
      <c r="L18" s="5">
        <f>H18-_xlfn.T.INV.2T(L$10,$H$13)*I18</f>
        <v>1.6364021462806098</v>
      </c>
      <c r="M18" s="5">
        <f>H18+_xlfn.T.INV.2T(L$10,$H$13)*I18</f>
        <v>3.0985250953965013</v>
      </c>
      <c r="P18" s="5">
        <f t="shared" si="13"/>
        <v>15</v>
      </c>
      <c r="Q18" s="5">
        <f t="shared" si="3"/>
        <v>19</v>
      </c>
      <c r="R18" s="5">
        <f t="shared" si="4"/>
        <v>189</v>
      </c>
      <c r="S18" s="5">
        <v>158.72709622539818</v>
      </c>
      <c r="T18" s="5">
        <f t="shared" si="5"/>
        <v>30.272903774601815</v>
      </c>
      <c r="U18" s="5">
        <v>0.11088745024447574</v>
      </c>
      <c r="V18" s="5">
        <f t="shared" si="6"/>
        <v>0.62430108724881828</v>
      </c>
      <c r="W18" s="5">
        <f t="shared" si="7"/>
        <v>2461.416213258743</v>
      </c>
      <c r="X18" s="5">
        <f t="shared" si="8"/>
        <v>0.6471175554337999</v>
      </c>
      <c r="Y18" s="5">
        <f t="shared" si="9"/>
        <v>0.52881748626939284</v>
      </c>
      <c r="Z18" s="5">
        <f t="shared" si="10"/>
        <v>2.733550513268123E-2</v>
      </c>
      <c r="AA18" s="5">
        <f t="shared" si="11"/>
        <v>0.22853146850327385</v>
      </c>
      <c r="AB18" t="str">
        <f t="shared" si="12"/>
        <v/>
      </c>
    </row>
    <row r="19" spans="5:28" x14ac:dyDescent="0.3">
      <c r="E19">
        <f>SQRT(E18)</f>
        <v>45.142827411081221</v>
      </c>
      <c r="F19" s="3" t="s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D7E4-35CA-49A7-B0E2-3D89E6B52CE9}">
  <dimension ref="A1:AE19"/>
  <sheetViews>
    <sheetView tabSelected="1" zoomScale="130" zoomScaleNormal="130" workbookViewId="0">
      <selection activeCell="B1" sqref="B1"/>
    </sheetView>
  </sheetViews>
  <sheetFormatPr defaultRowHeight="14.4" x14ac:dyDescent="0.3"/>
  <cols>
    <col min="1" max="2" width="22.88671875" customWidth="1"/>
    <col min="3" max="3" width="30.109375" customWidth="1"/>
  </cols>
  <sheetData>
    <row r="1" spans="1:31" ht="15.6" x14ac:dyDescent="0.3">
      <c r="A1" s="1" t="s">
        <v>0</v>
      </c>
      <c r="B1" s="1" t="s">
        <v>47</v>
      </c>
      <c r="C1" s="1" t="s">
        <v>1</v>
      </c>
      <c r="G1" t="s">
        <v>7</v>
      </c>
      <c r="P1" t="s">
        <v>34</v>
      </c>
    </row>
    <row r="2" spans="1:31" ht="16.2" thickBot="1" x14ac:dyDescent="0.35">
      <c r="A2" s="2">
        <v>41</v>
      </c>
      <c r="B2" s="2">
        <f>A2^2</f>
        <v>1681</v>
      </c>
      <c r="C2" s="2">
        <v>275</v>
      </c>
    </row>
    <row r="3" spans="1:31" ht="16.8" thickTop="1" thickBot="1" x14ac:dyDescent="0.35">
      <c r="A3" s="2">
        <v>106</v>
      </c>
      <c r="B3" s="2">
        <f t="shared" ref="B3:B16" si="0">A3^2</f>
        <v>11236</v>
      </c>
      <c r="C3" s="2">
        <v>296</v>
      </c>
      <c r="G3" s="4" t="s">
        <v>8</v>
      </c>
      <c r="H3" s="4"/>
      <c r="J3" s="4"/>
      <c r="K3" s="4"/>
      <c r="P3" s="7" t="s">
        <v>35</v>
      </c>
      <c r="Q3" s="7" t="str">
        <f>A1</f>
        <v>Months Employed</v>
      </c>
      <c r="R3" s="7" t="str">
        <f>B1</f>
        <v>monthsSq</v>
      </c>
      <c r="S3" s="7" t="str">
        <f>C1</f>
        <v>Scales Sold</v>
      </c>
      <c r="T3" s="7" t="s">
        <v>36</v>
      </c>
      <c r="U3" s="7" t="s">
        <v>26</v>
      </c>
      <c r="V3" s="7" t="s">
        <v>37</v>
      </c>
      <c r="W3" s="7" t="s">
        <v>38</v>
      </c>
      <c r="X3" s="7" t="s">
        <v>39</v>
      </c>
      <c r="Y3" s="7" t="s">
        <v>40</v>
      </c>
      <c r="Z3" s="7" t="s">
        <v>41</v>
      </c>
      <c r="AA3" s="7" t="s">
        <v>34</v>
      </c>
      <c r="AB3" s="7" t="s">
        <v>42</v>
      </c>
    </row>
    <row r="4" spans="1:31" ht="16.2" thickTop="1" x14ac:dyDescent="0.3">
      <c r="A4" s="2">
        <v>76</v>
      </c>
      <c r="B4" s="2">
        <f t="shared" si="0"/>
        <v>5776</v>
      </c>
      <c r="C4" s="2">
        <v>317</v>
      </c>
      <c r="G4" t="s">
        <v>9</v>
      </c>
      <c r="H4">
        <f>SQRT(H5)</f>
        <v>0.94936140217088261</v>
      </c>
      <c r="J4" t="s">
        <v>14</v>
      </c>
      <c r="K4">
        <f>H8*LN(I13/H8)+2*(H12+1)</f>
        <v>108.98129707798606</v>
      </c>
      <c r="P4">
        <v>1</v>
      </c>
      <c r="Q4">
        <f t="shared" ref="Q4:S4" si="1">A2</f>
        <v>41</v>
      </c>
      <c r="R4">
        <f t="shared" si="1"/>
        <v>1681</v>
      </c>
      <c r="S4">
        <f t="shared" si="1"/>
        <v>275</v>
      </c>
      <c r="T4">
        <f t="array" ref="T4:T18">TREND(C2:C16,A2:B16)</f>
        <v>247.91447748891329</v>
      </c>
      <c r="U4">
        <f>S4-T4</f>
        <v>27.085522511086708</v>
      </c>
      <c r="V4">
        <f t="array" ref="V4:V18">[1]!LEVERAGE(A2:B16)</f>
        <v>0.15492142398603156</v>
      </c>
      <c r="W4">
        <f>U4/SQRT($AE$6)</f>
        <v>0.78248359800540024</v>
      </c>
      <c r="X4">
        <f>($AE$6-U4^2/((1-V4)*$AE$5))*$AE$5/($AE$5-1)</f>
        <v>1228.1915650093456</v>
      </c>
      <c r="Y4">
        <f>U4/SQRT(X4*(1-V4))</f>
        <v>0.84072820388420511</v>
      </c>
      <c r="Z4">
        <f>_xlfn.T.DIST.2T(ABS(Y4),$AE$5)</f>
        <v>0.41693815640988041</v>
      </c>
      <c r="AA4">
        <f>(U4^2/$AE$6)*(V4/(1-V4)^2)/($AE$7+1)</f>
        <v>4.427377234110369E-2</v>
      </c>
      <c r="AB4">
        <f>Y4*SQRT(V4/(1-V4))</f>
        <v>0.35996710153602146</v>
      </c>
      <c r="AC4" t="str">
        <f>IF(OR(Z4&lt;0.05,AA4&gt;=1,ABS(AB4)&gt;=1),"*","")</f>
        <v/>
      </c>
      <c r="AD4" t="s">
        <v>43</v>
      </c>
      <c r="AE4" s="8">
        <f>DEVSQ(U4:U18)</f>
        <v>14378.222382758475</v>
      </c>
    </row>
    <row r="5" spans="1:31" ht="15.6" x14ac:dyDescent="0.3">
      <c r="A5" s="2">
        <v>100</v>
      </c>
      <c r="B5" s="2">
        <f t="shared" si="0"/>
        <v>10000</v>
      </c>
      <c r="C5" s="2">
        <v>376</v>
      </c>
      <c r="G5" t="s">
        <v>10</v>
      </c>
      <c r="H5">
        <f>I12/I14</f>
        <v>0.9012870719318643</v>
      </c>
      <c r="J5" t="s">
        <v>15</v>
      </c>
      <c r="K5">
        <f>K4+2*(H12+2)*(H12+3)/(H8-H12-3)</f>
        <v>112.98129707798606</v>
      </c>
      <c r="P5">
        <f>P4+1</f>
        <v>2</v>
      </c>
      <c r="Q5">
        <f t="shared" ref="Q5:S5" si="2">A3</f>
        <v>106</v>
      </c>
      <c r="R5">
        <f t="shared" si="2"/>
        <v>11236</v>
      </c>
      <c r="S5">
        <f t="shared" si="2"/>
        <v>296</v>
      </c>
      <c r="T5">
        <v>329.90463302110396</v>
      </c>
      <c r="U5">
        <f t="shared" ref="U5:U18" si="3">S5-T5</f>
        <v>-33.904633021103962</v>
      </c>
      <c r="V5">
        <v>0.29892342658549587</v>
      </c>
      <c r="W5">
        <f t="shared" ref="W5:W18" si="4">U5/SQRT($AE$6)</f>
        <v>-0.97948338358792542</v>
      </c>
      <c r="X5">
        <f t="shared" ref="X5:X18" si="5">($AE$6-U5^2/((1-V5)*$AE$5))*$AE$5/($AE$5-1)</f>
        <v>1158.0515243220109</v>
      </c>
      <c r="Y5">
        <f t="shared" ref="Y5:Y18" si="6">U5/SQRT(X5*(1-V5))</f>
        <v>-1.1899052455138655</v>
      </c>
      <c r="Z5">
        <f t="shared" ref="Z5:Z18" si="7">_xlfn.T.DIST.2T(ABS(Y5),$AE$5)</f>
        <v>0.25709332055736733</v>
      </c>
      <c r="AA5">
        <f t="shared" ref="AA5:AA18" si="8">(U5^2/$AE$6)*(V5/(1-V5)^2)/($AE$7+1)</f>
        <v>0.19449208505969937</v>
      </c>
      <c r="AB5">
        <f t="shared" ref="AB5:AB18" si="9">Y5*SQRT(V5/(1-V5))</f>
        <v>-0.77697961975230245</v>
      </c>
      <c r="AC5" t="str">
        <f t="shared" ref="AC5:AC18" si="10">IF(OR(Z5&lt;0.05,AA5&gt;=1,ABS(AB5)&gt;=1),"*","")</f>
        <v/>
      </c>
      <c r="AD5" t="s">
        <v>44</v>
      </c>
      <c r="AE5" s="9">
        <f>COUNT(C2:C16)-AE7-1</f>
        <v>12</v>
      </c>
    </row>
    <row r="6" spans="1:31" ht="15.6" x14ac:dyDescent="0.3">
      <c r="A6" s="2">
        <v>22</v>
      </c>
      <c r="B6" s="2">
        <f t="shared" si="0"/>
        <v>484</v>
      </c>
      <c r="C6" s="2">
        <v>162</v>
      </c>
      <c r="G6" t="s">
        <v>11</v>
      </c>
      <c r="H6">
        <f>1-(1-H5)*(H8-1)/(H8-H12-1)</f>
        <v>0.88483491725384167</v>
      </c>
      <c r="J6" s="5" t="s">
        <v>16</v>
      </c>
      <c r="K6" s="5">
        <f>H8*LN(I13/H8)+(H12+1)*LN(H8)</f>
        <v>111.10544768129269</v>
      </c>
      <c r="P6">
        <f t="shared" ref="P6:P18" si="11">P5+1</f>
        <v>3</v>
      </c>
      <c r="Q6">
        <f t="shared" ref="Q6:S6" si="12">A4</f>
        <v>76</v>
      </c>
      <c r="R6">
        <f t="shared" si="12"/>
        <v>5776</v>
      </c>
      <c r="S6">
        <f t="shared" si="12"/>
        <v>317</v>
      </c>
      <c r="T6">
        <v>324.62309163390717</v>
      </c>
      <c r="U6">
        <f t="shared" si="3"/>
        <v>-7.6230916339071655</v>
      </c>
      <c r="V6">
        <v>0.16098969002252878</v>
      </c>
      <c r="W6">
        <f t="shared" si="4"/>
        <v>-0.22022629126622753</v>
      </c>
      <c r="X6">
        <f t="shared" si="5"/>
        <v>1300.8145809042151</v>
      </c>
      <c r="Y6">
        <f t="shared" si="6"/>
        <v>-0.23074898179029732</v>
      </c>
      <c r="Z6">
        <f t="shared" si="7"/>
        <v>0.82139698935828087</v>
      </c>
      <c r="AA6">
        <f t="shared" si="8"/>
        <v>3.6972647010900437E-3</v>
      </c>
      <c r="AB6">
        <f t="shared" si="9"/>
        <v>-0.10107765939286065</v>
      </c>
      <c r="AC6" t="str">
        <f t="shared" si="10"/>
        <v/>
      </c>
      <c r="AD6" t="s">
        <v>45</v>
      </c>
      <c r="AE6" s="9">
        <f>AE4/AE5</f>
        <v>1198.1851985632063</v>
      </c>
    </row>
    <row r="7" spans="1:31" ht="15.6" x14ac:dyDescent="0.3">
      <c r="A7" s="2">
        <v>12</v>
      </c>
      <c r="B7" s="2">
        <f t="shared" si="0"/>
        <v>144</v>
      </c>
      <c r="C7" s="2">
        <v>150</v>
      </c>
      <c r="G7" t="s">
        <v>12</v>
      </c>
      <c r="H7">
        <f>SQRT(J13)</f>
        <v>34.61481183775544</v>
      </c>
      <c r="P7">
        <f t="shared" si="11"/>
        <v>4</v>
      </c>
      <c r="Q7">
        <f t="shared" ref="Q7:S7" si="13">A5</f>
        <v>100</v>
      </c>
      <c r="R7">
        <f t="shared" si="13"/>
        <v>10000</v>
      </c>
      <c r="S7">
        <f t="shared" si="13"/>
        <v>376</v>
      </c>
      <c r="T7">
        <v>333.31370561567786</v>
      </c>
      <c r="U7">
        <f t="shared" si="3"/>
        <v>42.686294384322139</v>
      </c>
      <c r="V7">
        <v>0.21090153506378029</v>
      </c>
      <c r="W7">
        <f t="shared" si="4"/>
        <v>1.2331800208650283</v>
      </c>
      <c r="X7">
        <f t="shared" si="5"/>
        <v>1097.1915080851236</v>
      </c>
      <c r="Y7">
        <f t="shared" si="6"/>
        <v>1.4507134483899453</v>
      </c>
      <c r="Z7">
        <f t="shared" si="7"/>
        <v>0.17249300408892293</v>
      </c>
      <c r="AA7">
        <f t="shared" si="8"/>
        <v>0.17169160043559992</v>
      </c>
      <c r="AB7">
        <f t="shared" si="9"/>
        <v>0.74999075195599152</v>
      </c>
      <c r="AC7" t="str">
        <f t="shared" si="10"/>
        <v/>
      </c>
      <c r="AD7" t="s">
        <v>46</v>
      </c>
      <c r="AE7" s="10">
        <f>COUNT(A2:B2)</f>
        <v>2</v>
      </c>
    </row>
    <row r="8" spans="1:31" ht="15.6" x14ac:dyDescent="0.3">
      <c r="A8" s="2">
        <v>85</v>
      </c>
      <c r="B8" s="2">
        <f t="shared" si="0"/>
        <v>7225</v>
      </c>
      <c r="C8" s="2">
        <v>367</v>
      </c>
      <c r="G8" s="5" t="s">
        <v>13</v>
      </c>
      <c r="H8" s="5">
        <f>COUNT(C2:C16)</f>
        <v>15</v>
      </c>
      <c r="P8">
        <f t="shared" si="11"/>
        <v>5</v>
      </c>
      <c r="Q8">
        <f t="shared" ref="Q8:S8" si="14">A6</f>
        <v>22</v>
      </c>
      <c r="R8">
        <f t="shared" si="14"/>
        <v>484</v>
      </c>
      <c r="S8">
        <f t="shared" si="14"/>
        <v>162</v>
      </c>
      <c r="T8">
        <v>174.45681966853681</v>
      </c>
      <c r="U8">
        <f t="shared" si="3"/>
        <v>-12.456819668536809</v>
      </c>
      <c r="V8">
        <v>0.10711820295195336</v>
      </c>
      <c r="W8">
        <f t="shared" si="4"/>
        <v>-0.35986963404347655</v>
      </c>
      <c r="X8">
        <f t="shared" si="5"/>
        <v>1291.3121947740874</v>
      </c>
      <c r="Y8">
        <f t="shared" si="6"/>
        <v>-0.36685510475356159</v>
      </c>
      <c r="Z8">
        <f t="shared" si="7"/>
        <v>0.72011446248357014</v>
      </c>
      <c r="AA8">
        <f t="shared" si="8"/>
        <v>5.8002203081193747E-3</v>
      </c>
      <c r="AB8">
        <f t="shared" si="9"/>
        <v>-0.1270659597538748</v>
      </c>
      <c r="AC8" t="str">
        <f t="shared" si="10"/>
        <v/>
      </c>
    </row>
    <row r="9" spans="1:31" ht="15.6" x14ac:dyDescent="0.3">
      <c r="A9" s="2">
        <v>111</v>
      </c>
      <c r="B9" s="2">
        <f t="shared" si="0"/>
        <v>12321</v>
      </c>
      <c r="C9" s="2">
        <v>308</v>
      </c>
      <c r="P9">
        <f t="shared" si="11"/>
        <v>6</v>
      </c>
      <c r="Q9">
        <f t="shared" ref="Q9:S9" si="15">A7</f>
        <v>12</v>
      </c>
      <c r="R9">
        <f t="shared" si="15"/>
        <v>144</v>
      </c>
      <c r="S9">
        <f t="shared" si="15"/>
        <v>150</v>
      </c>
      <c r="T9">
        <v>126.80211357711322</v>
      </c>
      <c r="U9">
        <f t="shared" si="3"/>
        <v>23.197886422886782</v>
      </c>
      <c r="V9">
        <v>0.14837802899079619</v>
      </c>
      <c r="W9">
        <f t="shared" si="4"/>
        <v>0.67017225260731328</v>
      </c>
      <c r="X9">
        <f t="shared" si="5"/>
        <v>1249.6654564883813</v>
      </c>
      <c r="Y9">
        <f t="shared" si="6"/>
        <v>0.71109578861277478</v>
      </c>
      <c r="Z9">
        <f t="shared" si="7"/>
        <v>0.49061651438428155</v>
      </c>
      <c r="AA9">
        <f t="shared" si="8"/>
        <v>3.0628625922209871E-2</v>
      </c>
      <c r="AB9">
        <f t="shared" si="9"/>
        <v>0.29681748221693594</v>
      </c>
      <c r="AC9" t="str">
        <f t="shared" si="10"/>
        <v/>
      </c>
    </row>
    <row r="10" spans="1:31" ht="16.2" thickBot="1" x14ac:dyDescent="0.35">
      <c r="A10" s="2">
        <v>40</v>
      </c>
      <c r="B10" s="2">
        <f t="shared" si="0"/>
        <v>1600</v>
      </c>
      <c r="C10" s="2">
        <v>189</v>
      </c>
      <c r="G10" t="s">
        <v>17</v>
      </c>
      <c r="K10" s="6" t="s">
        <v>18</v>
      </c>
      <c r="L10" s="6">
        <v>0.05</v>
      </c>
      <c r="P10">
        <f t="shared" si="11"/>
        <v>7</v>
      </c>
      <c r="Q10">
        <f t="shared" ref="Q10:S10" si="16">A8</f>
        <v>85</v>
      </c>
      <c r="R10">
        <f t="shared" si="16"/>
        <v>7225</v>
      </c>
      <c r="S10">
        <f t="shared" si="16"/>
        <v>367</v>
      </c>
      <c r="T10">
        <v>332.06836644458355</v>
      </c>
      <c r="U10">
        <f t="shared" si="3"/>
        <v>34.931633555416454</v>
      </c>
      <c r="V10">
        <v>0.14735342587339365</v>
      </c>
      <c r="W10">
        <f t="shared" si="4"/>
        <v>1.0091527788493007</v>
      </c>
      <c r="X10">
        <f t="shared" si="5"/>
        <v>1177.011497742943</v>
      </c>
      <c r="Y10">
        <f t="shared" si="6"/>
        <v>1.1026660854510699</v>
      </c>
      <c r="Z10">
        <f t="shared" si="7"/>
        <v>0.29179554778602207</v>
      </c>
      <c r="AA10">
        <f t="shared" si="8"/>
        <v>6.8804163731756796E-2</v>
      </c>
      <c r="AB10">
        <f t="shared" si="9"/>
        <v>0.45839472383016217</v>
      </c>
      <c r="AC10" t="str">
        <f t="shared" si="10"/>
        <v/>
      </c>
    </row>
    <row r="11" spans="1:31" ht="16.2" thickTop="1" x14ac:dyDescent="0.3">
      <c r="A11" s="2">
        <v>51</v>
      </c>
      <c r="B11" s="2">
        <f t="shared" si="0"/>
        <v>2601</v>
      </c>
      <c r="C11" s="2">
        <v>235</v>
      </c>
      <c r="G11" s="7"/>
      <c r="H11" s="7" t="s">
        <v>19</v>
      </c>
      <c r="I11" s="7" t="s">
        <v>20</v>
      </c>
      <c r="J11" s="7" t="s">
        <v>21</v>
      </c>
      <c r="K11" s="7" t="s">
        <v>22</v>
      </c>
      <c r="L11" s="7" t="s">
        <v>23</v>
      </c>
      <c r="M11" s="7" t="s">
        <v>24</v>
      </c>
      <c r="P11">
        <f t="shared" si="11"/>
        <v>8</v>
      </c>
      <c r="Q11">
        <f t="shared" ref="Q11:S11" si="17">A9</f>
        <v>111</v>
      </c>
      <c r="R11">
        <f t="shared" si="17"/>
        <v>12321</v>
      </c>
      <c r="S11">
        <f t="shared" si="17"/>
        <v>308</v>
      </c>
      <c r="T11">
        <v>325.35821177589861</v>
      </c>
      <c r="U11">
        <f t="shared" si="3"/>
        <v>-17.35821177589861</v>
      </c>
      <c r="V11">
        <v>0.41483386620182094</v>
      </c>
      <c r="W11">
        <f t="shared" si="4"/>
        <v>-0.50146774904509328</v>
      </c>
      <c r="X11">
        <f t="shared" si="5"/>
        <v>1260.3011844139075</v>
      </c>
      <c r="Y11">
        <f t="shared" si="6"/>
        <v>-0.63918741950136881</v>
      </c>
      <c r="Z11">
        <f t="shared" si="7"/>
        <v>0.53471228027460205</v>
      </c>
      <c r="AA11">
        <f t="shared" si="8"/>
        <v>0.10155015649443587</v>
      </c>
      <c r="AB11">
        <f t="shared" si="9"/>
        <v>-0.53817773782572664</v>
      </c>
      <c r="AC11" t="str">
        <f t="shared" si="10"/>
        <v/>
      </c>
    </row>
    <row r="12" spans="1:31" ht="15.6" x14ac:dyDescent="0.3">
      <c r="A12" s="2">
        <v>0</v>
      </c>
      <c r="B12" s="2">
        <f t="shared" si="0"/>
        <v>0</v>
      </c>
      <c r="C12" s="2">
        <v>83</v>
      </c>
      <c r="G12" t="s">
        <v>25</v>
      </c>
      <c r="H12">
        <f>COUNT(A2:B2)</f>
        <v>2</v>
      </c>
      <c r="I12">
        <f>DEVSQ(MMULT([1]!DEsign(A2:B16),H17:H19))</f>
        <v>131278.71095057478</v>
      </c>
      <c r="J12">
        <f>I12/H12</f>
        <v>65639.35547528739</v>
      </c>
      <c r="K12">
        <f>J12/J13</f>
        <v>54.782312078297949</v>
      </c>
      <c r="L12">
        <f>_xlfn.F.DIST.RT(K12,H12,H13)</f>
        <v>9.2521828274875752E-7</v>
      </c>
      <c r="M12" s="6" t="str">
        <f>IF(L12&lt;L10,"yes","no")</f>
        <v>yes</v>
      </c>
      <c r="P12">
        <f t="shared" si="11"/>
        <v>9</v>
      </c>
      <c r="Q12">
        <f t="shared" ref="Q12:S12" si="18">A10</f>
        <v>40</v>
      </c>
      <c r="R12">
        <f t="shared" si="18"/>
        <v>1600</v>
      </c>
      <c r="S12">
        <f t="shared" si="18"/>
        <v>189</v>
      </c>
      <c r="T12">
        <v>244.60645758105304</v>
      </c>
      <c r="U12">
        <f t="shared" si="3"/>
        <v>-55.606457581053036</v>
      </c>
      <c r="V12">
        <v>0.15150582079687847</v>
      </c>
      <c r="W12">
        <f t="shared" si="4"/>
        <v>-1.6064353561038729</v>
      </c>
      <c r="X12">
        <f t="shared" si="5"/>
        <v>975.82068408839814</v>
      </c>
      <c r="Y12">
        <f t="shared" si="6"/>
        <v>-1.9324834611305779</v>
      </c>
      <c r="Z12">
        <f t="shared" si="7"/>
        <v>7.7247383393624205E-2</v>
      </c>
      <c r="AA12">
        <f t="shared" si="8"/>
        <v>0.18102428347499377</v>
      </c>
      <c r="AB12">
        <f t="shared" si="9"/>
        <v>-0.81659367435115859</v>
      </c>
      <c r="AC12" t="str">
        <f t="shared" si="10"/>
        <v/>
      </c>
    </row>
    <row r="13" spans="1:31" ht="15.6" x14ac:dyDescent="0.3">
      <c r="A13" s="2">
        <v>12</v>
      </c>
      <c r="B13" s="2">
        <f t="shared" si="0"/>
        <v>144</v>
      </c>
      <c r="C13" s="2">
        <v>112</v>
      </c>
      <c r="G13" t="s">
        <v>26</v>
      </c>
      <c r="H13">
        <f>H14-H12</f>
        <v>12</v>
      </c>
      <c r="I13">
        <f>I14-I12</f>
        <v>14378.222382758569</v>
      </c>
      <c r="J13">
        <f>I13/H13</f>
        <v>1198.185198563214</v>
      </c>
      <c r="P13">
        <f t="shared" si="11"/>
        <v>10</v>
      </c>
      <c r="Q13">
        <f t="shared" ref="Q13:S13" si="19">A11</f>
        <v>51</v>
      </c>
      <c r="R13">
        <f t="shared" si="19"/>
        <v>2601</v>
      </c>
      <c r="S13">
        <f t="shared" si="19"/>
        <v>235</v>
      </c>
      <c r="T13">
        <v>277.58362173472813</v>
      </c>
      <c r="U13">
        <f t="shared" si="3"/>
        <v>-42.583621734728126</v>
      </c>
      <c r="V13">
        <v>0.18156558803037343</v>
      </c>
      <c r="W13">
        <f t="shared" si="4"/>
        <v>-1.2302138730183996</v>
      </c>
      <c r="X13">
        <f t="shared" si="5"/>
        <v>1105.6883278803805</v>
      </c>
      <c r="Y13">
        <f t="shared" si="6"/>
        <v>-1.4155795895096144</v>
      </c>
      <c r="Z13">
        <f t="shared" si="7"/>
        <v>0.18232518471153369</v>
      </c>
      <c r="AA13">
        <f t="shared" si="8"/>
        <v>0.1367432076996842</v>
      </c>
      <c r="AB13">
        <f t="shared" si="9"/>
        <v>-0.66674400843137593</v>
      </c>
      <c r="AC13" t="str">
        <f t="shared" si="10"/>
        <v/>
      </c>
    </row>
    <row r="14" spans="1:31" ht="15.6" x14ac:dyDescent="0.3">
      <c r="A14" s="2">
        <v>6</v>
      </c>
      <c r="B14" s="2">
        <f t="shared" si="0"/>
        <v>36</v>
      </c>
      <c r="C14" s="2">
        <v>67</v>
      </c>
      <c r="G14" s="5" t="s">
        <v>27</v>
      </c>
      <c r="H14" s="5">
        <f>H8-1</f>
        <v>14</v>
      </c>
      <c r="I14" s="5">
        <f>DEVSQ(C2:C16)</f>
        <v>145656.93333333335</v>
      </c>
      <c r="J14" s="5"/>
      <c r="K14" s="5"/>
      <c r="L14" s="5"/>
      <c r="M14" s="5"/>
      <c r="P14">
        <f t="shared" si="11"/>
        <v>11</v>
      </c>
      <c r="Q14">
        <f t="shared" ref="Q14:S14" si="20">A12</f>
        <v>0</v>
      </c>
      <c r="R14">
        <f t="shared" si="20"/>
        <v>0</v>
      </c>
      <c r="S14">
        <f t="shared" si="20"/>
        <v>83</v>
      </c>
      <c r="T14">
        <v>61.429934668714054</v>
      </c>
      <c r="U14">
        <f t="shared" si="3"/>
        <v>21.570065331285946</v>
      </c>
      <c r="V14">
        <v>0.35328701783589095</v>
      </c>
      <c r="W14">
        <f t="shared" si="4"/>
        <v>0.62314553181418375</v>
      </c>
      <c r="X14">
        <f t="shared" si="5"/>
        <v>1241.7079770516698</v>
      </c>
      <c r="Y14">
        <f t="shared" si="6"/>
        <v>0.76117748787076878</v>
      </c>
      <c r="Z14">
        <f t="shared" si="7"/>
        <v>0.46124798382787402</v>
      </c>
      <c r="AA14">
        <f t="shared" si="8"/>
        <v>0.10933576211942798</v>
      </c>
      <c r="AB14">
        <f t="shared" si="9"/>
        <v>0.56259256088148824</v>
      </c>
      <c r="AC14" t="str">
        <f t="shared" si="10"/>
        <v/>
      </c>
    </row>
    <row r="15" spans="1:31" ht="16.2" thickBot="1" x14ac:dyDescent="0.35">
      <c r="A15" s="2">
        <v>56</v>
      </c>
      <c r="B15" s="2">
        <f t="shared" si="0"/>
        <v>3136</v>
      </c>
      <c r="C15" s="2">
        <v>325</v>
      </c>
      <c r="P15">
        <f t="shared" si="11"/>
        <v>12</v>
      </c>
      <c r="Q15">
        <f t="shared" ref="Q15:S15" si="21">A13</f>
        <v>12</v>
      </c>
      <c r="R15">
        <f t="shared" si="21"/>
        <v>144</v>
      </c>
      <c r="S15">
        <f t="shared" si="21"/>
        <v>112</v>
      </c>
      <c r="T15">
        <v>126.80211357711322</v>
      </c>
      <c r="U15">
        <f t="shared" si="3"/>
        <v>-14.802113577113218</v>
      </c>
      <c r="V15">
        <v>0.14837802899079619</v>
      </c>
      <c r="W15">
        <f t="shared" si="4"/>
        <v>-0.4276236903003513</v>
      </c>
      <c r="X15">
        <f t="shared" si="5"/>
        <v>1283.7223266832552</v>
      </c>
      <c r="Y15">
        <f t="shared" si="6"/>
        <v>-0.44767697300270043</v>
      </c>
      <c r="Z15">
        <f t="shared" si="7"/>
        <v>0.66236079561602379</v>
      </c>
      <c r="AA15">
        <f t="shared" si="8"/>
        <v>1.2470335636811804E-2</v>
      </c>
      <c r="AB15">
        <f t="shared" si="9"/>
        <v>-0.18686420887456454</v>
      </c>
      <c r="AC15" t="str">
        <f t="shared" si="10"/>
        <v/>
      </c>
    </row>
    <row r="16" spans="1:31" ht="16.2" thickTop="1" x14ac:dyDescent="0.3">
      <c r="A16" s="2">
        <v>19</v>
      </c>
      <c r="B16" s="2">
        <f t="shared" si="0"/>
        <v>361</v>
      </c>
      <c r="C16" s="2">
        <v>189</v>
      </c>
      <c r="G16" s="7"/>
      <c r="H16" s="7" t="s">
        <v>28</v>
      </c>
      <c r="I16" s="7" t="s">
        <v>29</v>
      </c>
      <c r="J16" s="7" t="s">
        <v>30</v>
      </c>
      <c r="K16" s="7" t="s">
        <v>23</v>
      </c>
      <c r="L16" s="7" t="s">
        <v>31</v>
      </c>
      <c r="M16" s="7" t="s">
        <v>32</v>
      </c>
      <c r="N16" s="7" t="s">
        <v>48</v>
      </c>
      <c r="P16">
        <f t="shared" si="11"/>
        <v>13</v>
      </c>
      <c r="Q16">
        <f t="shared" ref="Q16:S16" si="22">A14</f>
        <v>6</v>
      </c>
      <c r="R16">
        <f t="shared" si="22"/>
        <v>36</v>
      </c>
      <c r="S16">
        <f t="shared" si="22"/>
        <v>67</v>
      </c>
      <c r="T16">
        <v>95.232369340916932</v>
      </c>
      <c r="U16">
        <f t="shared" si="3"/>
        <v>-28.232369340916932</v>
      </c>
      <c r="V16">
        <v>0.22339272351434161</v>
      </c>
      <c r="W16">
        <f t="shared" si="4"/>
        <v>-0.81561527687182489</v>
      </c>
      <c r="X16">
        <f t="shared" si="5"/>
        <v>1213.8070718551721</v>
      </c>
      <c r="Y16">
        <f t="shared" si="6"/>
        <v>-0.9195424173357406</v>
      </c>
      <c r="Z16">
        <f t="shared" si="7"/>
        <v>0.37592634261662616</v>
      </c>
      <c r="AA16">
        <f t="shared" si="8"/>
        <v>8.2132598060010623E-2</v>
      </c>
      <c r="AB16">
        <f t="shared" si="9"/>
        <v>-0.49318010785654914</v>
      </c>
      <c r="AC16" t="str">
        <f t="shared" si="10"/>
        <v/>
      </c>
    </row>
    <row r="17" spans="7:29" x14ac:dyDescent="0.3">
      <c r="G17" t="s">
        <v>33</v>
      </c>
      <c r="H17">
        <f t="array" ref="H17:I19">[1]!RegCoeff(A2:B16,C2:C16)</f>
        <v>61.429934668714054</v>
      </c>
      <c r="I17">
        <v>20.574335362667245</v>
      </c>
      <c r="J17">
        <f>H17/I17</f>
        <v>2.9857554854569219</v>
      </c>
      <c r="K17">
        <f>_xlfn.T.DIST.2T(ABS(J17),$H$13)</f>
        <v>1.1363560524395877E-2</v>
      </c>
      <c r="L17">
        <f>H17-_xlfn.T.INV.2T(L$10,$H$13)*I17</f>
        <v>16.602308818658514</v>
      </c>
      <c r="M17">
        <f>H17+_xlfn.T.INV.2T(L$10,$H$13)*I17</f>
        <v>106.25756051876959</v>
      </c>
      <c r="P17">
        <f t="shared" si="11"/>
        <v>14</v>
      </c>
      <c r="Q17">
        <f t="shared" ref="Q17:S17" si="23">A15</f>
        <v>56</v>
      </c>
      <c r="R17">
        <f t="shared" si="23"/>
        <v>3136</v>
      </c>
      <c r="S17">
        <f t="shared" si="23"/>
        <v>325</v>
      </c>
      <c r="T17">
        <v>290.09247465346198</v>
      </c>
      <c r="U17">
        <f t="shared" si="3"/>
        <v>34.907525346538023</v>
      </c>
      <c r="V17">
        <v>0.18729537536553498</v>
      </c>
      <c r="W17">
        <f t="shared" si="4"/>
        <v>1.0084563079572608</v>
      </c>
      <c r="X17">
        <f t="shared" si="5"/>
        <v>1170.8058367318956</v>
      </c>
      <c r="Y17">
        <f t="shared" si="6"/>
        <v>1.1316451255515065</v>
      </c>
      <c r="Z17">
        <f t="shared" si="7"/>
        <v>0.27989173699078523</v>
      </c>
      <c r="AA17">
        <f t="shared" si="8"/>
        <v>9.6129019120968995E-2</v>
      </c>
      <c r="AB17">
        <f t="shared" si="9"/>
        <v>0.54325961131491074</v>
      </c>
      <c r="AC17" t="str">
        <f t="shared" si="10"/>
        <v/>
      </c>
    </row>
    <row r="18" spans="7:29" x14ac:dyDescent="0.3">
      <c r="G18" t="str">
        <f t="array" ref="G18:G19">TRANSPOSE(A1:B1)</f>
        <v>Months Employed</v>
      </c>
      <c r="H18">
        <v>5.8197966483676984</v>
      </c>
      <c r="I18">
        <v>0.96976653636282784</v>
      </c>
      <c r="J18">
        <f t="shared" ref="J18:J19" si="24">H18/I18</f>
        <v>6.001234761301645</v>
      </c>
      <c r="K18">
        <f t="shared" ref="K18:K19" si="25">_xlfn.T.DIST.2T(ABS(J18),$H$13)</f>
        <v>6.2049720181110889E-5</v>
      </c>
      <c r="L18">
        <f t="shared" ref="L18:L19" si="26">H18-_xlfn.T.INV.2T(L$10,$H$13)*I18</f>
        <v>3.7068568771584185</v>
      </c>
      <c r="M18">
        <f t="shared" ref="M18:M19" si="27">H18+_xlfn.T.INV.2T(L$10,$H$13)*I18</f>
        <v>7.9327364195769778</v>
      </c>
      <c r="N18">
        <f>[1]!VIF(A2:B16,1)</f>
        <v>16.116782871590452</v>
      </c>
      <c r="P18" s="5">
        <f t="shared" si="11"/>
        <v>15</v>
      </c>
      <c r="Q18" s="5">
        <f t="shared" ref="Q18:S18" si="28">A16</f>
        <v>19</v>
      </c>
      <c r="R18" s="5">
        <f t="shared" si="28"/>
        <v>361</v>
      </c>
      <c r="S18" s="5">
        <f t="shared" si="28"/>
        <v>189</v>
      </c>
      <c r="T18" s="5">
        <v>160.81160921827833</v>
      </c>
      <c r="U18" s="5">
        <f t="shared" si="3"/>
        <v>28.188390781721665</v>
      </c>
      <c r="V18" s="5">
        <v>0.11115584579037589</v>
      </c>
      <c r="W18" s="5">
        <f t="shared" si="4"/>
        <v>0.81434476413868051</v>
      </c>
      <c r="X18" s="5">
        <f t="shared" si="5"/>
        <v>1225.8426224065663</v>
      </c>
      <c r="Y18" s="5">
        <f t="shared" si="6"/>
        <v>0.85396508485333866</v>
      </c>
      <c r="Z18" s="5">
        <f t="shared" si="7"/>
        <v>0.40984818650343846</v>
      </c>
      <c r="AA18" s="5">
        <f t="shared" si="8"/>
        <v>3.110114863103906E-2</v>
      </c>
      <c r="AB18" s="5">
        <f t="shared" si="9"/>
        <v>0.30199062302294577</v>
      </c>
      <c r="AC18" t="str">
        <f t="shared" si="10"/>
        <v/>
      </c>
    </row>
    <row r="19" spans="7:29" x14ac:dyDescent="0.3">
      <c r="G19" s="5" t="str">
        <v>monthsSq</v>
      </c>
      <c r="H19" s="5">
        <v>-3.1009589388980605E-2</v>
      </c>
      <c r="I19" s="5">
        <v>8.4360867394204491E-3</v>
      </c>
      <c r="J19" s="5">
        <f t="shared" si="24"/>
        <v>-3.6758262861473296</v>
      </c>
      <c r="K19" s="5">
        <f t="shared" si="25"/>
        <v>3.1729615188779902E-3</v>
      </c>
      <c r="L19" s="5">
        <f t="shared" si="26"/>
        <v>-4.9390243409015461E-2</v>
      </c>
      <c r="M19" s="5">
        <f t="shared" si="27"/>
        <v>-1.2628935368945753E-2</v>
      </c>
      <c r="N19" s="5">
        <f>[1]!VIF(A2:B16,2)</f>
        <v>16.116782871590424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Noman Hossain Chowdhury</dc:creator>
  <cp:lastModifiedBy>Mohammad Noman Chowdhury</cp:lastModifiedBy>
  <dcterms:created xsi:type="dcterms:W3CDTF">2023-10-23T13:32:37Z</dcterms:created>
  <dcterms:modified xsi:type="dcterms:W3CDTF">2024-06-14T10:55:33Z</dcterms:modified>
</cp:coreProperties>
</file>